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ngkwa\"/>
    </mc:Choice>
  </mc:AlternateContent>
  <xr:revisionPtr revIDLastSave="0" documentId="13_ncr:1_{1404B207-A2F1-4890-9E14-EA4F67FE6835}" xr6:coauthVersionLast="45" xr6:coauthVersionMax="45" xr10:uidLastSave="{00000000-0000-0000-0000-000000000000}"/>
  <bookViews>
    <workbookView xWindow="-120" yWindow="-120" windowWidth="29040" windowHeight="15840" tabRatio="584" activeTab="3" xr2:uid="{00000000-000D-0000-FFFF-FFFF00000000}"/>
  </bookViews>
  <sheets>
    <sheet name="Sale Order 2018" sheetId="17" r:id="rId1"/>
    <sheet name="Sale Order 2019" sheetId="19" r:id="rId2"/>
    <sheet name="ใบส่งของ 2019" sheetId="18" r:id="rId3"/>
    <sheet name="Sale Order 2020" sheetId="21" r:id="rId4"/>
    <sheet name="ใบส่งของ 2020" sheetId="22" r:id="rId5"/>
    <sheet name="Sheet1" sheetId="23" r:id="rId6"/>
  </sheets>
  <definedNames>
    <definedName name="_xlnm._FilterDatabase" localSheetId="0" hidden="1">'Sale Order 2018'!$K$1:$K$769</definedName>
    <definedName name="_xlnm._FilterDatabase" localSheetId="1" hidden="1">'Sale Order 2019'!$Q$1:$Q$633</definedName>
    <definedName name="_xlnm._FilterDatabase" localSheetId="3" hidden="1">'Sale Order 2020'!$A$1:$CJ$418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404" i="21" l="1"/>
  <c r="AH404" i="21"/>
  <c r="AI9" i="21"/>
  <c r="AH9" i="21"/>
  <c r="Y9" i="21"/>
  <c r="T9" i="21"/>
  <c r="Q9" i="21"/>
  <c r="P9" i="21"/>
  <c r="AH8" i="21"/>
  <c r="AI8" i="21" s="1"/>
  <c r="Y8" i="21"/>
  <c r="V8" i="21"/>
  <c r="X8" i="21" s="1"/>
  <c r="T8" i="21"/>
  <c r="P8" i="21"/>
  <c r="Q8" i="21" s="1"/>
  <c r="AI7" i="21"/>
  <c r="AH7" i="21"/>
  <c r="Y7" i="21"/>
  <c r="T7" i="21"/>
  <c r="Q7" i="21"/>
  <c r="P7" i="21"/>
  <c r="AH6" i="21"/>
  <c r="AI6" i="21" s="1"/>
  <c r="Y6" i="21"/>
  <c r="V6" i="21"/>
  <c r="X6" i="21" s="1"/>
  <c r="T6" i="21"/>
  <c r="P6" i="21"/>
  <c r="Q6" i="21" s="1"/>
  <c r="AH78" i="21"/>
  <c r="AI78" i="21"/>
  <c r="AH403" i="21"/>
  <c r="AI403" i="21"/>
  <c r="AH402" i="21"/>
  <c r="AI402" i="21" s="1"/>
  <c r="AB8" i="21" l="1"/>
  <c r="AD8" i="21"/>
  <c r="AB6" i="21"/>
  <c r="AD6" i="21"/>
  <c r="X9" i="21"/>
  <c r="V7" i="21"/>
  <c r="X7" i="21" s="1"/>
  <c r="V9" i="21"/>
  <c r="AJ7" i="23"/>
  <c r="AK7" i="23" s="1"/>
  <c r="AA7" i="23"/>
  <c r="X7" i="23"/>
  <c r="Z7" i="23" s="1"/>
  <c r="V7" i="23"/>
  <c r="R7" i="23"/>
  <c r="S7" i="23" s="1"/>
  <c r="AK6" i="23"/>
  <c r="AJ6" i="23"/>
  <c r="AA6" i="23"/>
  <c r="V6" i="23"/>
  <c r="S6" i="23"/>
  <c r="R6" i="23"/>
  <c r="AJ5" i="23"/>
  <c r="AK5" i="23" s="1"/>
  <c r="AA5" i="23"/>
  <c r="X5" i="23"/>
  <c r="Z5" i="23" s="1"/>
  <c r="V5" i="23"/>
  <c r="R5" i="23"/>
  <c r="S5" i="23" s="1"/>
  <c r="AK4" i="23"/>
  <c r="AJ4" i="23"/>
  <c r="AA4" i="23"/>
  <c r="V4" i="23"/>
  <c r="S4" i="23"/>
  <c r="R4" i="23"/>
  <c r="AJ3" i="23"/>
  <c r="AK3" i="23" s="1"/>
  <c r="AA3" i="23"/>
  <c r="X3" i="23"/>
  <c r="Z3" i="23" s="1"/>
  <c r="V3" i="23"/>
  <c r="R3" i="23"/>
  <c r="S3" i="23" s="1"/>
  <c r="AH64" i="21"/>
  <c r="AI64" i="21" s="1"/>
  <c r="AH157" i="21"/>
  <c r="AI157" i="21" s="1"/>
  <c r="AD7" i="21" l="1"/>
  <c r="AB7" i="21"/>
  <c r="AD9" i="21"/>
  <c r="AB9" i="21"/>
  <c r="AD5" i="23"/>
  <c r="AF5" i="23"/>
  <c r="AD3" i="23"/>
  <c r="AF3" i="23"/>
  <c r="Z4" i="23"/>
  <c r="AD7" i="23"/>
  <c r="AF7" i="23"/>
  <c r="X4" i="23"/>
  <c r="X6" i="23"/>
  <c r="Z6" i="23" s="1"/>
  <c r="Q36" i="21"/>
  <c r="X19" i="21"/>
  <c r="Z19" i="21" s="1"/>
  <c r="AH14" i="21"/>
  <c r="AI14" i="21" s="1"/>
  <c r="Y14" i="21"/>
  <c r="T14" i="21"/>
  <c r="P14" i="21"/>
  <c r="Q14" i="21" s="1"/>
  <c r="AH13" i="21"/>
  <c r="AI13" i="21" s="1"/>
  <c r="Y13" i="21"/>
  <c r="T13" i="21"/>
  <c r="V13" i="21" s="1"/>
  <c r="X13" i="21" s="1"/>
  <c r="P13" i="21"/>
  <c r="Q13" i="21" s="1"/>
  <c r="AH12" i="21"/>
  <c r="AI12" i="21" s="1"/>
  <c r="Y12" i="21"/>
  <c r="T12" i="21"/>
  <c r="P12" i="21"/>
  <c r="Q12" i="21" s="1"/>
  <c r="AH11" i="21"/>
  <c r="AI11" i="21" s="1"/>
  <c r="Y11" i="21"/>
  <c r="T11" i="21"/>
  <c r="V11" i="21" s="1"/>
  <c r="X11" i="21" s="1"/>
  <c r="P11" i="21"/>
  <c r="Q11" i="21" s="1"/>
  <c r="AH10" i="21"/>
  <c r="AI10" i="21" s="1"/>
  <c r="Y10" i="21"/>
  <c r="T10" i="21"/>
  <c r="P10" i="21"/>
  <c r="Q10" i="21" s="1"/>
  <c r="AH16" i="21"/>
  <c r="AI16" i="21" s="1"/>
  <c r="Y16" i="21"/>
  <c r="T16" i="21"/>
  <c r="P16" i="21"/>
  <c r="Q16" i="21" s="1"/>
  <c r="AH15" i="21"/>
  <c r="AI15" i="21" s="1"/>
  <c r="P15" i="21"/>
  <c r="Q15" i="21" s="1"/>
  <c r="AH5" i="21"/>
  <c r="AI5" i="21" s="1"/>
  <c r="Y5" i="21"/>
  <c r="T5" i="21"/>
  <c r="P5" i="21"/>
  <c r="Q5" i="21" s="1"/>
  <c r="AH4" i="21"/>
  <c r="AI4" i="21" s="1"/>
  <c r="Y4" i="21"/>
  <c r="T4" i="21"/>
  <c r="V4" i="21" s="1"/>
  <c r="X4" i="21" s="1"/>
  <c r="P4" i="21"/>
  <c r="Q4" i="21" s="1"/>
  <c r="AH18" i="21"/>
  <c r="AI18" i="21" s="1"/>
  <c r="Y18" i="21"/>
  <c r="T18" i="21"/>
  <c r="P18" i="21"/>
  <c r="Q18" i="21" s="1"/>
  <c r="AH17" i="21"/>
  <c r="AI17" i="21" s="1"/>
  <c r="Y17" i="21"/>
  <c r="T17" i="21"/>
  <c r="V17" i="21" s="1"/>
  <c r="X17" i="21" s="1"/>
  <c r="P17" i="21"/>
  <c r="Q17" i="21" s="1"/>
  <c r="AF6" i="23" l="1"/>
  <c r="AD6" i="23"/>
  <c r="AF4" i="23"/>
  <c r="AD4" i="23"/>
  <c r="V18" i="21"/>
  <c r="X18" i="21" s="1"/>
  <c r="AD11" i="21"/>
  <c r="AB11" i="21"/>
  <c r="AD13" i="21"/>
  <c r="AB13" i="21"/>
  <c r="V10" i="21"/>
  <c r="X10" i="21" s="1"/>
  <c r="V12" i="21"/>
  <c r="X12" i="21" s="1"/>
  <c r="V14" i="21"/>
  <c r="X14" i="21" s="1"/>
  <c r="AB4" i="21"/>
  <c r="AD4" i="21"/>
  <c r="V5" i="21"/>
  <c r="X5" i="21" s="1"/>
  <c r="V16" i="21"/>
  <c r="X16" i="21" s="1"/>
  <c r="AB17" i="21"/>
  <c r="AD17" i="21"/>
  <c r="AH139" i="21"/>
  <c r="AI139" i="21" s="1"/>
  <c r="AH141" i="21"/>
  <c r="AI141" i="21" s="1"/>
  <c r="AH286" i="21"/>
  <c r="AI286" i="21" s="1"/>
  <c r="AD18" i="21" l="1"/>
  <c r="AB18" i="21"/>
  <c r="AD10" i="21"/>
  <c r="AB10" i="21"/>
  <c r="AD14" i="21"/>
  <c r="AB14" i="21"/>
  <c r="AD12" i="21"/>
  <c r="AB12" i="21"/>
  <c r="AB5" i="21"/>
  <c r="AD5" i="21"/>
  <c r="AD16" i="21"/>
  <c r="AB16" i="21"/>
  <c r="AH47" i="21"/>
  <c r="AI47" i="21" s="1"/>
  <c r="AH231" i="21"/>
  <c r="AI231" i="21" s="1"/>
  <c r="AH129" i="21"/>
  <c r="AI129" i="21"/>
  <c r="Q37" i="21" l="1"/>
  <c r="AH22" i="21"/>
  <c r="AI22" i="21" s="1"/>
  <c r="Y22" i="21"/>
  <c r="T22" i="21"/>
  <c r="V22" i="21" s="1"/>
  <c r="X22" i="21" s="1"/>
  <c r="P22" i="21"/>
  <c r="Q22" i="21" s="1"/>
  <c r="AH21" i="21"/>
  <c r="AI21" i="21" s="1"/>
  <c r="P21" i="21"/>
  <c r="Q21" i="21" s="1"/>
  <c r="AH20" i="21"/>
  <c r="AI20" i="21" s="1"/>
  <c r="P20" i="21"/>
  <c r="Q20" i="21" s="1"/>
  <c r="AH19" i="21"/>
  <c r="AI19" i="21" s="1"/>
  <c r="P19" i="21"/>
  <c r="Q19" i="21" s="1"/>
  <c r="AH24" i="21"/>
  <c r="AI24" i="21" s="1"/>
  <c r="Y24" i="21"/>
  <c r="T24" i="21"/>
  <c r="V24" i="21" s="1"/>
  <c r="X24" i="21" s="1"/>
  <c r="P24" i="21"/>
  <c r="Q24" i="21" s="1"/>
  <c r="AH23" i="21"/>
  <c r="AI23" i="21" s="1"/>
  <c r="P23" i="21"/>
  <c r="Q23" i="21" s="1"/>
  <c r="AH29" i="21"/>
  <c r="AI29" i="21" s="1"/>
  <c r="Y29" i="21"/>
  <c r="T29" i="21"/>
  <c r="V29" i="21" s="1"/>
  <c r="X29" i="21" s="1"/>
  <c r="P29" i="21"/>
  <c r="Q29" i="21" s="1"/>
  <c r="AH28" i="21"/>
  <c r="AI28" i="21" s="1"/>
  <c r="Y28" i="21"/>
  <c r="T28" i="21"/>
  <c r="V28" i="21" s="1"/>
  <c r="P28" i="21"/>
  <c r="Q28" i="21" s="1"/>
  <c r="AI27" i="21"/>
  <c r="AH27" i="21"/>
  <c r="Y27" i="21"/>
  <c r="T27" i="21"/>
  <c r="V27" i="21" s="1"/>
  <c r="X27" i="21" s="1"/>
  <c r="P27" i="21"/>
  <c r="Q27" i="21" s="1"/>
  <c r="AH26" i="21"/>
  <c r="AI26" i="21" s="1"/>
  <c r="Y26" i="21"/>
  <c r="T26" i="21"/>
  <c r="P26" i="21"/>
  <c r="Q26" i="21" s="1"/>
  <c r="AH25" i="21"/>
  <c r="AI25" i="21" s="1"/>
  <c r="Y25" i="21"/>
  <c r="T25" i="21"/>
  <c r="V25" i="21" s="1"/>
  <c r="X25" i="21" s="1"/>
  <c r="P25" i="21"/>
  <c r="Q25" i="21" s="1"/>
  <c r="AH33" i="21"/>
  <c r="AI33" i="21" s="1"/>
  <c r="Y33" i="21"/>
  <c r="T33" i="21"/>
  <c r="Q33" i="21"/>
  <c r="P33" i="21"/>
  <c r="AH32" i="21"/>
  <c r="AI32" i="21" s="1"/>
  <c r="Y32" i="21"/>
  <c r="V32" i="21"/>
  <c r="X32" i="21" s="1"/>
  <c r="T32" i="21"/>
  <c r="P32" i="21"/>
  <c r="Q32" i="21" s="1"/>
  <c r="AH31" i="21"/>
  <c r="AI31" i="21" s="1"/>
  <c r="P31" i="21"/>
  <c r="Q31" i="21" s="1"/>
  <c r="X28" i="21" l="1"/>
  <c r="AD28" i="21" s="1"/>
  <c r="V26" i="21"/>
  <c r="X26" i="21" s="1"/>
  <c r="AD22" i="21"/>
  <c r="AB22" i="21"/>
  <c r="AD24" i="21"/>
  <c r="AB24" i="21"/>
  <c r="AD27" i="21"/>
  <c r="AB27" i="21"/>
  <c r="AD29" i="21"/>
  <c r="AB29" i="21"/>
  <c r="AD25" i="21"/>
  <c r="AB25" i="21"/>
  <c r="AB28" i="21"/>
  <c r="AD32" i="21"/>
  <c r="AB32" i="21"/>
  <c r="V33" i="21"/>
  <c r="X33" i="21" s="1"/>
  <c r="AH38" i="21"/>
  <c r="AI38" i="21" s="1"/>
  <c r="Y38" i="21"/>
  <c r="T38" i="21"/>
  <c r="V38" i="21" s="1"/>
  <c r="X38" i="21" s="1"/>
  <c r="P38" i="21"/>
  <c r="Q38" i="21" s="1"/>
  <c r="AH35" i="21"/>
  <c r="AI35" i="21" s="1"/>
  <c r="P35" i="21"/>
  <c r="Q35" i="21" s="1"/>
  <c r="AH34" i="21"/>
  <c r="AI34" i="21" s="1"/>
  <c r="P34" i="21"/>
  <c r="Q34" i="21" s="1"/>
  <c r="AB26" i="21" l="1"/>
  <c r="AD26" i="21"/>
  <c r="AD33" i="21"/>
  <c r="AB33" i="21"/>
  <c r="AD38" i="21"/>
  <c r="AB38" i="21"/>
  <c r="Z48" i="21"/>
  <c r="Z46" i="21"/>
  <c r="AH74" i="21"/>
  <c r="AI74" i="21" s="1"/>
  <c r="AH118" i="21"/>
  <c r="AI118" i="21" s="1"/>
  <c r="AH43" i="21"/>
  <c r="AI43" i="21" s="1"/>
  <c r="Y43" i="21"/>
  <c r="T43" i="21"/>
  <c r="V43" i="21" s="1"/>
  <c r="X43" i="21" s="1"/>
  <c r="P43" i="21"/>
  <c r="Q43" i="21" s="1"/>
  <c r="AH42" i="21"/>
  <c r="AI42" i="21" s="1"/>
  <c r="P42" i="21"/>
  <c r="Q42" i="21" s="1"/>
  <c r="AH41" i="21"/>
  <c r="AI41" i="21" s="1"/>
  <c r="Y41" i="21"/>
  <c r="T41" i="21"/>
  <c r="V41" i="21" s="1"/>
  <c r="X41" i="21" s="1"/>
  <c r="P41" i="21"/>
  <c r="Q41" i="21" s="1"/>
  <c r="AH44" i="21"/>
  <c r="AI44" i="21" s="1"/>
  <c r="P44" i="21"/>
  <c r="Q44" i="21" s="1"/>
  <c r="AH39" i="21"/>
  <c r="AI39" i="21" s="1"/>
  <c r="Y39" i="21"/>
  <c r="T39" i="21"/>
  <c r="P39" i="21"/>
  <c r="Q39" i="21" s="1"/>
  <c r="AH61" i="21"/>
  <c r="AI61" i="21"/>
  <c r="V39" i="21" l="1"/>
  <c r="X39" i="21" s="1"/>
  <c r="AD41" i="21"/>
  <c r="AB41" i="21"/>
  <c r="AD43" i="21"/>
  <c r="AB43" i="21"/>
  <c r="AH137" i="21"/>
  <c r="AI137" i="21"/>
  <c r="AH76" i="21"/>
  <c r="AI76" i="21" s="1"/>
  <c r="AD39" i="21" l="1"/>
  <c r="AB39" i="21"/>
  <c r="Z111" i="21"/>
  <c r="Z108" i="21"/>
  <c r="Z88" i="21"/>
  <c r="X88" i="21"/>
  <c r="Z81" i="21"/>
  <c r="Z80" i="21"/>
  <c r="Z79" i="21"/>
  <c r="Z59" i="21"/>
  <c r="Z58" i="21"/>
  <c r="Z57" i="21"/>
  <c r="Z56" i="21"/>
  <c r="Z55" i="21"/>
  <c r="Z54" i="21"/>
  <c r="Z53" i="21"/>
  <c r="Z52" i="21"/>
  <c r="Z72" i="21"/>
  <c r="Z73" i="21"/>
  <c r="Z86" i="21"/>
  <c r="X86" i="21"/>
  <c r="Z66" i="21"/>
  <c r="X66" i="21"/>
  <c r="Z103" i="21"/>
  <c r="Z96" i="21"/>
  <c r="Z77" i="21"/>
  <c r="Z75" i="21"/>
  <c r="Z104" i="21"/>
  <c r="Z62" i="21"/>
  <c r="X62" i="21"/>
  <c r="Z60" i="21"/>
  <c r="Z49" i="21"/>
  <c r="X49" i="21"/>
  <c r="AH55" i="21" l="1"/>
  <c r="AI55" i="21" s="1"/>
  <c r="Y55" i="21"/>
  <c r="T55" i="21"/>
  <c r="V55" i="21" s="1"/>
  <c r="X55" i="21" s="1"/>
  <c r="P55" i="21"/>
  <c r="Q55" i="21" s="1"/>
  <c r="AH54" i="21"/>
  <c r="AI54" i="21" s="1"/>
  <c r="Y54" i="21"/>
  <c r="T54" i="21"/>
  <c r="P54" i="21"/>
  <c r="Q54" i="21" s="1"/>
  <c r="AH53" i="21"/>
  <c r="AI53" i="21" s="1"/>
  <c r="Y53" i="21"/>
  <c r="T53" i="21"/>
  <c r="V53" i="21" s="1"/>
  <c r="X53" i="21" s="1"/>
  <c r="P53" i="21"/>
  <c r="Q53" i="21" s="1"/>
  <c r="AH52" i="21"/>
  <c r="AI52" i="21" s="1"/>
  <c r="Y52" i="21"/>
  <c r="T52" i="21"/>
  <c r="P52" i="21"/>
  <c r="Q52" i="21" s="1"/>
  <c r="AH51" i="21"/>
  <c r="AI51" i="21" s="1"/>
  <c r="P51" i="21"/>
  <c r="Q51" i="21" s="1"/>
  <c r="AH56" i="21"/>
  <c r="AI56" i="21" s="1"/>
  <c r="Y56" i="21"/>
  <c r="T56" i="21"/>
  <c r="V56" i="21" s="1"/>
  <c r="X56" i="21" s="1"/>
  <c r="P56" i="21"/>
  <c r="Q56" i="21" s="1"/>
  <c r="AH50" i="21"/>
  <c r="AI50" i="21" s="1"/>
  <c r="P50" i="21"/>
  <c r="Q50" i="21" s="1"/>
  <c r="AH49" i="21"/>
  <c r="AI49" i="21" s="1"/>
  <c r="Y49" i="21"/>
  <c r="P49" i="21"/>
  <c r="Q49" i="21" s="1"/>
  <c r="AH48" i="21"/>
  <c r="AI48" i="21" s="1"/>
  <c r="Y48" i="21"/>
  <c r="T48" i="21"/>
  <c r="P48" i="21"/>
  <c r="Q48" i="21" s="1"/>
  <c r="AH57" i="21"/>
  <c r="AI57" i="21" s="1"/>
  <c r="Y57" i="21"/>
  <c r="T57" i="21"/>
  <c r="P57" i="21"/>
  <c r="Q57" i="21" s="1"/>
  <c r="AH46" i="21"/>
  <c r="AI46" i="21" s="1"/>
  <c r="Y46" i="21"/>
  <c r="T46" i="21"/>
  <c r="V46" i="21" s="1"/>
  <c r="X46" i="21" s="1"/>
  <c r="P46" i="21"/>
  <c r="Q46" i="21" s="1"/>
  <c r="AH45" i="21"/>
  <c r="AI45" i="21" s="1"/>
  <c r="P45" i="21"/>
  <c r="Q45" i="21" s="1"/>
  <c r="AD53" i="21" l="1"/>
  <c r="AB53" i="21"/>
  <c r="AD55" i="21"/>
  <c r="AB55" i="21"/>
  <c r="V52" i="21"/>
  <c r="X52" i="21" s="1"/>
  <c r="V54" i="21"/>
  <c r="X54" i="21" s="1"/>
  <c r="AD49" i="21"/>
  <c r="AB49" i="21"/>
  <c r="AD56" i="21"/>
  <c r="AB56" i="21"/>
  <c r="V48" i="21"/>
  <c r="X48" i="21" s="1"/>
  <c r="AD46" i="21"/>
  <c r="AB46" i="21"/>
  <c r="V57" i="21"/>
  <c r="X57" i="21" s="1"/>
  <c r="AH60" i="21"/>
  <c r="AI60" i="21" s="1"/>
  <c r="Y60" i="21"/>
  <c r="T60" i="21"/>
  <c r="P60" i="21"/>
  <c r="Q60" i="21" s="1"/>
  <c r="AH59" i="21"/>
  <c r="AI59" i="21" s="1"/>
  <c r="Y59" i="21"/>
  <c r="T59" i="21"/>
  <c r="P59" i="21"/>
  <c r="Q59" i="21" s="1"/>
  <c r="AH58" i="21"/>
  <c r="AI58" i="21" s="1"/>
  <c r="Y58" i="21"/>
  <c r="T58" i="21"/>
  <c r="V58" i="21" s="1"/>
  <c r="X58" i="21" s="1"/>
  <c r="P58" i="21"/>
  <c r="Q58" i="21" s="1"/>
  <c r="AH30" i="21"/>
  <c r="AI30" i="21" s="1"/>
  <c r="Y30" i="21"/>
  <c r="T30" i="21"/>
  <c r="P30" i="21"/>
  <c r="Q30" i="21" s="1"/>
  <c r="AD54" i="21" l="1"/>
  <c r="AB54" i="21"/>
  <c r="AD52" i="21"/>
  <c r="AB52" i="21"/>
  <c r="AD48" i="21"/>
  <c r="AB48" i="21"/>
  <c r="AD57" i="21"/>
  <c r="AB57" i="21"/>
  <c r="AD58" i="21"/>
  <c r="AB58" i="21"/>
  <c r="X59" i="21"/>
  <c r="V30" i="21"/>
  <c r="X30" i="21" s="1"/>
  <c r="V59" i="21"/>
  <c r="V60" i="21"/>
  <c r="X60" i="21" s="1"/>
  <c r="AH334" i="21"/>
  <c r="AI334" i="21" s="1"/>
  <c r="Z69" i="21"/>
  <c r="X69" i="21"/>
  <c r="AH390" i="21"/>
  <c r="AI390" i="21" s="1"/>
  <c r="AH337" i="21"/>
  <c r="AI337" i="21"/>
  <c r="AE258" i="19"/>
  <c r="AD258" i="19"/>
  <c r="AE257" i="19"/>
  <c r="AD257" i="19"/>
  <c r="AE256" i="19"/>
  <c r="AD256" i="19"/>
  <c r="AH136" i="21"/>
  <c r="AI136" i="21"/>
  <c r="AH135" i="21"/>
  <c r="AI135" i="21" s="1"/>
  <c r="AH134" i="21"/>
  <c r="AI134" i="21"/>
  <c r="AD30" i="21" l="1"/>
  <c r="AB30" i="21"/>
  <c r="AD60" i="21"/>
  <c r="AB60" i="21"/>
  <c r="AB59" i="21"/>
  <c r="AD59" i="21"/>
  <c r="AH72" i="21"/>
  <c r="AI72" i="21" s="1"/>
  <c r="Y72" i="21"/>
  <c r="T72" i="21"/>
  <c r="X72" i="21" s="1"/>
  <c r="P72" i="21"/>
  <c r="Q72" i="21" s="1"/>
  <c r="AH71" i="21"/>
  <c r="AI71" i="21" s="1"/>
  <c r="Y71" i="21"/>
  <c r="T71" i="21"/>
  <c r="P71" i="21"/>
  <c r="Q71" i="21" s="1"/>
  <c r="AH70" i="21"/>
  <c r="AI70" i="21" s="1"/>
  <c r="P70" i="21"/>
  <c r="Q70" i="21" s="1"/>
  <c r="AH69" i="21"/>
  <c r="AI69" i="21" s="1"/>
  <c r="P69" i="21"/>
  <c r="Q69" i="21" s="1"/>
  <c r="AH68" i="21"/>
  <c r="AI68" i="21" s="1"/>
  <c r="P68" i="21"/>
  <c r="Q68" i="21" s="1"/>
  <c r="AH67" i="21"/>
  <c r="AI67" i="21" s="1"/>
  <c r="P67" i="21"/>
  <c r="Q67" i="21" s="1"/>
  <c r="AH75" i="21"/>
  <c r="AI75" i="21" s="1"/>
  <c r="Y75" i="21"/>
  <c r="T75" i="21"/>
  <c r="P75" i="21"/>
  <c r="Q75" i="21" s="1"/>
  <c r="AH73" i="21"/>
  <c r="AI73" i="21" s="1"/>
  <c r="Y73" i="21"/>
  <c r="T73" i="21"/>
  <c r="V73" i="21" s="1"/>
  <c r="X73" i="21" s="1"/>
  <c r="P73" i="21"/>
  <c r="Q73" i="21" s="1"/>
  <c r="AH66" i="21"/>
  <c r="AI66" i="21" s="1"/>
  <c r="Y66" i="21"/>
  <c r="P66" i="21"/>
  <c r="Q66" i="21" s="1"/>
  <c r="AH63" i="21"/>
  <c r="AI63" i="21" s="1"/>
  <c r="Y63" i="21"/>
  <c r="T63" i="21"/>
  <c r="V63" i="21" s="1"/>
  <c r="X63" i="21" s="1"/>
  <c r="P63" i="21"/>
  <c r="Q63" i="21" s="1"/>
  <c r="AD72" i="21" l="1"/>
  <c r="AB72" i="21"/>
  <c r="V71" i="21"/>
  <c r="X71" i="21" s="1"/>
  <c r="AB63" i="21"/>
  <c r="AD63" i="21"/>
  <c r="AB73" i="21"/>
  <c r="AD73" i="21"/>
  <c r="V75" i="21"/>
  <c r="X75" i="21" s="1"/>
  <c r="AH99" i="21"/>
  <c r="AI99" i="21" s="1"/>
  <c r="AH100" i="21"/>
  <c r="AI100" i="21" s="1"/>
  <c r="AD105" i="19"/>
  <c r="AE105" i="19" s="1"/>
  <c r="AH92" i="21"/>
  <c r="AI92" i="21" s="1"/>
  <c r="Q89" i="21"/>
  <c r="AD71" i="21" l="1"/>
  <c r="AB71" i="21"/>
  <c r="AB69" i="21"/>
  <c r="AB66" i="21"/>
  <c r="AD75" i="21"/>
  <c r="AB75" i="21"/>
  <c r="AH87" i="21"/>
  <c r="AI87" i="21" s="1"/>
  <c r="P87" i="21"/>
  <c r="Q87" i="21" s="1"/>
  <c r="AH86" i="21"/>
  <c r="AI86" i="21" s="1"/>
  <c r="Y86" i="21"/>
  <c r="P86" i="21"/>
  <c r="Q86" i="21" s="1"/>
  <c r="AH85" i="21"/>
  <c r="AI85" i="21" s="1"/>
  <c r="P85" i="21"/>
  <c r="Q85" i="21" s="1"/>
  <c r="AH84" i="21"/>
  <c r="AI84" i="21" s="1"/>
  <c r="P84" i="21"/>
  <c r="Q84" i="21" s="1"/>
  <c r="AH83" i="21"/>
  <c r="AI83" i="21" s="1"/>
  <c r="P83" i="21"/>
  <c r="Q83" i="21" s="1"/>
  <c r="AH82" i="21"/>
  <c r="AI82" i="21" s="1"/>
  <c r="P82" i="21"/>
  <c r="Q82" i="21" s="1"/>
  <c r="AH91" i="21"/>
  <c r="AI91" i="21" s="1"/>
  <c r="Y91" i="21"/>
  <c r="T91" i="21"/>
  <c r="V91" i="21" s="1"/>
  <c r="X91" i="21" s="1"/>
  <c r="P91" i="21"/>
  <c r="Q91" i="21" s="1"/>
  <c r="AH88" i="21"/>
  <c r="AI88" i="21" s="1"/>
  <c r="Y88" i="21"/>
  <c r="P88" i="21"/>
  <c r="Q88" i="21" s="1"/>
  <c r="AH81" i="21"/>
  <c r="AI81" i="21" s="1"/>
  <c r="Y81" i="21"/>
  <c r="T81" i="21"/>
  <c r="V81" i="21" s="1"/>
  <c r="X81" i="21" s="1"/>
  <c r="P81" i="21"/>
  <c r="Q81" i="21" s="1"/>
  <c r="AH80" i="21"/>
  <c r="AI80" i="21" s="1"/>
  <c r="Y80" i="21"/>
  <c r="T80" i="21"/>
  <c r="P80" i="21"/>
  <c r="Q80" i="21" s="1"/>
  <c r="AH79" i="21"/>
  <c r="AI79" i="21" s="1"/>
  <c r="Y79" i="21"/>
  <c r="T79" i="21"/>
  <c r="V79" i="21" s="1"/>
  <c r="X79" i="21" s="1"/>
  <c r="P79" i="21"/>
  <c r="Q79" i="21" s="1"/>
  <c r="AB79" i="21" l="1"/>
  <c r="AD79" i="21"/>
  <c r="AD91" i="21"/>
  <c r="AB91" i="21"/>
  <c r="AD81" i="21"/>
  <c r="AB81" i="21"/>
  <c r="V80" i="21"/>
  <c r="X80" i="21" s="1"/>
  <c r="AC367" i="17"/>
  <c r="AD367" i="17" s="1"/>
  <c r="AH239" i="21"/>
  <c r="AI239" i="21" s="1"/>
  <c r="AD86" i="21" l="1"/>
  <c r="AB86" i="21"/>
  <c r="AB80" i="21"/>
  <c r="AD80" i="21"/>
  <c r="AD88" i="21"/>
  <c r="AB88" i="21"/>
  <c r="AH98" i="21"/>
  <c r="AI98" i="21" s="1"/>
  <c r="Y98" i="21"/>
  <c r="T98" i="21"/>
  <c r="V98" i="21" s="1"/>
  <c r="X98" i="21" s="1"/>
  <c r="P98" i="21"/>
  <c r="Q98" i="21" s="1"/>
  <c r="AH96" i="21"/>
  <c r="AI96" i="21" s="1"/>
  <c r="Y96" i="21"/>
  <c r="T96" i="21"/>
  <c r="P96" i="21"/>
  <c r="Q96" i="21" s="1"/>
  <c r="AH95" i="21"/>
  <c r="AI95" i="21" s="1"/>
  <c r="P95" i="21"/>
  <c r="Q95" i="21" s="1"/>
  <c r="AH94" i="21"/>
  <c r="AI94" i="21" s="1"/>
  <c r="P94" i="21"/>
  <c r="Q94" i="21" s="1"/>
  <c r="AH93" i="21"/>
  <c r="AI93" i="21" s="1"/>
  <c r="P93" i="21"/>
  <c r="Q93" i="21" s="1"/>
  <c r="AH77" i="21"/>
  <c r="AI77" i="21" s="1"/>
  <c r="Y77" i="21"/>
  <c r="T77" i="21"/>
  <c r="P77" i="21"/>
  <c r="Q77" i="21" s="1"/>
  <c r="AH103" i="21"/>
  <c r="AI103" i="21" s="1"/>
  <c r="Y103" i="21"/>
  <c r="T103" i="21"/>
  <c r="P103" i="21"/>
  <c r="Q103" i="21" s="1"/>
  <c r="AH102" i="21"/>
  <c r="AI102" i="21" s="1"/>
  <c r="P102" i="21"/>
  <c r="Q102" i="21" s="1"/>
  <c r="AH101" i="21"/>
  <c r="AI101" i="21" s="1"/>
  <c r="P101" i="21"/>
  <c r="Q101" i="21" s="1"/>
  <c r="AH62" i="21"/>
  <c r="AI62" i="21" s="1"/>
  <c r="Y62" i="21"/>
  <c r="P62" i="21"/>
  <c r="Q62" i="21" s="1"/>
  <c r="AD98" i="21" l="1"/>
  <c r="AB98" i="21"/>
  <c r="V77" i="21"/>
  <c r="X77" i="21" s="1"/>
  <c r="V96" i="21"/>
  <c r="X96" i="21" s="1"/>
  <c r="AD62" i="21"/>
  <c r="V103" i="21"/>
  <c r="X103" i="21" s="1"/>
  <c r="AH108" i="21"/>
  <c r="AI108" i="21" s="1"/>
  <c r="Y108" i="21"/>
  <c r="T108" i="21"/>
  <c r="V108" i="21" s="1"/>
  <c r="X108" i="21" s="1"/>
  <c r="P108" i="21"/>
  <c r="Q108" i="21" s="1"/>
  <c r="AH107" i="21"/>
  <c r="AI107" i="21" s="1"/>
  <c r="P107" i="21"/>
  <c r="Q107" i="21" s="1"/>
  <c r="AH104" i="21"/>
  <c r="AI104" i="21" s="1"/>
  <c r="Y104" i="21"/>
  <c r="T104" i="21"/>
  <c r="V104" i="21" s="1"/>
  <c r="X104" i="21" s="1"/>
  <c r="P104" i="21"/>
  <c r="Q104" i="21" s="1"/>
  <c r="AH110" i="21"/>
  <c r="AI110" i="21" s="1"/>
  <c r="P110" i="21"/>
  <c r="Q110" i="21" s="1"/>
  <c r="AH109" i="21"/>
  <c r="AI109" i="21" s="1"/>
  <c r="P109" i="21"/>
  <c r="Q109" i="21" s="1"/>
  <c r="AB62" i="21" l="1"/>
  <c r="AD96" i="21"/>
  <c r="AB96" i="21"/>
  <c r="AD77" i="21"/>
  <c r="AB77" i="21"/>
  <c r="AD103" i="21"/>
  <c r="AB103" i="21"/>
  <c r="AD104" i="21"/>
  <c r="AB104" i="21"/>
  <c r="AD108" i="21"/>
  <c r="AB108" i="21"/>
  <c r="Z122" i="21"/>
  <c r="Z125" i="21"/>
  <c r="Z126" i="21"/>
  <c r="Z117" i="21"/>
  <c r="Z132" i="21"/>
  <c r="Z127" i="21"/>
  <c r="Z128" i="21"/>
  <c r="AH115" i="21" l="1"/>
  <c r="AI115" i="21" s="1"/>
  <c r="P115" i="21"/>
  <c r="Q115" i="21" s="1"/>
  <c r="AH114" i="21"/>
  <c r="AI114" i="21" s="1"/>
  <c r="P114" i="21"/>
  <c r="Q114" i="21" s="1"/>
  <c r="AH113" i="21"/>
  <c r="AI113" i="21" s="1"/>
  <c r="Y113" i="21"/>
  <c r="T113" i="21"/>
  <c r="V113" i="21" s="1"/>
  <c r="X113" i="21" s="1"/>
  <c r="AD113" i="21" s="1"/>
  <c r="P113" i="21"/>
  <c r="Q113" i="21" s="1"/>
  <c r="AH112" i="21"/>
  <c r="AI112" i="21" s="1"/>
  <c r="P112" i="21"/>
  <c r="Q112" i="21" s="1"/>
  <c r="AH116" i="21"/>
  <c r="AI116" i="21" s="1"/>
  <c r="P116" i="21"/>
  <c r="Q116" i="21" s="1"/>
  <c r="AH111" i="21"/>
  <c r="AI111" i="21" s="1"/>
  <c r="Y111" i="21"/>
  <c r="T111" i="21"/>
  <c r="V111" i="21" s="1"/>
  <c r="P111" i="21"/>
  <c r="Q111" i="21" s="1"/>
  <c r="AH124" i="21"/>
  <c r="AI124" i="21" s="1"/>
  <c r="P124" i="21"/>
  <c r="Q124" i="21" s="1"/>
  <c r="AH123" i="21"/>
  <c r="AI123" i="21" s="1"/>
  <c r="P123" i="21"/>
  <c r="Q123" i="21" s="1"/>
  <c r="AH122" i="21"/>
  <c r="AI122" i="21" s="1"/>
  <c r="Y122" i="21"/>
  <c r="T122" i="21"/>
  <c r="P122" i="21"/>
  <c r="Q122" i="21" s="1"/>
  <c r="AH117" i="21"/>
  <c r="AI117" i="21" s="1"/>
  <c r="Y117" i="21"/>
  <c r="T117" i="21"/>
  <c r="V117" i="21" s="1"/>
  <c r="X117" i="21" s="1"/>
  <c r="P117" i="21"/>
  <c r="Q117" i="21" s="1"/>
  <c r="AB113" i="21" l="1"/>
  <c r="X111" i="21"/>
  <c r="AB117" i="21"/>
  <c r="AD117" i="21"/>
  <c r="V122" i="21"/>
  <c r="X122" i="21" s="1"/>
  <c r="AB122" i="21" s="1"/>
  <c r="Z133" i="21"/>
  <c r="Z143" i="21"/>
  <c r="X143" i="21"/>
  <c r="Z131" i="21"/>
  <c r="AD111" i="21" l="1"/>
  <c r="AB111" i="21"/>
  <c r="AD122" i="21"/>
  <c r="AH131" i="21"/>
  <c r="AI131" i="21" s="1"/>
  <c r="P131" i="21"/>
  <c r="Q131" i="21" s="1"/>
  <c r="AH130" i="21"/>
  <c r="AI130" i="21" s="1"/>
  <c r="P130" i="21"/>
  <c r="Q130" i="21" s="1"/>
  <c r="AH128" i="21"/>
  <c r="AI128" i="21" s="1"/>
  <c r="Y128" i="21"/>
  <c r="T128" i="21"/>
  <c r="V128" i="21" s="1"/>
  <c r="X128" i="21" s="1"/>
  <c r="P128" i="21"/>
  <c r="Q128" i="21" s="1"/>
  <c r="AD128" i="21" l="1"/>
  <c r="AB128" i="21"/>
  <c r="AH178" i="21"/>
  <c r="AI178" i="21" s="1"/>
  <c r="AD540" i="19" l="1"/>
  <c r="AE540" i="19" s="1"/>
  <c r="AH194" i="21"/>
  <c r="AI194" i="21" s="1"/>
  <c r="AH189" i="21"/>
  <c r="AI189" i="21" s="1"/>
  <c r="AH182" i="21"/>
  <c r="AI182" i="21" s="1"/>
  <c r="AH180" i="21"/>
  <c r="AI180" i="21" s="1"/>
  <c r="Z151" i="21" l="1"/>
  <c r="Z148" i="21"/>
  <c r="Z145" i="21"/>
  <c r="AH211" i="21" l="1"/>
  <c r="AI211" i="21" s="1"/>
  <c r="AH209" i="21"/>
  <c r="AI209" i="21" s="1"/>
  <c r="AH152" i="21" l="1"/>
  <c r="AI152" i="21" s="1"/>
  <c r="Z193" i="21" l="1"/>
  <c r="Z192" i="21"/>
  <c r="Z186" i="21"/>
  <c r="Z191" i="21"/>
  <c r="Z158" i="21"/>
  <c r="Z179" i="21"/>
  <c r="Z177" i="21"/>
  <c r="Z167" i="21"/>
  <c r="Z156" i="21"/>
  <c r="Z162" i="21"/>
  <c r="Z164" i="21"/>
  <c r="Z165" i="21"/>
  <c r="Z166" i="21"/>
  <c r="Z181" i="21"/>
  <c r="Z163" i="21"/>
  <c r="AH145" i="21" l="1"/>
  <c r="AI145" i="21" s="1"/>
  <c r="Y145" i="21"/>
  <c r="T145" i="21"/>
  <c r="V145" i="21" s="1"/>
  <c r="X145" i="21" s="1"/>
  <c r="P145" i="21"/>
  <c r="Q145" i="21" s="1"/>
  <c r="AH144" i="21"/>
  <c r="AI144" i="21" s="1"/>
  <c r="T144" i="21"/>
  <c r="V144" i="21" s="1"/>
  <c r="P144" i="21"/>
  <c r="Q144" i="21" s="1"/>
  <c r="AH143" i="21"/>
  <c r="AI143" i="21" s="1"/>
  <c r="Y143" i="21"/>
  <c r="P143" i="21"/>
  <c r="Q143" i="21" s="1"/>
  <c r="AH142" i="21"/>
  <c r="AI142" i="21" s="1"/>
  <c r="P142" i="21"/>
  <c r="Q142" i="21" s="1"/>
  <c r="AH140" i="21"/>
  <c r="AI140" i="21" s="1"/>
  <c r="P140" i="21"/>
  <c r="Q140" i="21" s="1"/>
  <c r="AH138" i="21"/>
  <c r="AI138" i="21" s="1"/>
  <c r="P138" i="21"/>
  <c r="Q138" i="21" s="1"/>
  <c r="AH133" i="21"/>
  <c r="AI133" i="21" s="1"/>
  <c r="Y133" i="21"/>
  <c r="T133" i="21"/>
  <c r="V133" i="21" s="1"/>
  <c r="X133" i="21" s="1"/>
  <c r="P133" i="21"/>
  <c r="Q133" i="21" s="1"/>
  <c r="AH147" i="21"/>
  <c r="AI147" i="21" s="1"/>
  <c r="P147" i="21"/>
  <c r="Q147" i="21" s="1"/>
  <c r="AH146" i="21"/>
  <c r="AI146" i="21" s="1"/>
  <c r="P146" i="21"/>
  <c r="Q146" i="21" s="1"/>
  <c r="AH132" i="21"/>
  <c r="AI132" i="21" s="1"/>
  <c r="Y132" i="21"/>
  <c r="T132" i="21"/>
  <c r="V132" i="21" s="1"/>
  <c r="X132" i="21" s="1"/>
  <c r="P132" i="21"/>
  <c r="Q132" i="21" s="1"/>
  <c r="AH127" i="21"/>
  <c r="AI127" i="21" s="1"/>
  <c r="Y127" i="21"/>
  <c r="T127" i="21"/>
  <c r="P127" i="21"/>
  <c r="Q127" i="21" s="1"/>
  <c r="AH126" i="21"/>
  <c r="AI126" i="21" s="1"/>
  <c r="Y126" i="21"/>
  <c r="T126" i="21"/>
  <c r="V126" i="21" s="1"/>
  <c r="X126" i="21" s="1"/>
  <c r="P126" i="21"/>
  <c r="Q126" i="21" s="1"/>
  <c r="AH149" i="21"/>
  <c r="AI149" i="21" s="1"/>
  <c r="AH148" i="21"/>
  <c r="AI148" i="21" s="1"/>
  <c r="Y148" i="21"/>
  <c r="T148" i="21"/>
  <c r="V148" i="21" s="1"/>
  <c r="X148" i="21" s="1"/>
  <c r="AD148" i="21" s="1"/>
  <c r="P148" i="21"/>
  <c r="Q148" i="21" s="1"/>
  <c r="AH125" i="21"/>
  <c r="AI125" i="21" s="1"/>
  <c r="T125" i="21"/>
  <c r="P125" i="21"/>
  <c r="Q125" i="21" s="1"/>
  <c r="AD133" i="21" l="1"/>
  <c r="AB133" i="21"/>
  <c r="AD143" i="21"/>
  <c r="AB143" i="21"/>
  <c r="AD145" i="21"/>
  <c r="AB145" i="21"/>
  <c r="AD126" i="21"/>
  <c r="AB126" i="21"/>
  <c r="AD132" i="21"/>
  <c r="AB132" i="21"/>
  <c r="V127" i="21"/>
  <c r="X127" i="21" s="1"/>
  <c r="X125" i="21"/>
  <c r="AB148" i="21"/>
  <c r="AH161" i="21"/>
  <c r="AI161" i="21" s="1"/>
  <c r="P161" i="21"/>
  <c r="Q161" i="21" s="1"/>
  <c r="AH159" i="21"/>
  <c r="AI159" i="21" s="1"/>
  <c r="Y159" i="21"/>
  <c r="T159" i="21"/>
  <c r="P159" i="21"/>
  <c r="Q159" i="21" s="1"/>
  <c r="AH158" i="21"/>
  <c r="AI158" i="21" s="1"/>
  <c r="Y158" i="21"/>
  <c r="T158" i="21"/>
  <c r="P158" i="21"/>
  <c r="Q158" i="21" s="1"/>
  <c r="AH156" i="21"/>
  <c r="AI156" i="21" s="1"/>
  <c r="Y156" i="21"/>
  <c r="T156" i="21"/>
  <c r="P156" i="21"/>
  <c r="Q156" i="21" s="1"/>
  <c r="AH155" i="21"/>
  <c r="AI155" i="21" s="1"/>
  <c r="P155" i="21"/>
  <c r="Q155" i="21" s="1"/>
  <c r="AH154" i="21"/>
  <c r="AI154" i="21" s="1"/>
  <c r="P154" i="21"/>
  <c r="Q154" i="21" s="1"/>
  <c r="AH153" i="21"/>
  <c r="AI153" i="21" s="1"/>
  <c r="P153" i="21"/>
  <c r="Q153" i="21" s="1"/>
  <c r="AD127" i="21" l="1"/>
  <c r="AB127" i="21"/>
  <c r="AD125" i="21"/>
  <c r="AB125" i="21"/>
  <c r="V159" i="21"/>
  <c r="X159" i="21" s="1"/>
  <c r="V156" i="21"/>
  <c r="X156" i="21" s="1"/>
  <c r="V158" i="21"/>
  <c r="X158" i="21" s="1"/>
  <c r="AH241" i="21"/>
  <c r="AI241" i="21" s="1"/>
  <c r="AD539" i="19"/>
  <c r="AE539" i="19" s="1"/>
  <c r="AH243" i="21"/>
  <c r="AI243" i="21" s="1"/>
  <c r="AD159" i="21" l="1"/>
  <c r="AB159" i="21"/>
  <c r="AD156" i="21"/>
  <c r="AB156" i="21"/>
  <c r="AD158" i="21"/>
  <c r="AB158" i="21"/>
  <c r="AH205" i="21"/>
  <c r="AI205" i="21" s="1"/>
  <c r="AH207" i="21"/>
  <c r="AI207" i="21" s="1"/>
  <c r="AH167" i="21" l="1"/>
  <c r="AI167" i="21" s="1"/>
  <c r="Y167" i="21"/>
  <c r="T167" i="21"/>
  <c r="V167" i="21" s="1"/>
  <c r="X167" i="21" s="1"/>
  <c r="P167" i="21"/>
  <c r="Q167" i="21" s="1"/>
  <c r="AH166" i="21"/>
  <c r="AI166" i="21" s="1"/>
  <c r="Y166" i="21"/>
  <c r="T166" i="21"/>
  <c r="P166" i="21"/>
  <c r="Q166" i="21" s="1"/>
  <c r="AH165" i="21"/>
  <c r="AI165" i="21" s="1"/>
  <c r="Y165" i="21"/>
  <c r="T165" i="21"/>
  <c r="V165" i="21" s="1"/>
  <c r="X165" i="21" s="1"/>
  <c r="P165" i="21"/>
  <c r="Q165" i="21" s="1"/>
  <c r="AH164" i="21"/>
  <c r="AI164" i="21" s="1"/>
  <c r="Y164" i="21"/>
  <c r="T164" i="21"/>
  <c r="P164" i="21"/>
  <c r="Q164" i="21" s="1"/>
  <c r="AH163" i="21"/>
  <c r="AI163" i="21" s="1"/>
  <c r="Y163" i="21"/>
  <c r="T163" i="21"/>
  <c r="V163" i="21" s="1"/>
  <c r="X163" i="21" s="1"/>
  <c r="P163" i="21"/>
  <c r="Q163" i="21" s="1"/>
  <c r="AH162" i="21"/>
  <c r="AI162" i="21" s="1"/>
  <c r="Y162" i="21"/>
  <c r="T162" i="21"/>
  <c r="P162" i="21"/>
  <c r="Q162" i="21" s="1"/>
  <c r="AB165" i="21" l="1"/>
  <c r="AD165" i="21"/>
  <c r="AB163" i="21"/>
  <c r="AD163" i="21"/>
  <c r="AB167" i="21"/>
  <c r="AD167" i="21"/>
  <c r="V162" i="21"/>
  <c r="X162" i="21" s="1"/>
  <c r="V164" i="21"/>
  <c r="X164" i="21" s="1"/>
  <c r="V166" i="21"/>
  <c r="X166" i="21" s="1"/>
  <c r="AH181" i="21"/>
  <c r="AI181" i="21" s="1"/>
  <c r="Y181" i="21"/>
  <c r="T181" i="21"/>
  <c r="V181" i="21" s="1"/>
  <c r="X181" i="21" s="1"/>
  <c r="P181" i="21"/>
  <c r="Q181" i="21" s="1"/>
  <c r="AH179" i="21"/>
  <c r="AI179" i="21" s="1"/>
  <c r="Y179" i="21"/>
  <c r="T179" i="21"/>
  <c r="X179" i="21" s="1"/>
  <c r="P179" i="21"/>
  <c r="Q179" i="21" s="1"/>
  <c r="AH177" i="21"/>
  <c r="AI177" i="21" s="1"/>
  <c r="Y177" i="21"/>
  <c r="T177" i="21"/>
  <c r="V177" i="21" s="1"/>
  <c r="X177" i="21" s="1"/>
  <c r="P177" i="21"/>
  <c r="Q177" i="21" s="1"/>
  <c r="AH176" i="21"/>
  <c r="AI176" i="21" s="1"/>
  <c r="P176" i="21"/>
  <c r="Q176" i="21" s="1"/>
  <c r="AH184" i="21"/>
  <c r="AI184" i="21" s="1"/>
  <c r="P184" i="21"/>
  <c r="Q184" i="21" s="1"/>
  <c r="AH175" i="21"/>
  <c r="AI175" i="21" s="1"/>
  <c r="P175" i="21"/>
  <c r="Q175" i="21" s="1"/>
  <c r="AH174" i="21"/>
  <c r="AI174" i="21" s="1"/>
  <c r="P174" i="21"/>
  <c r="Q174" i="21" s="1"/>
  <c r="AD162" i="21" l="1"/>
  <c r="AB162" i="21"/>
  <c r="AD164" i="21"/>
  <c r="AB164" i="21"/>
  <c r="AD166" i="21"/>
  <c r="AB166" i="21"/>
  <c r="AB181" i="21"/>
  <c r="AD181" i="21"/>
  <c r="AB177" i="21"/>
  <c r="AD177" i="21"/>
  <c r="AE21" i="19"/>
  <c r="AH198" i="21"/>
  <c r="AI198" i="21" s="1"/>
  <c r="AH196" i="21"/>
  <c r="AI196" i="21" s="1"/>
  <c r="AH195" i="21"/>
  <c r="AI195" i="21" s="1"/>
  <c r="AD609" i="17"/>
  <c r="AH217" i="21"/>
  <c r="AI217" i="21" s="1"/>
  <c r="AH220" i="21"/>
  <c r="AI220" i="21" s="1"/>
  <c r="AD179" i="21" l="1"/>
  <c r="AB179" i="21"/>
  <c r="AH187" i="21"/>
  <c r="AI187" i="21" s="1"/>
  <c r="Y187" i="21"/>
  <c r="T187" i="21"/>
  <c r="P187" i="21"/>
  <c r="Q187" i="21" s="1"/>
  <c r="AH186" i="21"/>
  <c r="AI186" i="21" s="1"/>
  <c r="Y186" i="21"/>
  <c r="T186" i="21"/>
  <c r="P186" i="21"/>
  <c r="Q186" i="21" s="1"/>
  <c r="AH185" i="21"/>
  <c r="AI185" i="21" s="1"/>
  <c r="P185" i="21"/>
  <c r="Q185" i="21" s="1"/>
  <c r="V186" i="21" l="1"/>
  <c r="X186" i="21" s="1"/>
  <c r="V187" i="21"/>
  <c r="X187" i="21" s="1"/>
  <c r="AC366" i="17"/>
  <c r="AD366" i="17"/>
  <c r="AD186" i="21" l="1"/>
  <c r="AB186" i="21"/>
  <c r="AD187" i="21"/>
  <c r="AB187" i="21"/>
  <c r="Z238" i="21"/>
  <c r="X238" i="21"/>
  <c r="Z197" i="21"/>
  <c r="X197" i="21"/>
  <c r="Z195" i="21" l="1"/>
  <c r="X195" i="21"/>
  <c r="Z240" i="21"/>
  <c r="X240" i="21"/>
  <c r="V240" i="21"/>
  <c r="Z253" i="21"/>
  <c r="Z252" i="21"/>
  <c r="Z251" i="21"/>
  <c r="Z250" i="21"/>
  <c r="Z249" i="21"/>
  <c r="Z248" i="21"/>
  <c r="Z216" i="21"/>
  <c r="Z206" i="21"/>
  <c r="Z210" i="21"/>
  <c r="Z244" i="21"/>
  <c r="Z235" i="21" l="1"/>
  <c r="X235" i="21"/>
  <c r="Z227" i="21"/>
  <c r="Z221" i="21"/>
  <c r="Z204" i="21"/>
  <c r="Z261" i="21"/>
  <c r="Z225" i="21"/>
  <c r="Z200" i="21"/>
  <c r="Q201" i="21"/>
  <c r="Q223" i="21"/>
  <c r="AH191" i="21" l="1"/>
  <c r="AI191" i="21" s="1"/>
  <c r="Y191" i="21"/>
  <c r="T191" i="21"/>
  <c r="P191" i="21"/>
  <c r="Q191" i="21" s="1"/>
  <c r="AH188" i="21"/>
  <c r="AI188" i="21" s="1"/>
  <c r="Y188" i="21"/>
  <c r="T188" i="21"/>
  <c r="P188" i="21"/>
  <c r="Q188" i="21" s="1"/>
  <c r="AH151" i="21"/>
  <c r="AI151" i="21" s="1"/>
  <c r="Y151" i="21"/>
  <c r="T151" i="21"/>
  <c r="V151" i="21" s="1"/>
  <c r="X151" i="21" s="1"/>
  <c r="P151" i="21"/>
  <c r="Q151" i="21" s="1"/>
  <c r="AH228" i="21"/>
  <c r="AI228" i="21" s="1"/>
  <c r="AH215" i="21"/>
  <c r="AI215" i="21" s="1"/>
  <c r="V191" i="21" l="1"/>
  <c r="X191" i="21"/>
  <c r="AB191" i="21" s="1"/>
  <c r="AB151" i="21"/>
  <c r="AD151" i="21"/>
  <c r="V188" i="21"/>
  <c r="X188" i="21" s="1"/>
  <c r="AH197" i="21"/>
  <c r="AI197" i="21" s="1"/>
  <c r="Y197" i="21"/>
  <c r="P197" i="21"/>
  <c r="Q197" i="21" s="1"/>
  <c r="Y195" i="21"/>
  <c r="P195" i="21"/>
  <c r="Q195" i="21" s="1"/>
  <c r="AH193" i="21"/>
  <c r="AI193" i="21" s="1"/>
  <c r="Y193" i="21"/>
  <c r="T193" i="21"/>
  <c r="V193" i="21" s="1"/>
  <c r="X193" i="21" s="1"/>
  <c r="P193" i="21"/>
  <c r="Q193" i="21" s="1"/>
  <c r="AH192" i="21"/>
  <c r="AI192" i="21" s="1"/>
  <c r="Y192" i="21"/>
  <c r="T192" i="21"/>
  <c r="P192" i="21"/>
  <c r="Q192" i="21" s="1"/>
  <c r="AH203" i="21"/>
  <c r="AI203" i="21" s="1"/>
  <c r="P203" i="21"/>
  <c r="Q203" i="21" s="1"/>
  <c r="AH202" i="21"/>
  <c r="AI202" i="21" s="1"/>
  <c r="P202" i="21"/>
  <c r="Q202" i="21" s="1"/>
  <c r="AH200" i="21"/>
  <c r="AI200" i="21" s="1"/>
  <c r="Y200" i="21"/>
  <c r="T200" i="21"/>
  <c r="V200" i="21" s="1"/>
  <c r="X200" i="21" s="1"/>
  <c r="P200" i="21"/>
  <c r="Q200" i="21" s="1"/>
  <c r="AH199" i="21"/>
  <c r="AI199" i="21" s="1"/>
  <c r="P199" i="21"/>
  <c r="Q199" i="21" s="1"/>
  <c r="AH206" i="21"/>
  <c r="AI206" i="21" s="1"/>
  <c r="Y206" i="21"/>
  <c r="T206" i="21"/>
  <c r="V206" i="21" s="1"/>
  <c r="X206" i="21" s="1"/>
  <c r="P206" i="21"/>
  <c r="Q206" i="21" s="1"/>
  <c r="AH204" i="21"/>
  <c r="AI204" i="21" s="1"/>
  <c r="Y204" i="21"/>
  <c r="T204" i="21"/>
  <c r="P204" i="21"/>
  <c r="Q204" i="21" s="1"/>
  <c r="AD191" i="21" l="1"/>
  <c r="AD188" i="21"/>
  <c r="AB188" i="21"/>
  <c r="AB193" i="21"/>
  <c r="AD193" i="21"/>
  <c r="AB197" i="21"/>
  <c r="AD197" i="21"/>
  <c r="V192" i="21"/>
  <c r="X192" i="21" s="1"/>
  <c r="AB200" i="21"/>
  <c r="AD200" i="21"/>
  <c r="AB206" i="21"/>
  <c r="AD206" i="21"/>
  <c r="X204" i="21"/>
  <c r="AH380" i="21"/>
  <c r="AI380" i="21" s="1"/>
  <c r="AD192" i="21" l="1"/>
  <c r="AB192" i="21"/>
  <c r="AD195" i="21"/>
  <c r="AB195" i="21"/>
  <c r="AD204" i="21"/>
  <c r="AB204" i="21"/>
  <c r="AH379" i="21"/>
  <c r="AI379" i="21" s="1"/>
  <c r="AH259" i="21" l="1"/>
  <c r="AI259" i="21" s="1"/>
  <c r="AH257" i="21" l="1"/>
  <c r="AI257" i="21" s="1"/>
  <c r="AH213" i="21" l="1"/>
  <c r="AI213" i="21" s="1"/>
  <c r="P213" i="21"/>
  <c r="Q213" i="21" s="1"/>
  <c r="AH212" i="21"/>
  <c r="AI212" i="21" s="1"/>
  <c r="P212" i="21"/>
  <c r="Q212" i="21" s="1"/>
  <c r="AH210" i="21"/>
  <c r="AI210" i="21" s="1"/>
  <c r="Y210" i="21"/>
  <c r="T210" i="21"/>
  <c r="V210" i="21" s="1"/>
  <c r="X210" i="21" s="1"/>
  <c r="P210" i="21"/>
  <c r="Q210" i="21" s="1"/>
  <c r="AB210" i="21" l="1"/>
  <c r="AD210" i="21"/>
  <c r="AH308" i="21"/>
  <c r="AI308" i="21" s="1"/>
  <c r="AH247" i="21"/>
  <c r="AI247" i="21" s="1"/>
  <c r="AH254" i="21"/>
  <c r="AI254" i="21" s="1"/>
  <c r="AD391" i="19"/>
  <c r="AE391" i="19" s="1"/>
  <c r="AD291" i="19"/>
  <c r="AE291" i="19" s="1"/>
  <c r="AH224" i="21"/>
  <c r="AI224" i="21" s="1"/>
  <c r="P224" i="21"/>
  <c r="Q224" i="21" s="1"/>
  <c r="AH221" i="21"/>
  <c r="AI221" i="21" s="1"/>
  <c r="Y221" i="21"/>
  <c r="T221" i="21"/>
  <c r="P221" i="21"/>
  <c r="Q221" i="21" s="1"/>
  <c r="AH219" i="21"/>
  <c r="AI219" i="21" s="1"/>
  <c r="Y219" i="21"/>
  <c r="T219" i="21"/>
  <c r="V219" i="21" s="1"/>
  <c r="X219" i="21" s="1"/>
  <c r="Z219" i="21" s="1"/>
  <c r="P219" i="21"/>
  <c r="Q219" i="21" s="1"/>
  <c r="AH230" i="21"/>
  <c r="AI230" i="21" s="1"/>
  <c r="P230" i="21"/>
  <c r="Q230" i="21" s="1"/>
  <c r="AH229" i="21"/>
  <c r="AI229" i="21" s="1"/>
  <c r="P229" i="21"/>
  <c r="Q229" i="21" s="1"/>
  <c r="AH227" i="21"/>
  <c r="AI227" i="21" s="1"/>
  <c r="Y227" i="21"/>
  <c r="T227" i="21"/>
  <c r="X227" i="21" s="1"/>
  <c r="P227" i="21"/>
  <c r="Q227" i="21" s="1"/>
  <c r="AH225" i="21"/>
  <c r="AI225" i="21" s="1"/>
  <c r="Y225" i="21"/>
  <c r="T225" i="21"/>
  <c r="P225" i="21"/>
  <c r="Q225" i="21" s="1"/>
  <c r="AH216" i="21"/>
  <c r="AI216" i="21" s="1"/>
  <c r="Y216" i="21"/>
  <c r="T216" i="21"/>
  <c r="V216" i="21" s="1"/>
  <c r="X216" i="21" s="1"/>
  <c r="P216" i="21"/>
  <c r="Q216" i="21" s="1"/>
  <c r="AH233" i="21"/>
  <c r="AI233" i="21" s="1"/>
  <c r="P233" i="21"/>
  <c r="Q233" i="21" s="1"/>
  <c r="AH232" i="21"/>
  <c r="AI232" i="21" s="1"/>
  <c r="P232" i="21"/>
  <c r="Q232" i="21" s="1"/>
  <c r="AH214" i="21"/>
  <c r="AI214" i="21" s="1"/>
  <c r="Y214" i="21"/>
  <c r="T214" i="21"/>
  <c r="X214" i="21" s="1"/>
  <c r="Z214" i="21" s="1"/>
  <c r="P214" i="21"/>
  <c r="Q214" i="21" s="1"/>
  <c r="AB219" i="21" l="1"/>
  <c r="AD219" i="21"/>
  <c r="V221" i="21"/>
  <c r="X221" i="21" s="1"/>
  <c r="AB227" i="21"/>
  <c r="AD227" i="21"/>
  <c r="AD216" i="21"/>
  <c r="AB216" i="21"/>
  <c r="V225" i="21"/>
  <c r="X225" i="21" s="1"/>
  <c r="AB214" i="21"/>
  <c r="AD214" i="21"/>
  <c r="AH256" i="21"/>
  <c r="AI256" i="21" s="1"/>
  <c r="Y256" i="21"/>
  <c r="T256" i="21"/>
  <c r="V256" i="21" s="1"/>
  <c r="X256" i="21" s="1"/>
  <c r="P256" i="21"/>
  <c r="Q256" i="21" s="1"/>
  <c r="AH240" i="21"/>
  <c r="AI240" i="21" s="1"/>
  <c r="Y240" i="21"/>
  <c r="P240" i="21"/>
  <c r="Q240" i="21" s="1"/>
  <c r="AH238" i="21"/>
  <c r="AI238" i="21" s="1"/>
  <c r="P238" i="21"/>
  <c r="Q238" i="21" s="1"/>
  <c r="AH237" i="21"/>
  <c r="AI237" i="21" s="1"/>
  <c r="P237" i="21"/>
  <c r="Q237" i="21" s="1"/>
  <c r="AH236" i="21"/>
  <c r="AI236" i="21" s="1"/>
  <c r="P236" i="21"/>
  <c r="Q236" i="21" s="1"/>
  <c r="AH246" i="21"/>
  <c r="AI246" i="21" s="1"/>
  <c r="T246" i="21"/>
  <c r="P246" i="21"/>
  <c r="Q246" i="21" s="1"/>
  <c r="AH245" i="21"/>
  <c r="AI245" i="21" s="1"/>
  <c r="P245" i="21"/>
  <c r="Q245" i="21" s="1"/>
  <c r="AH244" i="21"/>
  <c r="AI244" i="21" s="1"/>
  <c r="Y244" i="21"/>
  <c r="T244" i="21"/>
  <c r="V244" i="21" s="1"/>
  <c r="X244" i="21" s="1"/>
  <c r="P244" i="21"/>
  <c r="Q244" i="21" s="1"/>
  <c r="AH242" i="21"/>
  <c r="AI242" i="21" s="1"/>
  <c r="P242" i="21"/>
  <c r="Q242" i="21" s="1"/>
  <c r="AH235" i="21"/>
  <c r="AI235" i="21" s="1"/>
  <c r="Y235" i="21"/>
  <c r="P235" i="21"/>
  <c r="Q235" i="21" s="1"/>
  <c r="AD221" i="21" l="1"/>
  <c r="AB221" i="21"/>
  <c r="AD225" i="21"/>
  <c r="AB225" i="21"/>
  <c r="AD256" i="21"/>
  <c r="AB256" i="21"/>
  <c r="AD240" i="21"/>
  <c r="AB240" i="21"/>
  <c r="AB244" i="21"/>
  <c r="AD244" i="21"/>
  <c r="AB235" i="21"/>
  <c r="AD235" i="21"/>
  <c r="AH252" i="21"/>
  <c r="AI252" i="21" s="1"/>
  <c r="Y252" i="21"/>
  <c r="T252" i="21"/>
  <c r="V252" i="21" s="1"/>
  <c r="X252" i="21" s="1"/>
  <c r="P252" i="21"/>
  <c r="Q252" i="21" s="1"/>
  <c r="AH251" i="21"/>
  <c r="AI251" i="21" s="1"/>
  <c r="Y251" i="21"/>
  <c r="T251" i="21"/>
  <c r="P251" i="21"/>
  <c r="Q251" i="21" s="1"/>
  <c r="AH250" i="21"/>
  <c r="AI250" i="21" s="1"/>
  <c r="Y250" i="21"/>
  <c r="T250" i="21"/>
  <c r="V250" i="21" s="1"/>
  <c r="X250" i="21" s="1"/>
  <c r="P250" i="21"/>
  <c r="Q250" i="21" s="1"/>
  <c r="AH249" i="21"/>
  <c r="AI249" i="21" s="1"/>
  <c r="Y249" i="21"/>
  <c r="T249" i="21"/>
  <c r="P249" i="21"/>
  <c r="Q249" i="21" s="1"/>
  <c r="AD390" i="19"/>
  <c r="AE390" i="19" s="1"/>
  <c r="AH265" i="21"/>
  <c r="AI265" i="21" s="1"/>
  <c r="AH272" i="21"/>
  <c r="AI272" i="21" s="1"/>
  <c r="AD238" i="21" l="1"/>
  <c r="AB238" i="21"/>
  <c r="AD252" i="21"/>
  <c r="AD250" i="21"/>
  <c r="V249" i="21"/>
  <c r="X249" i="21" s="1"/>
  <c r="V251" i="21"/>
  <c r="X251" i="21" s="1"/>
  <c r="AH293" i="21"/>
  <c r="AI293" i="21" s="1"/>
  <c r="AH280" i="21"/>
  <c r="AI280" i="21" s="1"/>
  <c r="AD310" i="19"/>
  <c r="AE310" i="19" s="1"/>
  <c r="AD251" i="21" l="1"/>
  <c r="AD249" i="21"/>
  <c r="Z276" i="21"/>
  <c r="Z279" i="21"/>
  <c r="Z289" i="21"/>
  <c r="Z274" i="21"/>
  <c r="T274" i="21"/>
  <c r="V274" i="21" s="1"/>
  <c r="Z268" i="21"/>
  <c r="Z264" i="21"/>
  <c r="AH260" i="21" l="1"/>
  <c r="AI260" i="21" s="1"/>
  <c r="T260" i="21"/>
  <c r="V260" i="21" s="1"/>
  <c r="P260" i="21"/>
  <c r="Q260" i="21" s="1"/>
  <c r="AH258" i="21"/>
  <c r="AI258" i="21" s="1"/>
  <c r="P258" i="21"/>
  <c r="Q258" i="21" s="1"/>
  <c r="AH255" i="21"/>
  <c r="AI255" i="21" s="1"/>
  <c r="P255" i="21"/>
  <c r="Q255" i="21" s="1"/>
  <c r="AH253" i="21"/>
  <c r="AI253" i="21" s="1"/>
  <c r="Y253" i="21"/>
  <c r="T253" i="21"/>
  <c r="P253" i="21"/>
  <c r="Q253" i="21" s="1"/>
  <c r="AH267" i="21"/>
  <c r="AI267" i="21" s="1"/>
  <c r="P267" i="21"/>
  <c r="Q267" i="21" s="1"/>
  <c r="AH264" i="21"/>
  <c r="AI264" i="21" s="1"/>
  <c r="Y264" i="21"/>
  <c r="T264" i="21"/>
  <c r="P264" i="21"/>
  <c r="Q264" i="21" s="1"/>
  <c r="AH263" i="21"/>
  <c r="AI263" i="21" s="1"/>
  <c r="P263" i="21"/>
  <c r="Q263" i="21" s="1"/>
  <c r="AH261" i="21"/>
  <c r="AI261" i="21" s="1"/>
  <c r="Y261" i="21"/>
  <c r="T261" i="21"/>
  <c r="P261" i="21"/>
  <c r="Q261" i="21" s="1"/>
  <c r="AH248" i="21"/>
  <c r="AI248" i="21" s="1"/>
  <c r="Y248" i="21"/>
  <c r="T248" i="21"/>
  <c r="V248" i="21" s="1"/>
  <c r="X248" i="21" s="1"/>
  <c r="P248" i="21"/>
  <c r="Q248" i="21" s="1"/>
  <c r="AH234" i="21"/>
  <c r="AI234" i="21" s="1"/>
  <c r="P234" i="21"/>
  <c r="Q234" i="21" s="1"/>
  <c r="V253" i="21" l="1"/>
  <c r="X253" i="21" s="1"/>
  <c r="V264" i="21"/>
  <c r="X264" i="21" s="1"/>
  <c r="AD248" i="21"/>
  <c r="V261" i="21"/>
  <c r="X261" i="21" s="1"/>
  <c r="AH288" i="21"/>
  <c r="AI288" i="21" s="1"/>
  <c r="AD253" i="21" l="1"/>
  <c r="AD264" i="21"/>
  <c r="AB264" i="21"/>
  <c r="AD261" i="21"/>
  <c r="AB261" i="21"/>
  <c r="Q283" i="21"/>
  <c r="AH271" i="21"/>
  <c r="AI271" i="21" s="1"/>
  <c r="P271" i="21"/>
  <c r="Q271" i="21" s="1"/>
  <c r="AH270" i="21"/>
  <c r="AI270" i="21" s="1"/>
  <c r="P270" i="21"/>
  <c r="Q270" i="21" s="1"/>
  <c r="AH268" i="21"/>
  <c r="AI268" i="21" s="1"/>
  <c r="Y268" i="21"/>
  <c r="T268" i="21"/>
  <c r="P268" i="21"/>
  <c r="Q268" i="21" s="1"/>
  <c r="V268" i="21" l="1"/>
  <c r="X268" i="21" s="1"/>
  <c r="Z332" i="21"/>
  <c r="Z307" i="21"/>
  <c r="Z317" i="21"/>
  <c r="X317" i="21"/>
  <c r="X309" i="21"/>
  <c r="X323" i="21"/>
  <c r="AD268" i="21" l="1"/>
  <c r="AB268" i="21"/>
  <c r="AD262" i="19"/>
  <c r="AE262" i="19" s="1"/>
  <c r="AH374" i="21"/>
  <c r="AI374" i="21" s="1"/>
  <c r="AH278" i="21"/>
  <c r="AI278" i="21" s="1"/>
  <c r="P278" i="21"/>
  <c r="Q278" i="21" s="1"/>
  <c r="AH277" i="21"/>
  <c r="AI277" i="21" s="1"/>
  <c r="P277" i="21"/>
  <c r="Q277" i="21" s="1"/>
  <c r="AH276" i="21"/>
  <c r="AI276" i="21" s="1"/>
  <c r="Y276" i="21"/>
  <c r="T276" i="21"/>
  <c r="V276" i="21" s="1"/>
  <c r="X276" i="21" s="1"/>
  <c r="P276" i="21"/>
  <c r="Q276" i="21" s="1"/>
  <c r="AD276" i="21" l="1"/>
  <c r="AB276" i="21"/>
  <c r="AC451" i="17"/>
  <c r="AD451" i="17"/>
  <c r="AD330" i="19"/>
  <c r="AE330" i="19" s="1"/>
  <c r="AH292" i="21" l="1"/>
  <c r="AI292" i="21" s="1"/>
  <c r="AH291" i="21"/>
  <c r="AI291" i="21" s="1"/>
  <c r="AH312" i="21"/>
  <c r="AI312" i="21" s="1"/>
  <c r="AD142" i="19"/>
  <c r="AE142" i="19" s="1"/>
  <c r="AD175" i="19"/>
  <c r="AE175" i="19" s="1"/>
  <c r="X295" i="21" l="1"/>
  <c r="Z296" i="21"/>
  <c r="X296" i="21"/>
  <c r="V296" i="21"/>
  <c r="Z314" i="21"/>
  <c r="P300" i="21" l="1"/>
  <c r="Q300" i="21" s="1"/>
  <c r="T300" i="21"/>
  <c r="V300" i="21" s="1"/>
  <c r="Y300" i="21"/>
  <c r="AH300" i="21"/>
  <c r="AI300" i="21" s="1"/>
  <c r="P302" i="21"/>
  <c r="Q302" i="21" s="1"/>
  <c r="AH302" i="21"/>
  <c r="AI302" i="21" s="1"/>
  <c r="AH303" i="21"/>
  <c r="AI303" i="21" s="1"/>
  <c r="P304" i="21"/>
  <c r="Q304" i="21" s="1"/>
  <c r="T304" i="21"/>
  <c r="V304" i="21" s="1"/>
  <c r="Y304" i="21"/>
  <c r="AH304" i="21"/>
  <c r="AI304" i="21" s="1"/>
  <c r="P307" i="21"/>
  <c r="Q307" i="21" s="1"/>
  <c r="T307" i="21"/>
  <c r="V307" i="21" s="1"/>
  <c r="Y307" i="21"/>
  <c r="AH307" i="21"/>
  <c r="AI307" i="21" s="1"/>
  <c r="AH284" i="21"/>
  <c r="AI284" i="21" s="1"/>
  <c r="T284" i="21"/>
  <c r="P284" i="21"/>
  <c r="Q284" i="21" s="1"/>
  <c r="AH282" i="21"/>
  <c r="AI282" i="21" s="1"/>
  <c r="P282" i="21"/>
  <c r="Q282" i="21" s="1"/>
  <c r="AH281" i="21"/>
  <c r="AI281" i="21" s="1"/>
  <c r="P281" i="21"/>
  <c r="Q281" i="21" s="1"/>
  <c r="AH279" i="21"/>
  <c r="AI279" i="21" s="1"/>
  <c r="Y279" i="21"/>
  <c r="T279" i="21"/>
  <c r="X279" i="21" s="1"/>
  <c r="P279" i="21"/>
  <c r="Q279" i="21" s="1"/>
  <c r="AH275" i="21"/>
  <c r="AI275" i="21" s="1"/>
  <c r="Q275" i="21"/>
  <c r="X304" i="21" l="1"/>
  <c r="Z304" i="21" s="1"/>
  <c r="X307" i="21"/>
  <c r="X300" i="21"/>
  <c r="Z300" i="21" s="1"/>
  <c r="AB279" i="21"/>
  <c r="AD279" i="21"/>
  <c r="V284" i="21"/>
  <c r="AB304" i="21" l="1"/>
  <c r="AD304" i="21"/>
  <c r="AD307" i="21"/>
  <c r="AB307" i="21"/>
  <c r="AD300" i="21"/>
  <c r="AB300" i="21"/>
  <c r="Y291" i="21"/>
  <c r="T291" i="21"/>
  <c r="X291" i="21" s="1"/>
  <c r="Z291" i="21" s="1"/>
  <c r="P291" i="21"/>
  <c r="Q291" i="21" s="1"/>
  <c r="AH289" i="21"/>
  <c r="AI289" i="21" s="1"/>
  <c r="Y289" i="21"/>
  <c r="T289" i="21"/>
  <c r="P289" i="21"/>
  <c r="Q289" i="21" s="1"/>
  <c r="AH287" i="21"/>
  <c r="AI287" i="21" s="1"/>
  <c r="P287" i="21"/>
  <c r="Q287" i="21" s="1"/>
  <c r="AH285" i="21"/>
  <c r="AI285" i="21" s="1"/>
  <c r="P285" i="21"/>
  <c r="Q285" i="21" s="1"/>
  <c r="AH274" i="21"/>
  <c r="AI274" i="21" s="1"/>
  <c r="Y274" i="21"/>
  <c r="X274" i="21"/>
  <c r="P274" i="21"/>
  <c r="Q274" i="21" s="1"/>
  <c r="AH273" i="21"/>
  <c r="AI273" i="21" s="1"/>
  <c r="P273" i="21"/>
  <c r="Q273" i="21" s="1"/>
  <c r="AH296" i="21"/>
  <c r="AI296" i="21" s="1"/>
  <c r="Y296" i="21"/>
  <c r="P296" i="21"/>
  <c r="Q296" i="21" s="1"/>
  <c r="AH295" i="21"/>
  <c r="AI295" i="21" s="1"/>
  <c r="Y295" i="21"/>
  <c r="Z295" i="21" s="1"/>
  <c r="P295" i="21"/>
  <c r="Q295" i="21" s="1"/>
  <c r="AH294" i="21"/>
  <c r="AI294" i="21" s="1"/>
  <c r="P294" i="21"/>
  <c r="Q294" i="21" s="1"/>
  <c r="AH343" i="21"/>
  <c r="AI343" i="21" s="1"/>
  <c r="AH349" i="21"/>
  <c r="AI349" i="21" s="1"/>
  <c r="AH350" i="21"/>
  <c r="AI350" i="21" s="1"/>
  <c r="AH352" i="21"/>
  <c r="AI352" i="21" s="1"/>
  <c r="AH354" i="21"/>
  <c r="AI354" i="21" s="1"/>
  <c r="AH330" i="21"/>
  <c r="AI330" i="21" s="1"/>
  <c r="AH332" i="21"/>
  <c r="AI332" i="21" s="1"/>
  <c r="AH333" i="21"/>
  <c r="AI333" i="21" s="1"/>
  <c r="AH372" i="21"/>
  <c r="AI372" i="21" s="1"/>
  <c r="AD274" i="21" l="1"/>
  <c r="AB291" i="21"/>
  <c r="AD291" i="21"/>
  <c r="X289" i="21"/>
  <c r="AD296" i="21"/>
  <c r="AB296" i="21"/>
  <c r="Q346" i="21"/>
  <c r="AD289" i="21" l="1"/>
  <c r="AB289" i="21"/>
  <c r="AD295" i="21"/>
  <c r="AB295" i="21"/>
  <c r="AH299" i="21"/>
  <c r="AI299" i="21" s="1"/>
  <c r="P299" i="21"/>
  <c r="Q299" i="21" s="1"/>
  <c r="AH310" i="21"/>
  <c r="AI310" i="21" s="1"/>
  <c r="Y310" i="21"/>
  <c r="T310" i="21"/>
  <c r="P310" i="21"/>
  <c r="Q310" i="21" s="1"/>
  <c r="AH309" i="21"/>
  <c r="AI309" i="21" s="1"/>
  <c r="Y309" i="21"/>
  <c r="Z309" i="21" s="1"/>
  <c r="P309" i="21"/>
  <c r="Q309" i="21" s="1"/>
  <c r="AH298" i="21"/>
  <c r="AI298" i="21" s="1"/>
  <c r="P298" i="21"/>
  <c r="Q298" i="21" s="1"/>
  <c r="AD309" i="21" l="1"/>
  <c r="V310" i="21"/>
  <c r="X310" i="21" s="1"/>
  <c r="Z310" i="21" s="1"/>
  <c r="AD387" i="19"/>
  <c r="AE387" i="19" s="1"/>
  <c r="AH376" i="21"/>
  <c r="AI376" i="21" s="1"/>
  <c r="AH364" i="21"/>
  <c r="AI364" i="21" s="1"/>
  <c r="AH362" i="21"/>
  <c r="AI362" i="21" s="1"/>
  <c r="AD310" i="21" l="1"/>
  <c r="AB310" i="21"/>
  <c r="AH317" i="21"/>
  <c r="AI317" i="21" s="1"/>
  <c r="Y317" i="21"/>
  <c r="P317" i="21"/>
  <c r="Q317" i="21" s="1"/>
  <c r="AH316" i="21"/>
  <c r="AI316" i="21" s="1"/>
  <c r="P316" i="21"/>
  <c r="Q316" i="21" s="1"/>
  <c r="AH315" i="21"/>
  <c r="AI315" i="21" s="1"/>
  <c r="P315" i="21"/>
  <c r="Q315" i="21" s="1"/>
  <c r="AH314" i="21"/>
  <c r="AI314" i="21" s="1"/>
  <c r="Y314" i="21"/>
  <c r="T314" i="21"/>
  <c r="P314" i="21"/>
  <c r="Q314" i="21" s="1"/>
  <c r="AH323" i="21"/>
  <c r="AI323" i="21" s="1"/>
  <c r="Y323" i="21"/>
  <c r="Z323" i="21" s="1"/>
  <c r="P323" i="21"/>
  <c r="Q323" i="21" s="1"/>
  <c r="AH322" i="21"/>
  <c r="AI322" i="21" s="1"/>
  <c r="P322" i="21"/>
  <c r="Q322" i="21" s="1"/>
  <c r="AH313" i="21"/>
  <c r="AI313" i="21" s="1"/>
  <c r="P313" i="21"/>
  <c r="Q313" i="21" s="1"/>
  <c r="AH311" i="21"/>
  <c r="AI311" i="21" s="1"/>
  <c r="Y311" i="21"/>
  <c r="T311" i="21"/>
  <c r="V311" i="21" s="1"/>
  <c r="X311" i="21" s="1"/>
  <c r="Z311" i="21" s="1"/>
  <c r="P311" i="21"/>
  <c r="Q311" i="21" s="1"/>
  <c r="AD100" i="19"/>
  <c r="AE100" i="19" s="1"/>
  <c r="AB317" i="21" l="1"/>
  <c r="AD317" i="21"/>
  <c r="V314" i="21"/>
  <c r="X314" i="21" s="1"/>
  <c r="AB311" i="21"/>
  <c r="AD311" i="21"/>
  <c r="X349" i="21"/>
  <c r="Z349" i="21" s="1"/>
  <c r="X351" i="21"/>
  <c r="Z351" i="21" s="1"/>
  <c r="X353" i="21"/>
  <c r="Z353" i="21" s="1"/>
  <c r="X359" i="21"/>
  <c r="Z359" i="21" s="1"/>
  <c r="X348" i="21"/>
  <c r="Z348" i="21" s="1"/>
  <c r="X361" i="21"/>
  <c r="Z361" i="21" s="1"/>
  <c r="X363" i="21"/>
  <c r="Z363" i="21" s="1"/>
  <c r="Z371" i="21"/>
  <c r="X371" i="21"/>
  <c r="Z373" i="21"/>
  <c r="AD314" i="21" l="1"/>
  <c r="AD323" i="21"/>
  <c r="AB323" i="21"/>
  <c r="Z383" i="21"/>
  <c r="Z382" i="21"/>
  <c r="Z368" i="21"/>
  <c r="X367" i="21"/>
  <c r="Z367" i="21" s="1"/>
  <c r="Z342" i="21"/>
  <c r="X342" i="21"/>
  <c r="X341" i="21"/>
  <c r="Z341" i="21" s="1"/>
  <c r="Z339" i="21"/>
  <c r="AH335" i="21" l="1"/>
  <c r="AI335" i="21" s="1"/>
  <c r="P335" i="21"/>
  <c r="Q335" i="21" s="1"/>
  <c r="Y332" i="21"/>
  <c r="T332" i="21"/>
  <c r="P332" i="21"/>
  <c r="Q332" i="21" s="1"/>
  <c r="Y330" i="21"/>
  <c r="T330" i="21"/>
  <c r="V330" i="21" s="1"/>
  <c r="X330" i="21" s="1"/>
  <c r="Z330" i="21" s="1"/>
  <c r="P330" i="21"/>
  <c r="Q330" i="21" s="1"/>
  <c r="AH329" i="21"/>
  <c r="AI329" i="21" s="1"/>
  <c r="P329" i="21"/>
  <c r="Q329" i="21" s="1"/>
  <c r="AH336" i="21"/>
  <c r="AI336" i="21" s="1"/>
  <c r="P336" i="21"/>
  <c r="Q336" i="21" s="1"/>
  <c r="AH328" i="21"/>
  <c r="AI328" i="21" s="1"/>
  <c r="T328" i="21"/>
  <c r="P328" i="21"/>
  <c r="Q328" i="21" s="1"/>
  <c r="AH327" i="21"/>
  <c r="AI327" i="21" s="1"/>
  <c r="P327" i="21"/>
  <c r="Q327" i="21" s="1"/>
  <c r="V333" i="21" l="1"/>
  <c r="AB330" i="21"/>
  <c r="AD330" i="21"/>
  <c r="V332" i="21"/>
  <c r="AB336" i="21"/>
  <c r="AD336" i="21"/>
  <c r="X328" i="21"/>
  <c r="Z328" i="21" s="1"/>
  <c r="AD99" i="19"/>
  <c r="AE99" i="19" s="1"/>
  <c r="X332" i="21" l="1"/>
  <c r="AB332" i="21" s="1"/>
  <c r="AD328" i="21"/>
  <c r="AD419" i="19"/>
  <c r="AE419" i="19" s="1"/>
  <c r="AC739" i="17"/>
  <c r="AD739" i="17" s="1"/>
  <c r="AD47" i="19"/>
  <c r="AE47" i="19" s="1"/>
  <c r="AH384" i="21"/>
  <c r="AI384" i="21" s="1"/>
  <c r="AH385" i="21"/>
  <c r="AI385" i="21" s="1"/>
  <c r="AD332" i="21" l="1"/>
  <c r="AH347" i="21"/>
  <c r="AI347" i="21" s="1"/>
  <c r="P347" i="21"/>
  <c r="Q347" i="21" s="1"/>
  <c r="AH342" i="21"/>
  <c r="AI342" i="21" s="1"/>
  <c r="Y342" i="21"/>
  <c r="P342" i="21"/>
  <c r="Q342" i="21" s="1"/>
  <c r="AH341" i="21"/>
  <c r="AI341" i="21" s="1"/>
  <c r="Y341" i="21"/>
  <c r="P341" i="21"/>
  <c r="Q341" i="21" s="1"/>
  <c r="AH339" i="21"/>
  <c r="AI339" i="21" s="1"/>
  <c r="Y339" i="21"/>
  <c r="T339" i="21"/>
  <c r="V339" i="21" s="1"/>
  <c r="P339" i="21"/>
  <c r="Q339" i="21" s="1"/>
  <c r="AH338" i="21"/>
  <c r="AI338" i="21" s="1"/>
  <c r="P338" i="21"/>
  <c r="Q338" i="21" s="1"/>
  <c r="AD341" i="21" l="1"/>
  <c r="AB341" i="21"/>
  <c r="X339" i="21"/>
  <c r="Z408" i="21"/>
  <c r="AD342" i="21" l="1"/>
  <c r="AD339" i="21"/>
  <c r="AB339" i="21"/>
  <c r="AD344" i="19"/>
  <c r="AE344" i="19" s="1"/>
  <c r="AD20" i="19"/>
  <c r="AE20" i="19" s="1"/>
  <c r="AD19" i="19"/>
  <c r="AE19" i="19" s="1"/>
  <c r="AH359" i="21" l="1"/>
  <c r="AI359" i="21" s="1"/>
  <c r="Y359" i="21"/>
  <c r="P359" i="21"/>
  <c r="Q359" i="21" s="1"/>
  <c r="AH358" i="21"/>
  <c r="AI358" i="21" s="1"/>
  <c r="Y358" i="21"/>
  <c r="T358" i="21"/>
  <c r="P358" i="21"/>
  <c r="Q358" i="21" s="1"/>
  <c r="AH356" i="21"/>
  <c r="AI356" i="21" s="1"/>
  <c r="Y356" i="21"/>
  <c r="T356" i="21"/>
  <c r="V356" i="21" s="1"/>
  <c r="X356" i="21" s="1"/>
  <c r="Z356" i="21" s="1"/>
  <c r="P356" i="21"/>
  <c r="Q356" i="21" s="1"/>
  <c r="AH355" i="21"/>
  <c r="AI355" i="21" s="1"/>
  <c r="Y355" i="21"/>
  <c r="T355" i="21"/>
  <c r="V355" i="21" s="1"/>
  <c r="P355" i="21"/>
  <c r="Q355" i="21" s="1"/>
  <c r="AH353" i="21"/>
  <c r="AI353" i="21" s="1"/>
  <c r="Y353" i="21"/>
  <c r="P353" i="21"/>
  <c r="Q353" i="21" s="1"/>
  <c r="AD353" i="21" l="1"/>
  <c r="AB353" i="21"/>
  <c r="AD359" i="21"/>
  <c r="AB359" i="21"/>
  <c r="AD356" i="21"/>
  <c r="AB356" i="21"/>
  <c r="V358" i="21"/>
  <c r="X358" i="21" s="1"/>
  <c r="X355" i="21"/>
  <c r="Z355" i="21" s="1"/>
  <c r="AD32" i="19"/>
  <c r="AE32" i="19" s="1"/>
  <c r="AD358" i="21" l="1"/>
  <c r="AB358" i="21"/>
  <c r="AD355" i="21"/>
  <c r="AB355" i="21"/>
  <c r="AH363" i="21"/>
  <c r="AI363" i="21" s="1"/>
  <c r="Y363" i="21"/>
  <c r="P363" i="21"/>
  <c r="Q363" i="21" s="1"/>
  <c r="AH361" i="21"/>
  <c r="AI361" i="21" s="1"/>
  <c r="Y361" i="21"/>
  <c r="P361" i="21"/>
  <c r="Q361" i="21" s="1"/>
  <c r="AH360" i="21"/>
  <c r="AI360" i="21" s="1"/>
  <c r="P360" i="21"/>
  <c r="Q360" i="21" s="1"/>
  <c r="AH351" i="21"/>
  <c r="AI351" i="21" s="1"/>
  <c r="Y351" i="21"/>
  <c r="P351" i="21"/>
  <c r="Q351" i="21" s="1"/>
  <c r="AH367" i="21"/>
  <c r="AI367" i="21" s="1"/>
  <c r="P367" i="21"/>
  <c r="Q367" i="21" s="1"/>
  <c r="Y349" i="21"/>
  <c r="P349" i="21"/>
  <c r="Q349" i="21" s="1"/>
  <c r="AH348" i="21"/>
  <c r="AI348" i="21" s="1"/>
  <c r="Q348" i="21"/>
  <c r="AB363" i="21" l="1"/>
  <c r="AD363" i="21"/>
  <c r="AH373" i="21"/>
  <c r="AI373" i="21" s="1"/>
  <c r="Y373" i="21"/>
  <c r="T373" i="21"/>
  <c r="V373" i="21" s="1"/>
  <c r="X373" i="21" s="1"/>
  <c r="P373" i="21"/>
  <c r="Q373" i="21" s="1"/>
  <c r="AH371" i="21"/>
  <c r="AI371" i="21" s="1"/>
  <c r="Y371" i="21"/>
  <c r="P371" i="21"/>
  <c r="Q371" i="21" s="1"/>
  <c r="AH370" i="21"/>
  <c r="AI370" i="21" s="1"/>
  <c r="P370" i="21"/>
  <c r="Q370" i="21" s="1"/>
  <c r="AH368" i="21"/>
  <c r="AI368" i="21" s="1"/>
  <c r="Y368" i="21"/>
  <c r="T368" i="21"/>
  <c r="P368" i="21"/>
  <c r="Q368" i="21" s="1"/>
  <c r="AD361" i="21" l="1"/>
  <c r="AB361" i="21"/>
  <c r="AD351" i="21"/>
  <c r="AB351" i="21"/>
  <c r="AD349" i="21"/>
  <c r="AB349" i="21"/>
  <c r="AB373" i="21"/>
  <c r="AD373" i="21"/>
  <c r="V368" i="21"/>
  <c r="X368" i="21" s="1"/>
  <c r="Y208" i="21"/>
  <c r="Z208" i="21" s="1"/>
  <c r="Z384" i="21"/>
  <c r="AH382" i="21"/>
  <c r="AI382" i="21" s="1"/>
  <c r="Y382" i="21"/>
  <c r="T382" i="21"/>
  <c r="V382" i="21" s="1"/>
  <c r="X382" i="21" s="1"/>
  <c r="P382" i="21"/>
  <c r="Q382" i="21" s="1"/>
  <c r="AH381" i="21"/>
  <c r="AI381" i="21" s="1"/>
  <c r="P381" i="21"/>
  <c r="Q381" i="21" s="1"/>
  <c r="AH378" i="21"/>
  <c r="AI378" i="21" s="1"/>
  <c r="Y378" i="21"/>
  <c r="T378" i="21"/>
  <c r="P378" i="21"/>
  <c r="Q378" i="21" s="1"/>
  <c r="AH377" i="21"/>
  <c r="AI377" i="21" s="1"/>
  <c r="P377" i="21"/>
  <c r="Q377" i="21" s="1"/>
  <c r="AD368" i="21" l="1"/>
  <c r="AB368" i="21"/>
  <c r="AD371" i="21"/>
  <c r="AB371" i="21"/>
  <c r="AB382" i="21"/>
  <c r="AD382" i="21"/>
  <c r="V378" i="21"/>
  <c r="X378" i="21" s="1"/>
  <c r="Z378" i="21" s="1"/>
  <c r="AD378" i="21" l="1"/>
  <c r="AB378" i="21"/>
  <c r="AD4" i="19"/>
  <c r="AE4" i="19" s="1"/>
  <c r="AD6" i="19"/>
  <c r="AE6" i="19" s="1"/>
  <c r="AD156" i="19"/>
  <c r="AE156" i="19" s="1"/>
  <c r="Y384" i="21" l="1"/>
  <c r="T384" i="21"/>
  <c r="V384" i="21" s="1"/>
  <c r="X384" i="21" s="1"/>
  <c r="P384" i="21"/>
  <c r="Q384" i="21" s="1"/>
  <c r="AH383" i="21"/>
  <c r="AI383" i="21" s="1"/>
  <c r="Y383" i="21"/>
  <c r="T383" i="21"/>
  <c r="P383" i="21"/>
  <c r="Q383" i="21" s="1"/>
  <c r="AH375" i="21"/>
  <c r="AI375" i="21" s="1"/>
  <c r="P375" i="21"/>
  <c r="Q375" i="21" s="1"/>
  <c r="AH208" i="21"/>
  <c r="AI208" i="21" s="1"/>
  <c r="AH386" i="21"/>
  <c r="AI386" i="21" s="1"/>
  <c r="T208" i="21"/>
  <c r="V208" i="21" s="1"/>
  <c r="P208" i="21"/>
  <c r="Q208" i="21" s="1"/>
  <c r="P386" i="21"/>
  <c r="Q386" i="21" s="1"/>
  <c r="AB384" i="21" l="1"/>
  <c r="AD384" i="21"/>
  <c r="X208" i="21"/>
  <c r="V383" i="21"/>
  <c r="X383" i="21" s="1"/>
  <c r="Z400" i="21"/>
  <c r="X399" i="21"/>
  <c r="Z396" i="21"/>
  <c r="Z401" i="21"/>
  <c r="AB208" i="21" l="1"/>
  <c r="AD208" i="21"/>
  <c r="AD383" i="21"/>
  <c r="AB383" i="21"/>
  <c r="Y396" i="21"/>
  <c r="Y400" i="21"/>
  <c r="Y401" i="21"/>
  <c r="Y3" i="21"/>
  <c r="AD23" i="19" l="1"/>
  <c r="AE23" i="19" s="1"/>
  <c r="AD18" i="19"/>
  <c r="AE18" i="19" s="1"/>
  <c r="AD8" i="19"/>
  <c r="AE8" i="19" s="1"/>
  <c r="AD12" i="19"/>
  <c r="AE12" i="19" s="1"/>
  <c r="AH388" i="21"/>
  <c r="AI388" i="21" s="1"/>
  <c r="AH389" i="21"/>
  <c r="AI389" i="21" s="1"/>
  <c r="AH391" i="21"/>
  <c r="AI391" i="21" s="1"/>
  <c r="X393" i="21"/>
  <c r="P388" i="21"/>
  <c r="Q388" i="21" s="1"/>
  <c r="P389" i="21"/>
  <c r="Q389" i="21" s="1"/>
  <c r="P391" i="21"/>
  <c r="Q391" i="21" s="1"/>
  <c r="AH387" i="21"/>
  <c r="AI387" i="21" s="1"/>
  <c r="AH392" i="21"/>
  <c r="AI392" i="21" s="1"/>
  <c r="AH393" i="21"/>
  <c r="AI393" i="21" s="1"/>
  <c r="AH394" i="21"/>
  <c r="AI394" i="21" s="1"/>
  <c r="AH395" i="21"/>
  <c r="AI395" i="21" s="1"/>
  <c r="AH396" i="21"/>
  <c r="AI396" i="21" s="1"/>
  <c r="AH399" i="21"/>
  <c r="AI399" i="21" s="1"/>
  <c r="AD25" i="19"/>
  <c r="AE25" i="19" s="1"/>
  <c r="Q410" i="21" l="1"/>
  <c r="P387" i="21"/>
  <c r="Q387" i="21" s="1"/>
  <c r="P392" i="21"/>
  <c r="Q392" i="21" s="1"/>
  <c r="P393" i="21"/>
  <c r="Q393" i="21" s="1"/>
  <c r="P394" i="21"/>
  <c r="Q394" i="21" s="1"/>
  <c r="P395" i="21"/>
  <c r="Q395" i="21" s="1"/>
  <c r="P396" i="21"/>
  <c r="Q396" i="21" s="1"/>
  <c r="P399" i="21"/>
  <c r="Q399" i="21" s="1"/>
  <c r="Q411" i="21"/>
  <c r="V408" i="21" l="1"/>
  <c r="V409" i="21"/>
  <c r="V413" i="21"/>
  <c r="V414" i="21"/>
  <c r="V415" i="21"/>
  <c r="V416" i="21"/>
  <c r="V417" i="21"/>
  <c r="V418" i="21"/>
  <c r="T396" i="21"/>
  <c r="X396" i="21" s="1"/>
  <c r="T400" i="21"/>
  <c r="V400" i="21" s="1"/>
  <c r="X400" i="21" s="1"/>
  <c r="AD400" i="21" s="1"/>
  <c r="T401" i="21"/>
  <c r="V405" i="21"/>
  <c r="X405" i="21" s="1"/>
  <c r="Z405" i="21" s="1"/>
  <c r="V412" i="21"/>
  <c r="T3" i="21"/>
  <c r="V3" i="21" s="1"/>
  <c r="X3" i="21" s="1"/>
  <c r="AD3" i="21" l="1"/>
  <c r="AB3" i="21"/>
  <c r="AB400" i="21"/>
  <c r="AD396" i="21"/>
  <c r="V401" i="21"/>
  <c r="X401" i="21" s="1"/>
  <c r="V399" i="21"/>
  <c r="AD399" i="21" s="1"/>
  <c r="AD22" i="19"/>
  <c r="AE22" i="19" s="1"/>
  <c r="Q413" i="21"/>
  <c r="P400" i="21"/>
  <c r="Q400" i="21" s="1"/>
  <c r="P401" i="21"/>
  <c r="Q401" i="21" s="1"/>
  <c r="P405" i="21"/>
  <c r="Q405" i="21" s="1"/>
  <c r="P406" i="21"/>
  <c r="Q406" i="21" s="1"/>
  <c r="P407" i="21"/>
  <c r="Q407" i="21" s="1"/>
  <c r="P408" i="21"/>
  <c r="Q408" i="21" s="1"/>
  <c r="P409" i="21"/>
  <c r="Q409" i="21" s="1"/>
  <c r="P412" i="21"/>
  <c r="Q412" i="21" s="1"/>
  <c r="P414" i="21"/>
  <c r="Q414" i="21" s="1"/>
  <c r="P415" i="21"/>
  <c r="Q415" i="21" s="1"/>
  <c r="P416" i="21"/>
  <c r="Q416" i="21" s="1"/>
  <c r="P417" i="21"/>
  <c r="Q417" i="21" s="1"/>
  <c r="P418" i="21"/>
  <c r="Q418" i="21" s="1"/>
  <c r="P3" i="21"/>
  <c r="Q3" i="21" s="1"/>
  <c r="AH400" i="21"/>
  <c r="AI400" i="21" s="1"/>
  <c r="AH401" i="21"/>
  <c r="AI401" i="21" s="1"/>
  <c r="AH405" i="21"/>
  <c r="AI405" i="21" s="1"/>
  <c r="AH406" i="21"/>
  <c r="AI406" i="21" s="1"/>
  <c r="AH407" i="21"/>
  <c r="AI407" i="21" s="1"/>
  <c r="AH408" i="21"/>
  <c r="AI408" i="21" s="1"/>
  <c r="AH409" i="21"/>
  <c r="AI409" i="21" s="1"/>
  <c r="AH412" i="21"/>
  <c r="AI412" i="21" s="1"/>
  <c r="AH413" i="21"/>
  <c r="AI413" i="21" s="1"/>
  <c r="AH414" i="21"/>
  <c r="AI414" i="21" s="1"/>
  <c r="AH415" i="21"/>
  <c r="AI415" i="21" s="1"/>
  <c r="AH416" i="21"/>
  <c r="AI416" i="21" s="1"/>
  <c r="AH417" i="21"/>
  <c r="AI417" i="21" s="1"/>
  <c r="AH418" i="21"/>
  <c r="AI418" i="21" s="1"/>
  <c r="AH3" i="21"/>
  <c r="AI3" i="21" s="1"/>
  <c r="AB401" i="21" l="1"/>
  <c r="AD401" i="21"/>
  <c r="AB396" i="21"/>
  <c r="Z399" i="21"/>
  <c r="AB399" i="21"/>
  <c r="W55" i="19"/>
  <c r="AA55" i="19" s="1"/>
  <c r="W58" i="19"/>
  <c r="AA58" i="19" s="1"/>
  <c r="T12" i="19"/>
  <c r="W37" i="19"/>
  <c r="AA37" i="19" s="1"/>
  <c r="T26" i="19"/>
  <c r="W26" i="19" s="1"/>
  <c r="W19" i="19"/>
  <c r="Y19" i="19" s="1"/>
  <c r="W6" i="19"/>
  <c r="AA6" i="19" s="1"/>
  <c r="W29" i="19"/>
  <c r="AA29" i="19" s="1"/>
  <c r="X416" i="21"/>
  <c r="X408" i="21"/>
  <c r="AA19" i="19" l="1"/>
  <c r="Y6" i="19"/>
  <c r="Y26" i="19"/>
  <c r="AA26" i="19"/>
  <c r="Y29" i="19"/>
  <c r="V12" i="19"/>
  <c r="W12" i="19" s="1"/>
  <c r="Y55" i="19"/>
  <c r="Y37" i="19"/>
  <c r="Y58" i="19"/>
  <c r="AB416" i="21"/>
  <c r="AD416" i="21"/>
  <c r="AB408" i="21"/>
  <c r="Z416" i="21"/>
  <c r="AD408" i="21"/>
  <c r="AD224" i="19"/>
  <c r="AE224" i="19" s="1"/>
  <c r="AD5" i="19"/>
  <c r="AE5" i="19" s="1"/>
  <c r="Y12" i="19" l="1"/>
  <c r="AA12" i="19"/>
  <c r="AD104" i="19"/>
  <c r="AE104" i="19" s="1"/>
  <c r="AD437" i="19"/>
  <c r="AE437" i="19" s="1"/>
  <c r="AD60" i="19"/>
  <c r="AE60" i="19" s="1"/>
  <c r="AD28" i="19"/>
  <c r="AE28" i="19" s="1"/>
  <c r="AD35" i="19"/>
  <c r="AE35" i="19" s="1"/>
  <c r="AD33" i="19"/>
  <c r="AE33" i="19" s="1"/>
  <c r="AD34" i="19"/>
  <c r="AE34" i="19" s="1"/>
  <c r="AD141" i="19"/>
  <c r="AE141" i="19" s="1"/>
  <c r="AD27" i="19"/>
  <c r="AE27" i="19" s="1"/>
  <c r="AD38" i="19"/>
  <c r="AE38" i="19" s="1"/>
  <c r="AD37" i="19"/>
  <c r="AE37" i="19" s="1"/>
  <c r="AD76" i="19" l="1"/>
  <c r="AE76" i="19" s="1"/>
  <c r="AD24" i="19"/>
  <c r="AE24" i="19" s="1"/>
  <c r="AE478" i="19"/>
  <c r="AD223" i="19"/>
  <c r="AE223" i="19" s="1"/>
  <c r="AD17" i="19"/>
  <c r="AE17" i="19" s="1"/>
  <c r="AD7" i="19"/>
  <c r="AE7" i="19" s="1"/>
  <c r="AD9" i="19"/>
  <c r="AE9" i="19" s="1"/>
  <c r="AD10" i="19"/>
  <c r="AE10" i="19" s="1"/>
  <c r="AD11" i="19"/>
  <c r="AE11" i="19" s="1"/>
  <c r="Q29" i="19" l="1"/>
  <c r="P45" i="19"/>
  <c r="Q45" i="19" s="1"/>
  <c r="P44" i="19"/>
  <c r="Q44" i="19" s="1"/>
  <c r="P43" i="19"/>
  <c r="Q43" i="19" s="1"/>
  <c r="P42" i="19"/>
  <c r="Q42" i="19" s="1"/>
  <c r="P37" i="19"/>
  <c r="Q37" i="19" s="1"/>
  <c r="P35" i="19"/>
  <c r="Q35" i="19" s="1"/>
  <c r="P34" i="19"/>
  <c r="Q34" i="19" s="1"/>
  <c r="P33" i="19"/>
  <c r="Q33" i="19" s="1"/>
  <c r="P32" i="19"/>
  <c r="Q32" i="19" s="1"/>
  <c r="P26" i="19"/>
  <c r="Q26" i="19" s="1"/>
  <c r="P25" i="19"/>
  <c r="Q25" i="19" s="1"/>
  <c r="P24" i="19"/>
  <c r="Q24" i="19" s="1"/>
  <c r="P23" i="19"/>
  <c r="Q23" i="19" s="1"/>
  <c r="P22" i="19"/>
  <c r="Q22" i="19" s="1"/>
  <c r="Q21" i="19"/>
  <c r="P19" i="19"/>
  <c r="Q19" i="19" s="1"/>
  <c r="P18" i="19"/>
  <c r="Q18" i="19" s="1"/>
  <c r="P17" i="19"/>
  <c r="Q17" i="19" s="1"/>
  <c r="P12" i="19"/>
  <c r="Q12" i="19" s="1"/>
  <c r="P11" i="19"/>
  <c r="Q11" i="19" s="1"/>
  <c r="P10" i="19"/>
  <c r="Q10" i="19" s="1"/>
  <c r="P9" i="19"/>
  <c r="Q9" i="19" s="1"/>
  <c r="P8" i="19"/>
  <c r="Q8" i="19" s="1"/>
  <c r="P7" i="19"/>
  <c r="Q7" i="19" s="1"/>
  <c r="P6" i="19"/>
  <c r="Q6" i="19" s="1"/>
  <c r="P5" i="19"/>
  <c r="Q5" i="19" s="1"/>
  <c r="P4" i="19"/>
  <c r="Q4" i="19" s="1"/>
  <c r="AD40" i="19" l="1"/>
  <c r="AE40" i="19" s="1"/>
  <c r="AD56" i="19"/>
  <c r="AE56" i="19" s="1"/>
  <c r="AD39" i="19"/>
  <c r="AE39" i="19" s="1"/>
  <c r="AD115" i="19"/>
  <c r="AE115" i="19" s="1"/>
  <c r="AD244" i="19"/>
  <c r="AE244" i="19" s="1"/>
  <c r="AD261" i="19"/>
  <c r="AE261" i="19" s="1"/>
  <c r="AD61" i="19"/>
  <c r="AE61" i="19" s="1"/>
  <c r="AD250" i="19"/>
  <c r="AE250" i="19" s="1"/>
  <c r="AD62" i="19"/>
  <c r="AE62" i="19" s="1"/>
  <c r="AD255" i="19"/>
  <c r="AE255" i="19" s="1"/>
  <c r="AD247" i="19"/>
  <c r="AE247" i="19" s="1"/>
  <c r="AD50" i="19"/>
  <c r="AE50" i="19" s="1"/>
  <c r="AD234" i="19"/>
  <c r="AE234" i="19" s="1"/>
  <c r="AD308" i="19"/>
  <c r="AE308" i="19" s="1"/>
  <c r="AD238" i="19"/>
  <c r="AE238" i="19" s="1"/>
  <c r="AD241" i="19"/>
  <c r="AE241" i="19" s="1"/>
  <c r="AD127" i="19"/>
  <c r="AE127" i="19" s="1"/>
  <c r="AD26" i="19" l="1"/>
  <c r="AE26" i="19" s="1"/>
  <c r="AD64" i="19"/>
  <c r="AE64" i="19" s="1"/>
  <c r="AD79" i="19"/>
  <c r="AE79" i="19" s="1"/>
  <c r="AD31" i="19"/>
  <c r="AE31" i="19" s="1"/>
  <c r="AD30" i="19"/>
  <c r="AE30" i="19" s="1"/>
  <c r="AD454" i="19"/>
  <c r="AE454" i="19" s="1"/>
  <c r="AD71" i="19"/>
  <c r="AE71" i="19" s="1"/>
  <c r="AD69" i="19"/>
  <c r="AE69" i="19" s="1"/>
  <c r="AD94" i="19"/>
  <c r="AE94" i="19" s="1"/>
  <c r="AD93" i="19"/>
  <c r="AE93" i="19" s="1"/>
  <c r="AD49" i="19"/>
  <c r="AE49" i="19" s="1"/>
  <c r="AD36" i="19"/>
  <c r="AE36" i="19" s="1"/>
  <c r="P36" i="19"/>
  <c r="Q36" i="19" s="1"/>
  <c r="AD52" i="19"/>
  <c r="AE52" i="19" s="1"/>
  <c r="AD59" i="19"/>
  <c r="AE59" i="19" s="1"/>
  <c r="AD77" i="19"/>
  <c r="AE77" i="19" s="1"/>
  <c r="AD96" i="19"/>
  <c r="AE96" i="19" s="1"/>
  <c r="AD290" i="19"/>
  <c r="AE290" i="19" s="1"/>
  <c r="P39" i="19"/>
  <c r="Q39" i="19" s="1"/>
  <c r="P40" i="19"/>
  <c r="Q40" i="19" s="1"/>
  <c r="P30" i="19"/>
  <c r="Q30" i="19" s="1"/>
  <c r="AD86" i="19" l="1"/>
  <c r="AE86" i="19" s="1"/>
  <c r="AD48" i="19"/>
  <c r="AE48" i="19" s="1"/>
  <c r="AD74" i="19"/>
  <c r="AE74" i="19" s="1"/>
  <c r="AD81" i="19"/>
  <c r="AE81" i="19" s="1"/>
  <c r="AD80" i="19"/>
  <c r="AE80" i="19" s="1"/>
  <c r="AD439" i="19" l="1"/>
  <c r="AE439" i="19" s="1"/>
  <c r="AC450" i="17"/>
  <c r="AD450" i="17"/>
  <c r="AE477" i="19"/>
  <c r="AD53" i="19"/>
  <c r="AE53" i="19" s="1"/>
  <c r="Q46" i="19" l="1"/>
  <c r="P53" i="19"/>
  <c r="Q53" i="19" s="1"/>
  <c r="P51" i="19"/>
  <c r="Q51" i="19" s="1"/>
  <c r="P49" i="19"/>
  <c r="Q49" i="19" s="1"/>
  <c r="P48" i="19"/>
  <c r="Q48" i="19" s="1"/>
  <c r="P47" i="19"/>
  <c r="Q47" i="19" s="1"/>
  <c r="P63" i="19" l="1"/>
  <c r="Q63" i="19" s="1"/>
  <c r="Q58" i="19"/>
  <c r="Q55" i="19"/>
  <c r="AD51" i="19"/>
  <c r="AE51" i="19" s="1"/>
  <c r="AD122" i="19"/>
  <c r="AE122" i="19" s="1"/>
  <c r="AD98" i="19"/>
  <c r="AE98" i="19" s="1"/>
  <c r="AD111" i="19"/>
  <c r="AE111" i="19" s="1"/>
  <c r="AD73" i="19"/>
  <c r="AE73" i="19" s="1"/>
  <c r="AD54" i="19"/>
  <c r="AE54" i="19" s="1"/>
  <c r="AD57" i="19"/>
  <c r="AE57" i="19" s="1"/>
  <c r="P69" i="19" l="1"/>
  <c r="Q69" i="19" s="1"/>
  <c r="P62" i="19"/>
  <c r="Q62" i="19" s="1"/>
  <c r="P61" i="19"/>
  <c r="Q61" i="19" s="1"/>
  <c r="P60" i="19"/>
  <c r="Q60" i="19" s="1"/>
  <c r="P57" i="19"/>
  <c r="Q57" i="19" s="1"/>
  <c r="P54" i="19"/>
  <c r="Q54" i="19" s="1"/>
  <c r="W64" i="19" l="1"/>
  <c r="AA64" i="19" s="1"/>
  <c r="T65" i="19"/>
  <c r="V65" i="19" s="1"/>
  <c r="W65" i="19" s="1"/>
  <c r="W56" i="19"/>
  <c r="AA56" i="19" s="1"/>
  <c r="P56" i="19"/>
  <c r="Q56" i="19" s="1"/>
  <c r="T59" i="19"/>
  <c r="P59" i="19"/>
  <c r="Q59" i="19" s="1"/>
  <c r="AA65" i="19" l="1"/>
  <c r="Y65" i="19"/>
  <c r="Y56" i="19"/>
  <c r="Y64" i="19"/>
  <c r="V59" i="19"/>
  <c r="W59" i="19" s="1"/>
  <c r="AD92" i="19"/>
  <c r="AE92" i="19" s="1"/>
  <c r="AD91" i="19"/>
  <c r="AE91" i="19" s="1"/>
  <c r="AD66" i="19"/>
  <c r="AE66" i="19" s="1"/>
  <c r="AD65" i="19"/>
  <c r="AE65" i="19" s="1"/>
  <c r="AD252" i="19"/>
  <c r="AE252" i="19" s="1"/>
  <c r="AA59" i="19" l="1"/>
  <c r="Y59" i="19"/>
  <c r="P65" i="19"/>
  <c r="Q65" i="19" s="1"/>
  <c r="P64" i="19"/>
  <c r="Q64" i="19" s="1"/>
  <c r="AD155" i="19" l="1"/>
  <c r="AE155" i="19" s="1"/>
  <c r="AE107" i="19"/>
  <c r="Q107" i="19"/>
  <c r="AE108" i="19"/>
  <c r="W78" i="19" l="1"/>
  <c r="Y78" i="19" s="1"/>
  <c r="T80" i="19"/>
  <c r="W70" i="19"/>
  <c r="Y70" i="19" s="1"/>
  <c r="T87" i="19"/>
  <c r="T77" i="19"/>
  <c r="T75" i="19"/>
  <c r="V75" i="19" s="1"/>
  <c r="W75" i="19" s="1"/>
  <c r="AA75" i="19" l="1"/>
  <c r="Y75" i="19"/>
  <c r="V77" i="19"/>
  <c r="W77" i="19" s="1"/>
  <c r="V80" i="19"/>
  <c r="W80" i="19" s="1"/>
  <c r="V87" i="19"/>
  <c r="W87" i="19" s="1"/>
  <c r="AD436" i="19"/>
  <c r="AE436" i="19" s="1"/>
  <c r="AD90" i="19"/>
  <c r="AE90" i="19" s="1"/>
  <c r="AD205" i="19"/>
  <c r="AE205" i="19" s="1"/>
  <c r="AD204" i="19"/>
  <c r="AE204" i="19" s="1"/>
  <c r="AD70" i="19"/>
  <c r="AE70" i="19" s="1"/>
  <c r="Y80" i="19" l="1"/>
  <c r="AA80" i="19"/>
  <c r="Y77" i="19"/>
  <c r="AA77" i="19"/>
  <c r="AA87" i="19"/>
  <c r="Y87" i="19"/>
  <c r="P73" i="19"/>
  <c r="Q73" i="19" s="1"/>
  <c r="P71" i="19"/>
  <c r="Q71" i="19" s="1"/>
  <c r="P70" i="19"/>
  <c r="Q70" i="19" s="1"/>
  <c r="AD72" i="19" l="1"/>
  <c r="AE72" i="19" s="1"/>
  <c r="P72" i="19"/>
  <c r="Q72" i="19" s="1"/>
  <c r="AD134" i="19"/>
  <c r="AE134" i="19" s="1"/>
  <c r="AC392" i="17"/>
  <c r="AD392" i="17" s="1"/>
  <c r="AC400" i="17"/>
  <c r="AD400" i="17" s="1"/>
  <c r="AC404" i="17"/>
  <c r="AD404" i="17" s="1"/>
  <c r="AC408" i="17"/>
  <c r="AD408" i="17" s="1"/>
  <c r="AD75" i="19"/>
  <c r="AE75" i="19" s="1"/>
  <c r="AD88" i="19"/>
  <c r="AE88" i="19" s="1"/>
  <c r="AD87" i="19"/>
  <c r="AE87" i="19" s="1"/>
  <c r="P87" i="19" l="1"/>
  <c r="Q87" i="19" s="1"/>
  <c r="P86" i="19"/>
  <c r="Q86" i="19" s="1"/>
  <c r="P80" i="19"/>
  <c r="Q80" i="19" s="1"/>
  <c r="P77" i="19"/>
  <c r="Q77" i="19" s="1"/>
  <c r="P75" i="19"/>
  <c r="Q75" i="19" s="1"/>
  <c r="AD78" i="19" l="1"/>
  <c r="AE78" i="19" s="1"/>
  <c r="P78" i="19"/>
  <c r="Q78" i="19" s="1"/>
  <c r="AD89" i="19"/>
  <c r="AE89" i="19" s="1"/>
  <c r="P89" i="19"/>
  <c r="Q89" i="19" s="1"/>
  <c r="P90" i="19" l="1"/>
  <c r="Q90" i="19" s="1"/>
  <c r="AD229" i="19" l="1"/>
  <c r="AE229" i="19" s="1"/>
  <c r="AC361" i="17"/>
  <c r="AD361" i="17" s="1"/>
  <c r="AC365" i="17"/>
  <c r="AD365" i="17" s="1"/>
  <c r="AC371" i="17"/>
  <c r="AD371" i="17" s="1"/>
  <c r="AC379" i="17"/>
  <c r="AD379" i="17" s="1"/>
  <c r="AC375" i="17"/>
  <c r="AD375" i="17" s="1"/>
  <c r="AC383" i="17"/>
  <c r="AD383" i="17" s="1"/>
  <c r="AC387" i="17"/>
  <c r="AD387" i="17" s="1"/>
  <c r="AD385" i="19"/>
  <c r="AE385" i="19" s="1"/>
  <c r="AC396" i="17"/>
  <c r="AD396" i="17" s="1"/>
  <c r="AD97" i="19"/>
  <c r="AE97" i="19" s="1"/>
  <c r="AD154" i="19"/>
  <c r="AE154" i="19" s="1"/>
  <c r="AD336" i="19"/>
  <c r="AE336" i="19" s="1"/>
  <c r="AD106" i="19"/>
  <c r="AE106" i="19" s="1"/>
  <c r="AD228" i="19"/>
  <c r="AE228" i="19" s="1"/>
  <c r="AD130" i="19"/>
  <c r="AE130" i="19" s="1"/>
  <c r="AD118" i="19"/>
  <c r="AE118" i="19" s="1"/>
  <c r="AD121" i="19"/>
  <c r="AE121" i="19" s="1"/>
  <c r="AD243" i="19"/>
  <c r="AE243" i="19" s="1"/>
  <c r="AD128" i="19"/>
  <c r="AE128" i="19" s="1"/>
  <c r="AD383" i="19"/>
  <c r="AE383" i="19" s="1"/>
  <c r="AD355" i="19"/>
  <c r="AE355" i="19" s="1"/>
  <c r="AD543" i="19"/>
  <c r="AE543" i="19" s="1"/>
  <c r="Q109" i="19" l="1"/>
  <c r="P97" i="19"/>
  <c r="Q97" i="19" s="1"/>
  <c r="P96" i="19"/>
  <c r="Q96" i="19" s="1"/>
  <c r="P91" i="19"/>
  <c r="Q91" i="19" s="1"/>
  <c r="P105" i="19" l="1"/>
  <c r="Q105" i="19" s="1"/>
  <c r="P103" i="19"/>
  <c r="Q103" i="19" s="1"/>
  <c r="P99" i="19"/>
  <c r="Q99" i="19" s="1"/>
  <c r="P98" i="19"/>
  <c r="Q98" i="19" s="1"/>
  <c r="AD103" i="19" l="1"/>
  <c r="AE103" i="19" s="1"/>
  <c r="AD123" i="19"/>
  <c r="AE123" i="19" s="1"/>
  <c r="AD318" i="19"/>
  <c r="AE318" i="19" s="1"/>
  <c r="AD113" i="19"/>
  <c r="AE113" i="19" s="1"/>
  <c r="AD112" i="19"/>
  <c r="AE112" i="19" s="1"/>
  <c r="AD260" i="19"/>
  <c r="AE260" i="19" s="1"/>
  <c r="AD249" i="19"/>
  <c r="AE249" i="19" s="1"/>
  <c r="AD254" i="19"/>
  <c r="AE254" i="19" s="1"/>
  <c r="AD246" i="19" l="1"/>
  <c r="AE246" i="19" s="1"/>
  <c r="AC414" i="17"/>
  <c r="AD414" i="17"/>
  <c r="AC505" i="17"/>
  <c r="AD505" i="17" s="1"/>
  <c r="AC522" i="17"/>
  <c r="AD522" i="17" s="1"/>
  <c r="AC497" i="17"/>
  <c r="AD497" i="17" s="1"/>
  <c r="AC513" i="17"/>
  <c r="AD513" i="17" s="1"/>
  <c r="AC517" i="17"/>
  <c r="AD517" i="17" s="1"/>
  <c r="AC509" i="17"/>
  <c r="AD509" i="17"/>
  <c r="AC488" i="17"/>
  <c r="AD488" i="17" s="1"/>
  <c r="AC493" i="17"/>
  <c r="AD493" i="17" s="1"/>
  <c r="P115" i="19" l="1"/>
  <c r="Q115" i="19" s="1"/>
  <c r="P106" i="19"/>
  <c r="Q106" i="19" s="1"/>
  <c r="P123" i="19" l="1"/>
  <c r="Q123" i="19" s="1"/>
  <c r="P125" i="19" l="1"/>
  <c r="Q125" i="19" s="1"/>
  <c r="P118" i="19"/>
  <c r="Q118" i="19" s="1"/>
  <c r="P112" i="19"/>
  <c r="Q112" i="19" s="1"/>
  <c r="P122" i="19"/>
  <c r="Q122" i="19" s="1"/>
  <c r="P121" i="19"/>
  <c r="Q121" i="19" s="1"/>
  <c r="P114" i="19"/>
  <c r="Q114" i="19" s="1"/>
  <c r="P111" i="19"/>
  <c r="Q111" i="19" s="1"/>
  <c r="AD110" i="19" l="1"/>
  <c r="AE110" i="19" s="1"/>
  <c r="W110" i="19"/>
  <c r="Y110" i="19" s="1"/>
  <c r="P110" i="19"/>
  <c r="Q110" i="19" s="1"/>
  <c r="AD140" i="19"/>
  <c r="AE140" i="19" s="1"/>
  <c r="AD124" i="19"/>
  <c r="AE124" i="19" s="1"/>
  <c r="P124" i="19"/>
  <c r="Q124" i="19" s="1"/>
  <c r="AD133" i="19"/>
  <c r="AE133" i="19" s="1"/>
  <c r="AD132" i="19"/>
  <c r="AE132" i="19" s="1"/>
  <c r="AD418" i="19"/>
  <c r="AE418" i="19" s="1"/>
  <c r="AD126" i="19"/>
  <c r="AE126" i="19" s="1"/>
  <c r="P126" i="19"/>
  <c r="Q126" i="19" s="1"/>
  <c r="AD131" i="19"/>
  <c r="AE131" i="19" s="1"/>
  <c r="AD129" i="19"/>
  <c r="AE129" i="19" s="1"/>
  <c r="AD269" i="19"/>
  <c r="AE269" i="19" s="1"/>
  <c r="AD268" i="19"/>
  <c r="AE268" i="19" s="1"/>
  <c r="AD180" i="19"/>
  <c r="AE180" i="19" s="1"/>
  <c r="AD182" i="19" l="1"/>
  <c r="AE182" i="19" s="1"/>
  <c r="AD212" i="19"/>
  <c r="AE212" i="19" s="1"/>
  <c r="AD214" i="19"/>
  <c r="AE214" i="19" s="1"/>
  <c r="AD213" i="19"/>
  <c r="AE213" i="19" s="1"/>
  <c r="AD216" i="19"/>
  <c r="AE216" i="19" s="1"/>
  <c r="AD152" i="19"/>
  <c r="AE152" i="19" s="1"/>
  <c r="AD149" i="19"/>
  <c r="AE149" i="19" s="1"/>
  <c r="AC445" i="17"/>
  <c r="AD445" i="17" s="1"/>
  <c r="AC449" i="17"/>
  <c r="AD449" i="17" s="1"/>
  <c r="AC469" i="17"/>
  <c r="AD469" i="17" s="1"/>
  <c r="AC465" i="17"/>
  <c r="AD465" i="17" s="1"/>
  <c r="AC432" i="17"/>
  <c r="AD432" i="17" s="1"/>
  <c r="AC441" i="17"/>
  <c r="AD441" i="17" s="1"/>
  <c r="AD395" i="19"/>
  <c r="AE395" i="19" s="1"/>
  <c r="AC460" i="17"/>
  <c r="AD460" i="17" s="1"/>
  <c r="AC478" i="17"/>
  <c r="AD478" i="17" s="1"/>
  <c r="AD237" i="19"/>
  <c r="AE237" i="19" s="1"/>
  <c r="AD240" i="19"/>
  <c r="AE240" i="19" s="1"/>
  <c r="AD233" i="19"/>
  <c r="AE233" i="19" s="1"/>
  <c r="AD307" i="19"/>
  <c r="AE307" i="19" s="1"/>
  <c r="AE476" i="19"/>
  <c r="Q136" i="19" l="1"/>
  <c r="P128" i="19" l="1"/>
  <c r="Q128" i="19" s="1"/>
  <c r="P131" i="19"/>
  <c r="Q131" i="19" s="1"/>
  <c r="P129" i="19"/>
  <c r="Q129" i="19" s="1"/>
  <c r="P127" i="19"/>
  <c r="Q127" i="19" s="1"/>
  <c r="P134" i="19" l="1"/>
  <c r="Q134" i="19" s="1"/>
  <c r="T138" i="19"/>
  <c r="P138" i="19"/>
  <c r="Q138" i="19" s="1"/>
  <c r="T132" i="19"/>
  <c r="P132" i="19"/>
  <c r="Q132" i="19" s="1"/>
  <c r="AD474" i="19" l="1"/>
  <c r="AE474" i="19" s="1"/>
  <c r="AD151" i="19" l="1"/>
  <c r="AE151" i="19" s="1"/>
  <c r="AD135" i="19"/>
  <c r="AE135" i="19" s="1"/>
  <c r="P135" i="19"/>
  <c r="Q135" i="19" s="1"/>
  <c r="AD146" i="19"/>
  <c r="AE146" i="19" s="1"/>
  <c r="AD147" i="19"/>
  <c r="AE147" i="19" s="1"/>
  <c r="AD139" i="19"/>
  <c r="AE139" i="19" s="1"/>
  <c r="AD138" i="19"/>
  <c r="AE138" i="19" s="1"/>
  <c r="AD178" i="19"/>
  <c r="AE178" i="19" s="1"/>
  <c r="AD143" i="19"/>
  <c r="AE143" i="19" s="1"/>
  <c r="AC742" i="17"/>
  <c r="AD742" i="17" s="1"/>
  <c r="AD145" i="19"/>
  <c r="AE145" i="19" s="1"/>
  <c r="AD144" i="19"/>
  <c r="AE144" i="19" s="1"/>
  <c r="AD150" i="19"/>
  <c r="AE150" i="19" s="1"/>
  <c r="AC117" i="17"/>
  <c r="AD117" i="17" s="1"/>
  <c r="AD366" i="19"/>
  <c r="AE366" i="19" s="1"/>
  <c r="AD599" i="19"/>
  <c r="AE599" i="19" s="1"/>
  <c r="AD320" i="19"/>
  <c r="AE320" i="19" s="1"/>
  <c r="AD160" i="19"/>
  <c r="AE160" i="19" s="1"/>
  <c r="AD159" i="19"/>
  <c r="AE159" i="19" s="1"/>
  <c r="AD161" i="19"/>
  <c r="AE161" i="19" s="1"/>
  <c r="P140" i="19" l="1"/>
  <c r="Q140" i="19" s="1"/>
  <c r="P143" i="19"/>
  <c r="Q143" i="19" s="1"/>
  <c r="P144" i="19"/>
  <c r="Q144" i="19" s="1"/>
  <c r="P145" i="19"/>
  <c r="Q145" i="19" s="1"/>
  <c r="P146" i="19"/>
  <c r="Q146" i="19" s="1"/>
  <c r="P147" i="19"/>
  <c r="Q147" i="19" s="1"/>
  <c r="AD148" i="19" l="1"/>
  <c r="AE148" i="19" s="1"/>
  <c r="AD153" i="19"/>
  <c r="AE153" i="19" s="1"/>
  <c r="T150" i="19" l="1"/>
  <c r="V150" i="19" s="1"/>
  <c r="W150" i="19" s="1"/>
  <c r="T152" i="19"/>
  <c r="V152" i="19" s="1"/>
  <c r="W152" i="19" s="1"/>
  <c r="W156" i="19"/>
  <c r="Y156" i="19" s="1"/>
  <c r="T148" i="19"/>
  <c r="V148" i="19" s="1"/>
  <c r="W148" i="19" s="1"/>
  <c r="P152" i="19"/>
  <c r="Q152" i="19" s="1"/>
  <c r="P150" i="19"/>
  <c r="Q150" i="19" s="1"/>
  <c r="P156" i="19"/>
  <c r="Q156" i="19" s="1"/>
  <c r="P153" i="19"/>
  <c r="Q153" i="19" s="1"/>
  <c r="P148" i="19"/>
  <c r="Q148" i="19" s="1"/>
  <c r="AA156" i="19" l="1"/>
  <c r="AA148" i="19"/>
  <c r="Y148" i="19"/>
  <c r="AA152" i="19"/>
  <c r="Y152" i="19"/>
  <c r="AA150" i="19"/>
  <c r="Y150" i="19"/>
  <c r="AC288" i="17"/>
  <c r="AD288" i="17" s="1"/>
  <c r="AC279" i="17" l="1"/>
  <c r="AD279" i="17" s="1"/>
  <c r="AD281" i="19"/>
  <c r="AE281" i="19" s="1"/>
  <c r="AD278" i="19"/>
  <c r="AE278" i="19" s="1"/>
  <c r="AD456" i="19"/>
  <c r="AE456" i="19" s="1"/>
  <c r="AD280" i="19"/>
  <c r="AE280" i="19" s="1"/>
  <c r="AD286" i="19"/>
  <c r="AE286" i="19" s="1"/>
  <c r="AD287" i="19"/>
  <c r="AE287" i="19" s="1"/>
  <c r="AD284" i="19"/>
  <c r="AE284" i="19" s="1"/>
  <c r="AD285" i="19"/>
  <c r="AE285" i="19" s="1"/>
  <c r="AD189" i="19"/>
  <c r="AE189" i="19" s="1"/>
  <c r="AD273" i="19"/>
  <c r="AE273" i="19" s="1"/>
  <c r="AD192" i="19"/>
  <c r="AE192" i="19" s="1"/>
  <c r="AD322" i="19"/>
  <c r="AE322" i="19" s="1"/>
  <c r="AD174" i="19"/>
  <c r="AE174" i="19" s="1"/>
  <c r="AD179" i="19"/>
  <c r="AE179" i="19" s="1"/>
  <c r="AD365" i="19"/>
  <c r="AE365" i="19" s="1"/>
  <c r="AD362" i="19"/>
  <c r="AE362" i="19" s="1"/>
  <c r="AD299" i="19"/>
  <c r="AE299" i="19" s="1"/>
  <c r="AD199" i="19"/>
  <c r="AE199" i="19" s="1"/>
  <c r="AD200" i="19"/>
  <c r="AE200" i="19" s="1"/>
  <c r="AD190" i="19"/>
  <c r="AE190" i="19" s="1"/>
  <c r="AD218" i="19"/>
  <c r="AE218" i="19" s="1"/>
  <c r="AD168" i="19"/>
  <c r="AE168" i="19" s="1"/>
  <c r="AD167" i="19"/>
  <c r="AE167" i="19" s="1"/>
  <c r="AD316" i="19"/>
  <c r="AE316" i="19" s="1"/>
  <c r="AD203" i="19"/>
  <c r="AE203" i="19" s="1"/>
  <c r="AD206" i="19" l="1"/>
  <c r="AE206" i="19" s="1"/>
  <c r="AD363" i="19"/>
  <c r="AE363" i="19" s="1"/>
  <c r="AC501" i="17"/>
  <c r="AD501" i="17" s="1"/>
  <c r="AC484" i="17"/>
  <c r="AD484" i="17" s="1"/>
  <c r="AD166" i="19"/>
  <c r="AE166" i="19" s="1"/>
  <c r="AD173" i="19" l="1"/>
  <c r="AE173" i="19" s="1"/>
  <c r="AD172" i="19"/>
  <c r="AE172" i="19" s="1"/>
  <c r="AD297" i="19" l="1"/>
  <c r="AE297" i="19" s="1"/>
  <c r="AC623" i="17"/>
  <c r="AD623" i="17" s="1"/>
  <c r="AD157" i="19"/>
  <c r="AE157" i="19" s="1"/>
  <c r="AD202" i="19"/>
  <c r="AE202" i="19" s="1"/>
  <c r="AD158" i="19"/>
  <c r="AE158" i="19" s="1"/>
  <c r="AD181" i="19"/>
  <c r="AE181" i="19" s="1"/>
  <c r="AD193" i="19"/>
  <c r="AE193" i="19" s="1"/>
  <c r="W274" i="19" l="1"/>
  <c r="Y274" i="19" s="1"/>
  <c r="T286" i="19"/>
  <c r="V286" i="19" s="1"/>
  <c r="W286" i="19" s="1"/>
  <c r="T284" i="19"/>
  <c r="V284" i="19" s="1"/>
  <c r="W284" i="19" s="1"/>
  <c r="T294" i="19"/>
  <c r="T297" i="19"/>
  <c r="T272" i="19"/>
  <c r="V272" i="19" s="1"/>
  <c r="W272" i="19" s="1"/>
  <c r="W228" i="19"/>
  <c r="AA228" i="19" s="1"/>
  <c r="T265" i="19"/>
  <c r="V265" i="19" s="1"/>
  <c r="W265" i="19" s="1"/>
  <c r="T221" i="19"/>
  <c r="W221" i="19" s="1"/>
  <c r="AA221" i="19" s="1"/>
  <c r="T216" i="19"/>
  <c r="V216" i="19" s="1"/>
  <c r="W216" i="19" s="1"/>
  <c r="T214" i="19"/>
  <c r="T207" i="19"/>
  <c r="T201" i="19"/>
  <c r="V201" i="19" s="1"/>
  <c r="W201" i="19" s="1"/>
  <c r="R201" i="19"/>
  <c r="T195" i="19"/>
  <c r="T196" i="19"/>
  <c r="T209" i="19"/>
  <c r="V209" i="19" s="1"/>
  <c r="W209" i="19" s="1"/>
  <c r="R209" i="19"/>
  <c r="T211" i="19"/>
  <c r="T204" i="19"/>
  <c r="T268" i="19"/>
  <c r="V268" i="19" s="1"/>
  <c r="W268" i="19" s="1"/>
  <c r="W191" i="19"/>
  <c r="AA191" i="19" s="1"/>
  <c r="W174" i="19"/>
  <c r="AA174" i="19" s="1"/>
  <c r="T176" i="19"/>
  <c r="T167" i="19"/>
  <c r="V167" i="19" s="1"/>
  <c r="W167" i="19" s="1"/>
  <c r="W179" i="19"/>
  <c r="Y179" i="19" s="1"/>
  <c r="W172" i="19"/>
  <c r="Y172" i="19" s="1"/>
  <c r="T172" i="19"/>
  <c r="T173" i="19" s="1"/>
  <c r="W166" i="19"/>
  <c r="AA166" i="19" s="1"/>
  <c r="AA172" i="19" l="1"/>
  <c r="AA209" i="19"/>
  <c r="Y209" i="19"/>
  <c r="AA265" i="19"/>
  <c r="Y265" i="19"/>
  <c r="AA286" i="19"/>
  <c r="Y286" i="19"/>
  <c r="AA167" i="19"/>
  <c r="Y167" i="19"/>
  <c r="AA284" i="19"/>
  <c r="Y284" i="19"/>
  <c r="AA268" i="19"/>
  <c r="Y268" i="19"/>
  <c r="AA272" i="19"/>
  <c r="Y272" i="19"/>
  <c r="AA216" i="19"/>
  <c r="Y216" i="19"/>
  <c r="AA201" i="19"/>
  <c r="Y201" i="19"/>
  <c r="V176" i="19"/>
  <c r="W176" i="19" s="1"/>
  <c r="Y191" i="19"/>
  <c r="V204" i="19"/>
  <c r="W204" i="19" s="1"/>
  <c r="V196" i="19"/>
  <c r="W196" i="19" s="1"/>
  <c r="V207" i="19"/>
  <c r="W207" i="19" s="1"/>
  <c r="Y221" i="19"/>
  <c r="Y228" i="19"/>
  <c r="V297" i="19"/>
  <c r="W297" i="19" s="1"/>
  <c r="Y166" i="19"/>
  <c r="Y174" i="19"/>
  <c r="V211" i="19"/>
  <c r="W211" i="19" s="1"/>
  <c r="V195" i="19"/>
  <c r="W195" i="19" s="1"/>
  <c r="V214" i="19"/>
  <c r="W214" i="19" s="1"/>
  <c r="V294" i="19"/>
  <c r="W294" i="19" s="1"/>
  <c r="T162" i="19"/>
  <c r="V162" i="19" s="1"/>
  <c r="P160" i="19"/>
  <c r="Q160" i="19" s="1"/>
  <c r="P161" i="19"/>
  <c r="Q161" i="19" s="1"/>
  <c r="P159" i="19"/>
  <c r="Q159" i="19" s="1"/>
  <c r="P158" i="19"/>
  <c r="Q158" i="19" s="1"/>
  <c r="P157" i="19"/>
  <c r="Q157" i="19" s="1"/>
  <c r="AA294" i="19" l="1"/>
  <c r="Y294" i="19"/>
  <c r="AA211" i="19"/>
  <c r="Y211" i="19"/>
  <c r="Y204" i="19"/>
  <c r="AA204" i="19"/>
  <c r="AA214" i="19"/>
  <c r="Y214" i="19"/>
  <c r="Y207" i="19"/>
  <c r="AA207" i="19"/>
  <c r="Y176" i="19"/>
  <c r="AA176" i="19"/>
  <c r="Y196" i="19"/>
  <c r="AA196" i="19"/>
  <c r="W162" i="19"/>
  <c r="AA162" i="19" s="1"/>
  <c r="Y297" i="19"/>
  <c r="AA297" i="19"/>
  <c r="AA195" i="19"/>
  <c r="Y195" i="19"/>
  <c r="AD177" i="19"/>
  <c r="AE177" i="19" s="1"/>
  <c r="AD176" i="19"/>
  <c r="AE176" i="19" s="1"/>
  <c r="AD196" i="19"/>
  <c r="AE196" i="19" s="1"/>
  <c r="AD195" i="19"/>
  <c r="AE195" i="19" s="1"/>
  <c r="AD198" i="19" l="1"/>
  <c r="AE198" i="19" s="1"/>
  <c r="AD197" i="19"/>
  <c r="AE197" i="19" s="1"/>
  <c r="AD194" i="19"/>
  <c r="AE194" i="19" s="1"/>
  <c r="AD207" i="19"/>
  <c r="AE207" i="19" s="1"/>
  <c r="AD201" i="19"/>
  <c r="AE201" i="19" s="1"/>
  <c r="AD304" i="19"/>
  <c r="AE304" i="19" s="1"/>
  <c r="AD293" i="19"/>
  <c r="AE293" i="19" s="1"/>
  <c r="AC110" i="17"/>
  <c r="AD110" i="17" s="1"/>
  <c r="AD162" i="19"/>
  <c r="AE162" i="19" s="1"/>
  <c r="AD371" i="19"/>
  <c r="AE371" i="19" s="1"/>
  <c r="P195" i="19" l="1"/>
  <c r="Q195" i="19" s="1"/>
  <c r="P196" i="19"/>
  <c r="Q196" i="19" s="1"/>
  <c r="P198" i="19"/>
  <c r="Q198" i="19" s="1"/>
  <c r="P197" i="19"/>
  <c r="Q197" i="19" s="1"/>
  <c r="P201" i="19"/>
  <c r="Q201" i="19" s="1"/>
  <c r="P194" i="19" l="1"/>
  <c r="Q194" i="19" s="1"/>
  <c r="P192" i="19" l="1"/>
  <c r="Q192" i="19" s="1"/>
  <c r="P179" i="19"/>
  <c r="Q179" i="19" s="1"/>
  <c r="P191" i="19"/>
  <c r="Q191" i="19" s="1"/>
  <c r="P176" i="19"/>
  <c r="Q176" i="19" s="1"/>
  <c r="P174" i="19"/>
  <c r="Q174" i="19" s="1"/>
  <c r="P172" i="19"/>
  <c r="Q172" i="19" s="1"/>
  <c r="P167" i="19"/>
  <c r="Q167" i="19" s="1"/>
  <c r="P166" i="19"/>
  <c r="Q166" i="19" s="1"/>
  <c r="P162" i="19"/>
  <c r="Q162" i="19" s="1"/>
  <c r="P200" i="19"/>
  <c r="Q200" i="19" s="1"/>
  <c r="P199" i="19"/>
  <c r="Q199" i="19" s="1"/>
  <c r="P178" i="19"/>
  <c r="Q178" i="19" s="1"/>
  <c r="P171" i="19"/>
  <c r="Q171" i="19" s="1"/>
  <c r="P193" i="19" l="1"/>
  <c r="Q193" i="19" s="1"/>
  <c r="P190" i="19"/>
  <c r="Q190" i="19" s="1"/>
  <c r="P189" i="19"/>
  <c r="Q189" i="19" s="1"/>
  <c r="T182" i="19"/>
  <c r="V182" i="19" s="1"/>
  <c r="W182" i="19" s="1"/>
  <c r="P182" i="19"/>
  <c r="Q182" i="19" s="1"/>
  <c r="T181" i="19"/>
  <c r="V181" i="19" s="1"/>
  <c r="W181" i="19" s="1"/>
  <c r="P181" i="19"/>
  <c r="Q181" i="19" s="1"/>
  <c r="P180" i="19"/>
  <c r="Q180" i="19" s="1"/>
  <c r="P209" i="19" l="1"/>
  <c r="Q209" i="19" s="1"/>
  <c r="P216" i="19" l="1"/>
  <c r="Q216" i="19" s="1"/>
  <c r="P214" i="19"/>
  <c r="Q214" i="19" s="1"/>
  <c r="P213" i="19"/>
  <c r="Q213" i="19" s="1"/>
  <c r="P212" i="19"/>
  <c r="Q212" i="19" s="1"/>
  <c r="P211" i="19"/>
  <c r="Q211" i="19" s="1"/>
  <c r="P207" i="19"/>
  <c r="Q207" i="19" s="1"/>
  <c r="P204" i="19"/>
  <c r="Q204" i="19" s="1"/>
  <c r="P203" i="19"/>
  <c r="Q203" i="19" s="1"/>
  <c r="P217" i="19"/>
  <c r="Q217" i="19" s="1"/>
  <c r="P206" i="19"/>
  <c r="Q206" i="19" s="1"/>
  <c r="P202" i="19" l="1"/>
  <c r="Q202" i="19" s="1"/>
  <c r="AD219" i="19" l="1"/>
  <c r="AE219" i="19" s="1"/>
  <c r="P219" i="19"/>
  <c r="Q219" i="19" s="1"/>
  <c r="AD245" i="19" l="1"/>
  <c r="AE245" i="19" s="1"/>
  <c r="AC440" i="17"/>
  <c r="AD440" i="17" s="1"/>
  <c r="AC459" i="17"/>
  <c r="AD459" i="17" s="1"/>
  <c r="AC431" i="17"/>
  <c r="AD431" i="17" s="1"/>
  <c r="AD220" i="19"/>
  <c r="AE220" i="19" s="1"/>
  <c r="AC477" i="17"/>
  <c r="AD477" i="17"/>
  <c r="AC162" i="17"/>
  <c r="AD162" i="17" s="1"/>
  <c r="AD326" i="19"/>
  <c r="AE326" i="19" s="1"/>
  <c r="AD311" i="19"/>
  <c r="AE311" i="19" s="1"/>
  <c r="AD279" i="19"/>
  <c r="AE279" i="19" s="1"/>
  <c r="AD264" i="19"/>
  <c r="AE264" i="19" s="1"/>
  <c r="AD263" i="19"/>
  <c r="AE263" i="19" s="1"/>
  <c r="AD282" i="19"/>
  <c r="AE282" i="19" s="1"/>
  <c r="AD288" i="19"/>
  <c r="AE288" i="19" s="1"/>
  <c r="AD292" i="19"/>
  <c r="AE292" i="19" s="1"/>
  <c r="AD217" i="19"/>
  <c r="AE217" i="19" s="1"/>
  <c r="AD348" i="19"/>
  <c r="AE348" i="19" s="1"/>
  <c r="AD349" i="19"/>
  <c r="AE349" i="19" s="1"/>
  <c r="AD251" i="19"/>
  <c r="AE251" i="19" s="1"/>
  <c r="AD266" i="19"/>
  <c r="AE266" i="19" s="1"/>
  <c r="AD211" i="19"/>
  <c r="AE211" i="19" s="1"/>
  <c r="AD210" i="19"/>
  <c r="AE210" i="19" s="1"/>
  <c r="AD209" i="19"/>
  <c r="AE209" i="19" s="1"/>
  <c r="AD248" i="19" l="1"/>
  <c r="AE248" i="19" s="1"/>
  <c r="AD253" i="19"/>
  <c r="AE253" i="19" s="1"/>
  <c r="AD259" i="19"/>
  <c r="AE259" i="19" s="1"/>
  <c r="AD274" i="19"/>
  <c r="AE274" i="19" s="1"/>
  <c r="AD231" i="19"/>
  <c r="AE231" i="19" s="1"/>
  <c r="AD294" i="19"/>
  <c r="AE294" i="19" s="1"/>
  <c r="AD242" i="19"/>
  <c r="AE242" i="19" s="1"/>
  <c r="AD232" i="19"/>
  <c r="AE232" i="19" s="1"/>
  <c r="AD236" i="19"/>
  <c r="AE236" i="19" s="1"/>
  <c r="AD239" i="19"/>
  <c r="AE239" i="19" s="1"/>
  <c r="AD283" i="19"/>
  <c r="AE283" i="19" s="1"/>
  <c r="AD295" i="19"/>
  <c r="AE295" i="19" s="1"/>
  <c r="AD296" i="19"/>
  <c r="AE296" i="19" s="1"/>
  <c r="AD350" i="19"/>
  <c r="AE350" i="19" s="1"/>
  <c r="AD354" i="19"/>
  <c r="AE354" i="19" s="1"/>
  <c r="AD353" i="19"/>
  <c r="AE353" i="19" s="1"/>
  <c r="AD324" i="19"/>
  <c r="AE324" i="19" s="1"/>
  <c r="AD430" i="19"/>
  <c r="AE430" i="19" s="1"/>
  <c r="AC161" i="17"/>
  <c r="AD161" i="17" s="1"/>
  <c r="AD230" i="19"/>
  <c r="AE230" i="19" s="1"/>
  <c r="AD444" i="19"/>
  <c r="AE444" i="19" s="1"/>
  <c r="AD265" i="19" l="1"/>
  <c r="AE265" i="19" s="1"/>
  <c r="AD222" i="19"/>
  <c r="AE222" i="19" s="1"/>
  <c r="AD221" i="19"/>
  <c r="AE221" i="19" s="1"/>
  <c r="AD272" i="19"/>
  <c r="AE272" i="19" s="1"/>
  <c r="AD341" i="19"/>
  <c r="AE341" i="19" s="1"/>
  <c r="AD473" i="19"/>
  <c r="AE473" i="19" s="1"/>
  <c r="AD411" i="19"/>
  <c r="AE411" i="19" s="1"/>
  <c r="P230" i="19" l="1"/>
  <c r="Q230" i="19" s="1"/>
  <c r="P274" i="19" l="1"/>
  <c r="Q274" i="19" s="1"/>
  <c r="P268" i="19"/>
  <c r="Q268" i="19" s="1"/>
  <c r="P265" i="19"/>
  <c r="Q265" i="19" s="1"/>
  <c r="P221" i="19"/>
  <c r="Q221" i="19" s="1"/>
  <c r="P272" i="19"/>
  <c r="Q272" i="19" s="1"/>
  <c r="P271" i="19"/>
  <c r="Q271" i="19" s="1"/>
  <c r="P228" i="19"/>
  <c r="Q228" i="19" s="1"/>
  <c r="P264" i="19"/>
  <c r="Q264" i="19" s="1"/>
  <c r="P263" i="19"/>
  <c r="Q263" i="19" s="1"/>
  <c r="P259" i="19"/>
  <c r="Q259" i="19" s="1"/>
  <c r="P253" i="19"/>
  <c r="Q253" i="19" s="1"/>
  <c r="P251" i="19"/>
  <c r="Q251" i="19" s="1"/>
  <c r="P248" i="19"/>
  <c r="Q248" i="19" s="1"/>
  <c r="P245" i="19"/>
  <c r="Q245" i="19" s="1"/>
  <c r="P242" i="19"/>
  <c r="Q242" i="19" s="1"/>
  <c r="P239" i="19"/>
  <c r="Q239" i="19" s="1"/>
  <c r="P236" i="19"/>
  <c r="Q236" i="19" s="1"/>
  <c r="P235" i="19"/>
  <c r="Q235" i="19" s="1"/>
  <c r="P232" i="19"/>
  <c r="Q232" i="19" s="1"/>
  <c r="P231" i="19" l="1"/>
  <c r="Q231" i="19" s="1"/>
  <c r="P220" i="19"/>
  <c r="Q220" i="19" s="1"/>
  <c r="Q275" i="19"/>
  <c r="Q276" i="19"/>
  <c r="Q429" i="19"/>
  <c r="Q277" i="19"/>
  <c r="P289" i="19" l="1"/>
  <c r="Q289" i="19" s="1"/>
  <c r="P288" i="19"/>
  <c r="Q288" i="19" s="1"/>
  <c r="P283" i="19"/>
  <c r="Q283" i="19" s="1"/>
  <c r="P282" i="19"/>
  <c r="Q282" i="19" s="1"/>
  <c r="P281" i="19"/>
  <c r="Q281" i="19" s="1"/>
  <c r="P280" i="19"/>
  <c r="Q280" i="19" s="1"/>
  <c r="P279" i="19"/>
  <c r="Q279" i="19" s="1"/>
  <c r="P278" i="19"/>
  <c r="Q278" i="19" s="1"/>
  <c r="AA289" i="19" l="1"/>
  <c r="Y289" i="19"/>
  <c r="P286" i="19" l="1"/>
  <c r="Q286" i="19" s="1"/>
  <c r="P284" i="19"/>
  <c r="Q284" i="19" s="1"/>
  <c r="AD601" i="19" l="1"/>
  <c r="AE601" i="19" s="1"/>
  <c r="AC109" i="17"/>
  <c r="AD109" i="17" s="1"/>
  <c r="AD289" i="19"/>
  <c r="AE289" i="19" s="1"/>
  <c r="P299" i="19" l="1"/>
  <c r="Q299" i="19" s="1"/>
  <c r="P297" i="19"/>
  <c r="Q297" i="19" s="1"/>
  <c r="P294" i="19"/>
  <c r="Q294" i="19" s="1"/>
  <c r="P311" i="19"/>
  <c r="Q311" i="19" s="1"/>
  <c r="P304" i="19"/>
  <c r="Q304" i="19" s="1"/>
  <c r="P296" i="19"/>
  <c r="Q296" i="19" s="1"/>
  <c r="P295" i="19"/>
  <c r="Q295" i="19" s="1"/>
  <c r="P293" i="19"/>
  <c r="Q293" i="19" s="1"/>
  <c r="P292" i="19"/>
  <c r="Q292" i="19" s="1"/>
  <c r="P310" i="19" l="1"/>
  <c r="Q310" i="19" s="1"/>
  <c r="AC670" i="17" l="1"/>
  <c r="AD670" i="17" s="1"/>
  <c r="AD317" i="19"/>
  <c r="AE317" i="19" s="1"/>
  <c r="AD305" i="19"/>
  <c r="AE305" i="19" s="1"/>
  <c r="P305" i="19"/>
  <c r="Q305" i="19" s="1"/>
  <c r="AD328" i="19"/>
  <c r="AE328" i="19" s="1"/>
  <c r="AD361" i="19" l="1"/>
  <c r="AE361" i="19" s="1"/>
  <c r="AC116" i="17"/>
  <c r="AD116" i="17" s="1"/>
  <c r="AD602" i="19"/>
  <c r="AE602" i="19" s="1"/>
  <c r="AD537" i="19"/>
  <c r="AE537" i="19" s="1"/>
  <c r="AD309" i="19"/>
  <c r="AE309" i="19" s="1"/>
  <c r="P309" i="19"/>
  <c r="Q309" i="19" s="1"/>
  <c r="AD412" i="19" l="1"/>
  <c r="AE412" i="19" s="1"/>
  <c r="AD496" i="19"/>
  <c r="AE496" i="19" s="1"/>
  <c r="AD339" i="19"/>
  <c r="AE339" i="19" s="1"/>
  <c r="AD346" i="19"/>
  <c r="AE346" i="19" s="1"/>
  <c r="AD441" i="19" l="1"/>
  <c r="AE441" i="19" s="1"/>
  <c r="AD306" i="19" l="1"/>
  <c r="AE306" i="19" s="1"/>
  <c r="P306" i="19"/>
  <c r="Q306" i="19" s="1"/>
  <c r="AD315" i="19"/>
  <c r="AE315" i="19" s="1"/>
  <c r="AD313" i="19"/>
  <c r="AE313" i="19" s="1"/>
  <c r="AD314" i="19"/>
  <c r="AE314" i="19" s="1"/>
  <c r="W332" i="19" l="1"/>
  <c r="AA332" i="19" s="1"/>
  <c r="T326" i="19"/>
  <c r="V326" i="19" s="1"/>
  <c r="W326" i="19" s="1"/>
  <c r="T324" i="19"/>
  <c r="V324" i="19" s="1"/>
  <c r="W324" i="19" s="1"/>
  <c r="T322" i="19"/>
  <c r="V322" i="19" s="1"/>
  <c r="W322" i="19" s="1"/>
  <c r="T320" i="19"/>
  <c r="T318" i="19"/>
  <c r="V318" i="19" s="1"/>
  <c r="W318" i="19" s="1"/>
  <c r="T317" i="19"/>
  <c r="T314" i="19"/>
  <c r="V320" i="19" l="1"/>
  <c r="W320" i="19" s="1"/>
  <c r="Y322" i="19"/>
  <c r="AA322" i="19"/>
  <c r="AA318" i="19"/>
  <c r="Y318" i="19"/>
  <c r="Y326" i="19"/>
  <c r="AA326" i="19"/>
  <c r="Y324" i="19"/>
  <c r="AA324" i="19"/>
  <c r="Y332" i="19"/>
  <c r="V314" i="19"/>
  <c r="W314" i="19" s="1"/>
  <c r="V317" i="19"/>
  <c r="W317" i="19" s="1"/>
  <c r="P326" i="19"/>
  <c r="Q326" i="19" s="1"/>
  <c r="P324" i="19"/>
  <c r="Q324" i="19" s="1"/>
  <c r="P313" i="19"/>
  <c r="Q313" i="19" s="1"/>
  <c r="P312" i="19"/>
  <c r="Q312" i="19" s="1"/>
  <c r="P331" i="19"/>
  <c r="Q331" i="19" s="1"/>
  <c r="P322" i="19"/>
  <c r="Q322" i="19" s="1"/>
  <c r="P320" i="19"/>
  <c r="Q320" i="19" s="1"/>
  <c r="P318" i="19"/>
  <c r="Q318" i="19" s="1"/>
  <c r="P317" i="19"/>
  <c r="Q317" i="19" s="1"/>
  <c r="P314" i="19"/>
  <c r="Q314" i="19" s="1"/>
  <c r="AA320" i="19" l="1"/>
  <c r="Y320" i="19"/>
  <c r="AA317" i="19"/>
  <c r="Y317" i="19"/>
  <c r="Y314" i="19"/>
  <c r="AA314" i="19"/>
  <c r="P329" i="19"/>
  <c r="Q329" i="19" s="1"/>
  <c r="P328" i="19"/>
  <c r="Q328" i="19" s="1"/>
  <c r="AD484" i="19" l="1"/>
  <c r="AE484" i="19" s="1"/>
  <c r="AD415" i="19"/>
  <c r="AE415" i="19" s="1"/>
  <c r="AD414" i="19"/>
  <c r="AE414" i="19" s="1"/>
  <c r="AD413" i="19"/>
  <c r="AE413" i="19" s="1"/>
  <c r="AD329" i="19"/>
  <c r="AE329" i="19" s="1"/>
  <c r="AD331" i="19"/>
  <c r="AE331" i="19" s="1"/>
  <c r="AD333" i="19"/>
  <c r="AE333" i="19" s="1"/>
  <c r="AD332" i="19"/>
  <c r="AE332" i="19" s="1"/>
  <c r="AD340" i="19"/>
  <c r="AE340" i="19" s="1"/>
  <c r="AD335" i="19"/>
  <c r="AE335" i="19" s="1"/>
  <c r="P332" i="19" l="1"/>
  <c r="Q332" i="19" s="1"/>
  <c r="T431" i="19" l="1"/>
  <c r="W430" i="19"/>
  <c r="AA430" i="19" s="1"/>
  <c r="W342" i="19"/>
  <c r="Y342" i="19" s="1"/>
  <c r="T338" i="19"/>
  <c r="T344" i="19"/>
  <c r="V344" i="19" s="1"/>
  <c r="T346" i="19"/>
  <c r="W343" i="19"/>
  <c r="Y343" i="19" s="1"/>
  <c r="W347" i="19"/>
  <c r="Y347" i="19" s="1"/>
  <c r="T336" i="19"/>
  <c r="V336" i="19" s="1"/>
  <c r="W349" i="19"/>
  <c r="Y349" i="19" s="1"/>
  <c r="W348" i="19"/>
  <c r="Y348" i="19" s="1"/>
  <c r="T334" i="19"/>
  <c r="Y430" i="19" l="1"/>
  <c r="V346" i="19"/>
  <c r="W346" i="19" s="1"/>
  <c r="AA347" i="19"/>
  <c r="V431" i="19"/>
  <c r="W431" i="19" s="1"/>
  <c r="W336" i="19"/>
  <c r="Y336" i="19" s="1"/>
  <c r="W344" i="19"/>
  <c r="Y344" i="19" s="1"/>
  <c r="V334" i="19"/>
  <c r="W334" i="19" s="1"/>
  <c r="V338" i="19"/>
  <c r="W338" i="19" s="1"/>
  <c r="AD334" i="19"/>
  <c r="AE334" i="19" s="1"/>
  <c r="AD382" i="19"/>
  <c r="AE382" i="19" s="1"/>
  <c r="AD397" i="19"/>
  <c r="AE397" i="19" s="1"/>
  <c r="AD347" i="19"/>
  <c r="AE347" i="19" s="1"/>
  <c r="AD408" i="19"/>
  <c r="AE408" i="19" s="1"/>
  <c r="AD406" i="19"/>
  <c r="AE406" i="19" s="1"/>
  <c r="AD486" i="19"/>
  <c r="AE486" i="19" s="1"/>
  <c r="AD483" i="19"/>
  <c r="AE483" i="19" s="1"/>
  <c r="AD342" i="19"/>
  <c r="AE342" i="19" s="1"/>
  <c r="AD343" i="19"/>
  <c r="AE343" i="19" s="1"/>
  <c r="AD370" i="19"/>
  <c r="AE370" i="19" s="1"/>
  <c r="AA336" i="19" l="1"/>
  <c r="AA431" i="19"/>
  <c r="Y431" i="19"/>
  <c r="AA344" i="19"/>
  <c r="AA346" i="19"/>
  <c r="Y346" i="19"/>
  <c r="AA338" i="19"/>
  <c r="Y338" i="19"/>
  <c r="Y334" i="19"/>
  <c r="AA334" i="19"/>
  <c r="P338" i="19"/>
  <c r="Q338" i="19" s="1"/>
  <c r="P337" i="19"/>
  <c r="Q337" i="19" s="1"/>
  <c r="P336" i="19"/>
  <c r="Q336" i="19" s="1"/>
  <c r="P335" i="19"/>
  <c r="Q335" i="19" s="1"/>
  <c r="P334" i="19"/>
  <c r="Q334" i="19" s="1"/>
  <c r="AE467" i="19" l="1"/>
  <c r="AC463" i="17"/>
  <c r="AD463" i="17" s="1"/>
  <c r="AC155" i="17"/>
  <c r="AD155" i="17" s="1"/>
  <c r="AD360" i="19"/>
  <c r="AE360" i="19" s="1"/>
  <c r="AD410" i="19"/>
  <c r="AE410" i="19" s="1"/>
  <c r="AD352" i="19"/>
  <c r="AE352" i="19" s="1"/>
  <c r="AD376" i="19"/>
  <c r="AE376" i="19" s="1"/>
  <c r="AD369" i="19"/>
  <c r="AE369" i="19" s="1"/>
  <c r="P339" i="19" l="1"/>
  <c r="Q339" i="19" s="1"/>
  <c r="P340" i="19"/>
  <c r="Q340" i="19" s="1"/>
  <c r="P347" i="19" l="1"/>
  <c r="Q347" i="19" s="1"/>
  <c r="P346" i="19"/>
  <c r="Q346" i="19" s="1"/>
  <c r="P344" i="19"/>
  <c r="Q344" i="19" s="1"/>
  <c r="P343" i="19"/>
  <c r="Q343" i="19" s="1"/>
  <c r="P342" i="19"/>
  <c r="Q342" i="19" s="1"/>
  <c r="P349" i="19" l="1"/>
  <c r="Q349" i="19" s="1"/>
  <c r="P348" i="19"/>
  <c r="Q348" i="19" s="1"/>
  <c r="AD424" i="19" l="1"/>
  <c r="AE424" i="19" s="1"/>
  <c r="AD440" i="19"/>
  <c r="AE440" i="19" s="1"/>
  <c r="W351" i="19" l="1"/>
  <c r="AA351" i="19" s="1"/>
  <c r="Y351" i="19" l="1"/>
  <c r="P351" i="19"/>
  <c r="Q351" i="19" s="1"/>
  <c r="T354" i="19"/>
  <c r="V354" i="19" s="1"/>
  <c r="P354" i="19"/>
  <c r="Q354" i="19" s="1"/>
  <c r="P353" i="19"/>
  <c r="Q353" i="19" s="1"/>
  <c r="P352" i="19"/>
  <c r="Q352" i="19" s="1"/>
  <c r="P350" i="19"/>
  <c r="Q350" i="19" s="1"/>
  <c r="P363" i="19" l="1"/>
  <c r="Q363" i="19" s="1"/>
  <c r="P361" i="19"/>
  <c r="Q361" i="19" s="1"/>
  <c r="P360" i="19"/>
  <c r="Q360" i="19" s="1"/>
  <c r="W416" i="19" l="1"/>
  <c r="AA416" i="19" s="1"/>
  <c r="AD417" i="19"/>
  <c r="AE417" i="19" s="1"/>
  <c r="AD448" i="19"/>
  <c r="AE448" i="19" s="1"/>
  <c r="AD431" i="19"/>
  <c r="AE431" i="19" s="1"/>
  <c r="AD364" i="19"/>
  <c r="AE364" i="19" s="1"/>
  <c r="AD375" i="19"/>
  <c r="AE375" i="19" s="1"/>
  <c r="AD377" i="19"/>
  <c r="AE377" i="19" s="1"/>
  <c r="AD421" i="19"/>
  <c r="AE421" i="19" s="1"/>
  <c r="AD514" i="19"/>
  <c r="AE514" i="19" s="1"/>
  <c r="AD427" i="19"/>
  <c r="AE427" i="19" s="1"/>
  <c r="Y416" i="19" l="1"/>
  <c r="W365" i="19"/>
  <c r="AA365" i="19" s="1"/>
  <c r="W364" i="19"/>
  <c r="Y364" i="19" s="1"/>
  <c r="P365" i="19"/>
  <c r="Q365" i="19" s="1"/>
  <c r="P364" i="19"/>
  <c r="Q364" i="19" s="1"/>
  <c r="Y365" i="19" l="1"/>
  <c r="AC407" i="17"/>
  <c r="AD407" i="17" s="1"/>
  <c r="AC403" i="17"/>
  <c r="AD403" i="17" s="1"/>
  <c r="AC395" i="17"/>
  <c r="AD395" i="17" s="1"/>
  <c r="AC399" i="17"/>
  <c r="AD399" i="17" s="1"/>
  <c r="AC391" i="17"/>
  <c r="AD391" i="17" s="1"/>
  <c r="AC439" i="17"/>
  <c r="AD439" i="17" s="1"/>
  <c r="AC430" i="17"/>
  <c r="AD430" i="17" s="1"/>
  <c r="AC458" i="17"/>
  <c r="AD458" i="17" s="1"/>
  <c r="AC476" i="17"/>
  <c r="AD476" i="17" s="1"/>
  <c r="P369" i="19" l="1"/>
  <c r="Q369" i="19" s="1"/>
  <c r="T370" i="19" l="1"/>
  <c r="P370" i="19"/>
  <c r="Q370" i="19" s="1"/>
  <c r="T381" i="19"/>
  <c r="V381" i="19" s="1"/>
  <c r="T380" i="19"/>
  <c r="V380" i="19" s="1"/>
  <c r="W380" i="19" s="1"/>
  <c r="T379" i="19"/>
  <c r="V379" i="19" s="1"/>
  <c r="W379" i="19" s="1"/>
  <c r="T378" i="19"/>
  <c r="W375" i="19"/>
  <c r="Y375" i="19" s="1"/>
  <c r="AA375" i="19" l="1"/>
  <c r="V370" i="19"/>
  <c r="W370" i="19" s="1"/>
  <c r="AA379" i="19"/>
  <c r="Y379" i="19"/>
  <c r="AA380" i="19"/>
  <c r="Y380" i="19"/>
  <c r="W381" i="19"/>
  <c r="V378" i="19"/>
  <c r="W378" i="19" s="1"/>
  <c r="V187" i="17"/>
  <c r="AA370" i="19" l="1"/>
  <c r="Y370" i="19"/>
  <c r="Y378" i="19"/>
  <c r="AA378" i="19"/>
  <c r="Y381" i="19"/>
  <c r="AA381" i="19"/>
  <c r="AD389" i="19"/>
  <c r="AE389" i="19" s="1"/>
  <c r="AD402" i="19"/>
  <c r="AE402" i="19" s="1"/>
  <c r="AD404" i="19"/>
  <c r="AE404" i="19" s="1"/>
  <c r="AD606" i="19"/>
  <c r="AE606" i="19" s="1"/>
  <c r="P375" i="19" l="1"/>
  <c r="Q375" i="19" s="1"/>
  <c r="P381" i="19"/>
  <c r="Q381" i="19" s="1"/>
  <c r="P380" i="19"/>
  <c r="Q380" i="19" s="1"/>
  <c r="P379" i="19"/>
  <c r="Q379" i="19" s="1"/>
  <c r="P378" i="19"/>
  <c r="Q378" i="19" s="1"/>
  <c r="P377" i="19" l="1"/>
  <c r="Q377" i="19" s="1"/>
  <c r="P376" i="19"/>
  <c r="Q376" i="19" s="1"/>
  <c r="AD396" i="19" l="1"/>
  <c r="AE396" i="19" s="1"/>
  <c r="AD420" i="19"/>
  <c r="AE420" i="19" s="1"/>
  <c r="AD591" i="19"/>
  <c r="AE591" i="19" s="1"/>
  <c r="AD487" i="19"/>
  <c r="AE487" i="19" s="1"/>
  <c r="W396" i="19" l="1"/>
  <c r="AA396" i="19" s="1"/>
  <c r="T393" i="19"/>
  <c r="T392" i="19"/>
  <c r="V392" i="19" s="1"/>
  <c r="T390" i="19"/>
  <c r="V393" i="19" l="1"/>
  <c r="W393" i="19" s="1"/>
  <c r="V390" i="19"/>
  <c r="W390" i="19" s="1"/>
  <c r="W392" i="19"/>
  <c r="Y396" i="19"/>
  <c r="T387" i="19"/>
  <c r="V387" i="19" s="1"/>
  <c r="W387" i="19" s="1"/>
  <c r="T385" i="19"/>
  <c r="T383" i="19"/>
  <c r="AA393" i="19" l="1"/>
  <c r="Y393" i="19"/>
  <c r="AA387" i="19"/>
  <c r="Y387" i="19"/>
  <c r="Y390" i="19"/>
  <c r="AA390" i="19"/>
  <c r="V383" i="19"/>
  <c r="W383" i="19" s="1"/>
  <c r="AA392" i="19"/>
  <c r="Y392" i="19"/>
  <c r="V385" i="19"/>
  <c r="W385" i="19" s="1"/>
  <c r="P393" i="19"/>
  <c r="Q393" i="19" s="1"/>
  <c r="P392" i="19"/>
  <c r="Q392" i="19" s="1"/>
  <c r="P390" i="19"/>
  <c r="Q390" i="19" s="1"/>
  <c r="P389" i="19"/>
  <c r="Q389" i="19" s="1"/>
  <c r="P387" i="19"/>
  <c r="Q387" i="19" s="1"/>
  <c r="P385" i="19"/>
  <c r="Q385" i="19" s="1"/>
  <c r="P383" i="19"/>
  <c r="Q383" i="19" s="1"/>
  <c r="P382" i="19"/>
  <c r="Q382" i="19" s="1"/>
  <c r="AD461" i="19"/>
  <c r="AE461" i="19" s="1"/>
  <c r="AD438" i="19"/>
  <c r="AE438" i="19" s="1"/>
  <c r="AA385" i="19" l="1"/>
  <c r="Y385" i="19"/>
  <c r="Y383" i="19"/>
  <c r="AA383" i="19"/>
  <c r="Q394" i="19"/>
  <c r="P395" i="19" l="1"/>
  <c r="Q395" i="19" s="1"/>
  <c r="AC95" i="17" l="1"/>
  <c r="AD95" i="17" s="1"/>
  <c r="AD449" i="19"/>
  <c r="AE449" i="19" s="1"/>
  <c r="AD428" i="19"/>
  <c r="AE428" i="19" s="1"/>
  <c r="AD425" i="19"/>
  <c r="AE425" i="19" s="1"/>
  <c r="AC390" i="17"/>
  <c r="AD390" i="17" s="1"/>
  <c r="AD472" i="19"/>
  <c r="AE472" i="19" s="1"/>
  <c r="P396" i="19"/>
  <c r="Q396" i="19" s="1"/>
  <c r="W408" i="19" l="1"/>
  <c r="AA408" i="19" s="1"/>
  <c r="W406" i="19"/>
  <c r="Y406" i="19" s="1"/>
  <c r="W404" i="19"/>
  <c r="Y404" i="19" s="1"/>
  <c r="W402" i="19"/>
  <c r="AA402" i="19" s="1"/>
  <c r="T397" i="19"/>
  <c r="V397" i="19" s="1"/>
  <c r="W397" i="19" s="1"/>
  <c r="AA404" i="19" l="1"/>
  <c r="AA406" i="19"/>
  <c r="AA397" i="19"/>
  <c r="Y397" i="19"/>
  <c r="Y402" i="19"/>
  <c r="Y408" i="19"/>
  <c r="P413" i="19"/>
  <c r="Q413" i="19" s="1"/>
  <c r="P412" i="19"/>
  <c r="Q412" i="19" s="1"/>
  <c r="P411" i="19"/>
  <c r="Q411" i="19" s="1"/>
  <c r="P410" i="19"/>
  <c r="Q410" i="19" s="1"/>
  <c r="P408" i="19"/>
  <c r="Q408" i="19" s="1"/>
  <c r="P406" i="19"/>
  <c r="Q406" i="19" s="1"/>
  <c r="P404" i="19"/>
  <c r="Q404" i="19" s="1"/>
  <c r="P402" i="19"/>
  <c r="Q402" i="19" s="1"/>
  <c r="P397" i="19"/>
  <c r="Q397" i="19" s="1"/>
  <c r="Q466" i="19" l="1"/>
  <c r="T414" i="19" l="1"/>
  <c r="V414" i="19" s="1"/>
  <c r="W414" i="19" s="1"/>
  <c r="AA414" i="19" l="1"/>
  <c r="Y414" i="19"/>
  <c r="AD520" i="19"/>
  <c r="AE520" i="19" s="1"/>
  <c r="AD482" i="19"/>
  <c r="AE482" i="19" s="1"/>
  <c r="AD471" i="19"/>
  <c r="AE471" i="19" s="1"/>
  <c r="AD416" i="19"/>
  <c r="AE416" i="19" s="1"/>
  <c r="AD422" i="19"/>
  <c r="AE422" i="19" s="1"/>
  <c r="AD423" i="19"/>
  <c r="AE423" i="19" s="1"/>
  <c r="AD426" i="19"/>
  <c r="AE426" i="19" s="1"/>
  <c r="P428" i="19" l="1"/>
  <c r="Q428" i="19" s="1"/>
  <c r="P425" i="19" l="1"/>
  <c r="Q425" i="19" s="1"/>
  <c r="P414" i="19"/>
  <c r="Q414" i="19" s="1"/>
  <c r="P416" i="19"/>
  <c r="Q416" i="19" s="1"/>
  <c r="P420" i="19"/>
  <c r="Q420" i="19" s="1"/>
  <c r="P421" i="19"/>
  <c r="Q421" i="19" s="1"/>
  <c r="P422" i="19"/>
  <c r="Q422" i="19" s="1"/>
  <c r="P423" i="19"/>
  <c r="Q423" i="19" s="1"/>
  <c r="P426" i="19"/>
  <c r="Q426" i="19" s="1"/>
  <c r="P427" i="19"/>
  <c r="Q427" i="19" s="1"/>
  <c r="AE466" i="19"/>
  <c r="AD435" i="19"/>
  <c r="AE435" i="19" s="1"/>
  <c r="AD434" i="19"/>
  <c r="AE434" i="19" s="1"/>
  <c r="AD451" i="19"/>
  <c r="AE451" i="19" s="1"/>
  <c r="AC98" i="17"/>
  <c r="AD98" i="17" s="1"/>
  <c r="AD460" i="19"/>
  <c r="AE460" i="19" s="1"/>
  <c r="AC370" i="17"/>
  <c r="AD370" i="17" s="1"/>
  <c r="AD528" i="19"/>
  <c r="AE528" i="19" s="1"/>
  <c r="AC504" i="17"/>
  <c r="AD504" i="17" s="1"/>
  <c r="AC487" i="17"/>
  <c r="AD487" i="17" s="1"/>
  <c r="AC516" i="17" l="1"/>
  <c r="AD516" i="17" s="1"/>
  <c r="AD479" i="19"/>
  <c r="AE479" i="19" s="1"/>
  <c r="AC508" i="17"/>
  <c r="AD508" i="17" s="1"/>
  <c r="AC382" i="17"/>
  <c r="AD382" i="17" s="1"/>
  <c r="AC378" i="17"/>
  <c r="AD378" i="17" s="1"/>
  <c r="AC521" i="17"/>
  <c r="AD521" i="17" s="1"/>
  <c r="AC360" i="17"/>
  <c r="AD360" i="17" s="1"/>
  <c r="AC374" i="17"/>
  <c r="AD374" i="17" s="1"/>
  <c r="AC364" i="17"/>
  <c r="AD364" i="17" s="1"/>
  <c r="AC386" i="17"/>
  <c r="AD386" i="17" s="1"/>
  <c r="AD505" i="19"/>
  <c r="AE505" i="19" s="1"/>
  <c r="AD506" i="19"/>
  <c r="AE506" i="19" s="1"/>
  <c r="AD452" i="19"/>
  <c r="AE452" i="19" s="1"/>
  <c r="AC483" i="17"/>
  <c r="AD483" i="17" s="1"/>
  <c r="AC511" i="17" l="1"/>
  <c r="AD511" i="17" s="1"/>
  <c r="AC495" i="17"/>
  <c r="AD495" i="17" s="1"/>
  <c r="AC491" i="17"/>
  <c r="AD491" i="17" s="1"/>
  <c r="AC412" i="17"/>
  <c r="AD412" i="17" s="1"/>
  <c r="AD433" i="19"/>
  <c r="AE433" i="19" s="1"/>
  <c r="P433" i="19" l="1"/>
  <c r="Q433" i="19" s="1"/>
  <c r="P431" i="19"/>
  <c r="Q431" i="19" s="1"/>
  <c r="P430" i="19"/>
  <c r="Q430" i="19" s="1"/>
  <c r="AD447" i="19" l="1"/>
  <c r="AE447" i="19" s="1"/>
  <c r="AD453" i="19"/>
  <c r="AE453" i="19" s="1"/>
  <c r="W436" i="19"/>
  <c r="AA436" i="19" s="1"/>
  <c r="T443" i="19"/>
  <c r="T442" i="19"/>
  <c r="W442" i="19" s="1"/>
  <c r="T435" i="19"/>
  <c r="T434" i="19"/>
  <c r="W434" i="19" s="1"/>
  <c r="AA434" i="19" s="1"/>
  <c r="W449" i="19"/>
  <c r="AA449" i="19" s="1"/>
  <c r="W440" i="19"/>
  <c r="AA440" i="19" s="1"/>
  <c r="T448" i="19"/>
  <c r="T444" i="19"/>
  <c r="V444" i="19" s="1"/>
  <c r="W444" i="19" s="1"/>
  <c r="AA444" i="19" s="1"/>
  <c r="P446" i="19"/>
  <c r="Q446" i="19" s="1"/>
  <c r="P449" i="19"/>
  <c r="Q449" i="19" s="1"/>
  <c r="P448" i="19"/>
  <c r="Q448" i="19" s="1"/>
  <c r="P444" i="19"/>
  <c r="Q444" i="19" s="1"/>
  <c r="P442" i="19"/>
  <c r="Q442" i="19" s="1"/>
  <c r="P440" i="19"/>
  <c r="Q440" i="19" s="1"/>
  <c r="P438" i="19"/>
  <c r="Q438" i="19" s="1"/>
  <c r="P436" i="19"/>
  <c r="Q436" i="19" s="1"/>
  <c r="P434" i="19"/>
  <c r="Q434" i="19" s="1"/>
  <c r="Y449" i="19" l="1"/>
  <c r="V448" i="19"/>
  <c r="W448" i="19" s="1"/>
  <c r="Y442" i="19"/>
  <c r="AA442" i="19"/>
  <c r="Y444" i="19"/>
  <c r="Y440" i="19"/>
  <c r="Y434" i="19"/>
  <c r="Y436" i="19"/>
  <c r="AD446" i="19"/>
  <c r="AE446" i="19" s="1"/>
  <c r="AD519" i="19"/>
  <c r="AE519" i="19" s="1"/>
  <c r="Y448" i="19" l="1"/>
  <c r="AA448" i="19"/>
  <c r="AC490" i="17"/>
  <c r="AD490" i="17" s="1"/>
  <c r="AD450" i="19"/>
  <c r="AE450" i="19" s="1"/>
  <c r="AD468" i="19"/>
  <c r="AE468" i="19" s="1"/>
  <c r="AD463" i="19"/>
  <c r="AE463" i="19" s="1"/>
  <c r="AD492" i="19"/>
  <c r="AE492" i="19" s="1"/>
  <c r="AD494" i="19"/>
  <c r="AE494" i="19" s="1"/>
  <c r="AD498" i="19"/>
  <c r="AE498" i="19" s="1"/>
  <c r="AD500" i="19"/>
  <c r="AE500" i="19" s="1"/>
  <c r="T453" i="19" l="1"/>
  <c r="V453" i="19" l="1"/>
  <c r="W453" i="19" s="1"/>
  <c r="P458" i="19"/>
  <c r="Q458" i="19" s="1"/>
  <c r="P450" i="19"/>
  <c r="Q450" i="19" s="1"/>
  <c r="P456" i="19"/>
  <c r="Q456" i="19" s="1"/>
  <c r="P453" i="19"/>
  <c r="Q453" i="19" s="1"/>
  <c r="P452" i="19"/>
  <c r="Q452" i="19" s="1"/>
  <c r="P451" i="19"/>
  <c r="Q451" i="19" s="1"/>
  <c r="AA453" i="19" l="1"/>
  <c r="Y453" i="19"/>
  <c r="AD481" i="19"/>
  <c r="AE481" i="19" s="1"/>
  <c r="AD612" i="19" l="1"/>
  <c r="AE612" i="19" s="1"/>
  <c r="AD581" i="19"/>
  <c r="AE581" i="19" s="1"/>
  <c r="AC411" i="17"/>
  <c r="AD411" i="17" s="1"/>
  <c r="AD457" i="19"/>
  <c r="AE457" i="19" s="1"/>
  <c r="W459" i="19" l="1"/>
  <c r="Y459" i="19" s="1"/>
  <c r="P463" i="19"/>
  <c r="Q463" i="19" s="1"/>
  <c r="P462" i="19"/>
  <c r="Q462" i="19" s="1"/>
  <c r="P459" i="19"/>
  <c r="Q459" i="19" s="1"/>
  <c r="P457" i="19"/>
  <c r="Q457" i="19" s="1"/>
  <c r="AD489" i="19" l="1"/>
  <c r="AE489" i="19" s="1"/>
  <c r="AD459" i="19"/>
  <c r="AE459" i="19" s="1"/>
  <c r="AD605" i="19"/>
  <c r="AE605" i="19" s="1"/>
  <c r="AC278" i="17"/>
  <c r="AD278" i="17" s="1"/>
  <c r="AD465" i="19"/>
  <c r="AE465" i="19" s="1"/>
  <c r="AD464" i="19"/>
  <c r="AE464" i="19" s="1"/>
  <c r="AD523" i="19"/>
  <c r="AE523" i="19" s="1"/>
  <c r="Q534" i="19" l="1"/>
  <c r="Q533" i="19"/>
  <c r="AD485" i="19" l="1"/>
  <c r="AE485" i="19" s="1"/>
  <c r="AC12" i="17"/>
  <c r="AD12" i="17" s="1"/>
  <c r="AC331" i="17"/>
  <c r="AD331" i="17" s="1"/>
  <c r="AD544" i="19"/>
  <c r="AE544" i="19" s="1"/>
  <c r="W471" i="19"/>
  <c r="Y471" i="19" s="1"/>
  <c r="W475" i="19"/>
  <c r="AA475" i="19" s="1"/>
  <c r="W468" i="19"/>
  <c r="Y468" i="19" s="1"/>
  <c r="W552" i="19"/>
  <c r="Y552" i="19" s="1"/>
  <c r="AA468" i="19" l="1"/>
  <c r="Y475" i="19"/>
  <c r="AA471" i="19"/>
  <c r="P465" i="19"/>
  <c r="Q465" i="19" s="1"/>
  <c r="P464" i="19"/>
  <c r="Q464" i="19" s="1"/>
  <c r="P468" i="19" l="1"/>
  <c r="Q468" i="19" s="1"/>
  <c r="AC9" i="17" l="1"/>
  <c r="AD9" i="17" s="1"/>
  <c r="AD488" i="19"/>
  <c r="AE488" i="19" s="1"/>
  <c r="AD507" i="19"/>
  <c r="AE507" i="19" s="1"/>
  <c r="AD547" i="19"/>
  <c r="AE547" i="19" s="1"/>
  <c r="AD469" i="19"/>
  <c r="AE469" i="19" s="1"/>
  <c r="P469" i="19"/>
  <c r="Q469" i="19" s="1"/>
  <c r="AD503" i="19"/>
  <c r="AE503" i="19" s="1"/>
  <c r="AC444" i="17"/>
  <c r="AD444" i="17" s="1"/>
  <c r="AC448" i="17"/>
  <c r="AD448" i="17" s="1"/>
  <c r="AC468" i="17"/>
  <c r="AD468" i="17" s="1"/>
  <c r="AC464" i="17"/>
  <c r="AD464" i="17" s="1"/>
  <c r="AC429" i="17"/>
  <c r="AD429" i="17" s="1"/>
  <c r="AC438" i="17"/>
  <c r="AD438" i="17" s="1"/>
  <c r="AC457" i="17"/>
  <c r="AD457" i="17" s="1"/>
  <c r="AC475" i="17"/>
  <c r="AD475" i="17" s="1"/>
  <c r="Q470" i="19" l="1"/>
  <c r="P487" i="19"/>
  <c r="Q487" i="19" s="1"/>
  <c r="P486" i="19"/>
  <c r="Q486" i="19" s="1"/>
  <c r="P485" i="19"/>
  <c r="Q485" i="19" s="1"/>
  <c r="P482" i="19"/>
  <c r="Q482" i="19" s="1"/>
  <c r="P479" i="19"/>
  <c r="Q479" i="19" s="1"/>
  <c r="Q476" i="19"/>
  <c r="P471" i="19"/>
  <c r="Q471" i="19" s="1"/>
  <c r="AD480" i="19" l="1"/>
  <c r="AE480" i="19" s="1"/>
  <c r="P480" i="19"/>
  <c r="Q480" i="19" s="1"/>
  <c r="AD475" i="19"/>
  <c r="AE475" i="19" s="1"/>
  <c r="P475" i="19"/>
  <c r="Q475" i="19" s="1"/>
  <c r="AC598" i="17"/>
  <c r="AD598" i="17" s="1"/>
  <c r="AD491" i="19" l="1"/>
  <c r="AE491" i="19" s="1"/>
  <c r="AD493" i="19"/>
  <c r="AE493" i="19" s="1"/>
  <c r="AD495" i="19"/>
  <c r="AE495" i="19" s="1"/>
  <c r="AD497" i="19"/>
  <c r="AE497" i="19" s="1"/>
  <c r="AD499" i="19"/>
  <c r="AE499" i="19" s="1"/>
  <c r="AD504" i="19" l="1"/>
  <c r="AE504" i="19" s="1"/>
  <c r="AD524" i="19"/>
  <c r="AE524" i="19" s="1"/>
  <c r="AD510" i="19"/>
  <c r="AE510" i="19" s="1"/>
  <c r="AD509" i="19"/>
  <c r="AE509" i="19" s="1"/>
  <c r="AD583" i="19"/>
  <c r="AE583" i="19" s="1"/>
  <c r="AD501" i="19"/>
  <c r="AE501" i="19" s="1"/>
  <c r="AD610" i="19"/>
  <c r="AE610" i="19" s="1"/>
  <c r="AD508" i="19"/>
  <c r="AE508" i="19" s="1"/>
  <c r="W501" i="19" l="1"/>
  <c r="AA501" i="19" s="1"/>
  <c r="W490" i="19"/>
  <c r="AA490" i="19" s="1"/>
  <c r="W499" i="19"/>
  <c r="Y499" i="19" s="1"/>
  <c r="W497" i="19"/>
  <c r="AA497" i="19" s="1"/>
  <c r="W495" i="19"/>
  <c r="AA495" i="19" s="1"/>
  <c r="W493" i="19"/>
  <c r="AA493" i="19" s="1"/>
  <c r="W491" i="19"/>
  <c r="Y491" i="19" s="1"/>
  <c r="T507" i="19"/>
  <c r="T488" i="19"/>
  <c r="Y497" i="19" l="1"/>
  <c r="AA499" i="19"/>
  <c r="AA491" i="19"/>
  <c r="V488" i="19"/>
  <c r="W488" i="19" s="1"/>
  <c r="Y495" i="19"/>
  <c r="Y501" i="19"/>
  <c r="V507" i="19"/>
  <c r="W507" i="19" s="1"/>
  <c r="Y493" i="19"/>
  <c r="Y490" i="19"/>
  <c r="P499" i="19"/>
  <c r="Q499" i="19" s="1"/>
  <c r="P497" i="19"/>
  <c r="Q497" i="19" s="1"/>
  <c r="P495" i="19"/>
  <c r="Q495" i="19" s="1"/>
  <c r="P493" i="19"/>
  <c r="Q493" i="19" s="1"/>
  <c r="P491" i="19"/>
  <c r="Q491" i="19" s="1"/>
  <c r="P490" i="19"/>
  <c r="Q490" i="19" s="1"/>
  <c r="P488" i="19"/>
  <c r="Q488" i="19" s="1"/>
  <c r="AA507" i="19" l="1"/>
  <c r="Y507" i="19"/>
  <c r="Y488" i="19"/>
  <c r="AA488" i="19"/>
  <c r="P507" i="19"/>
  <c r="Q507" i="19" s="1"/>
  <c r="P506" i="19"/>
  <c r="Q506" i="19" s="1"/>
  <c r="P505" i="19"/>
  <c r="Q505" i="19" s="1"/>
  <c r="P504" i="19"/>
  <c r="Q504" i="19" s="1"/>
  <c r="P503" i="19"/>
  <c r="Q503" i="19" s="1"/>
  <c r="P501" i="19"/>
  <c r="Q501" i="19" s="1"/>
  <c r="W509" i="19"/>
  <c r="AA509" i="19" s="1"/>
  <c r="Y509" i="19" l="1"/>
  <c r="AC243" i="17"/>
  <c r="AD243" i="17" s="1"/>
  <c r="AD513" i="19"/>
  <c r="AE513" i="19" s="1"/>
  <c r="P509" i="19"/>
  <c r="Q509" i="19" s="1"/>
  <c r="P508" i="19"/>
  <c r="Q508" i="19" s="1"/>
  <c r="AD512" i="19" l="1"/>
  <c r="AE512" i="19" s="1"/>
  <c r="AD511" i="19"/>
  <c r="AE511" i="19" s="1"/>
  <c r="AD515" i="19"/>
  <c r="AE515" i="19" s="1"/>
  <c r="AD551" i="19"/>
  <c r="AE551" i="19" s="1"/>
  <c r="AD559" i="19"/>
  <c r="AE559" i="19" s="1"/>
  <c r="AD527" i="19"/>
  <c r="AE527" i="19" s="1"/>
  <c r="AD536" i="19"/>
  <c r="AE536" i="19" s="1"/>
  <c r="Y535" i="19"/>
  <c r="W536" i="19"/>
  <c r="AA536" i="19" s="1"/>
  <c r="W543" i="19"/>
  <c r="AA543" i="19" s="1"/>
  <c r="W544" i="19"/>
  <c r="Y544" i="19" s="1"/>
  <c r="T539" i="19"/>
  <c r="V539" i="19" s="1"/>
  <c r="W539" i="19" s="1"/>
  <c r="T546" i="19"/>
  <c r="T551" i="19"/>
  <c r="W521" i="19"/>
  <c r="Y521" i="19" s="1"/>
  <c r="T519" i="19"/>
  <c r="W511" i="19"/>
  <c r="AA511" i="19" s="1"/>
  <c r="W530" i="19"/>
  <c r="Y530" i="19" s="1"/>
  <c r="T522" i="19"/>
  <c r="AA544" i="19" l="1"/>
  <c r="V522" i="19"/>
  <c r="W522" i="19" s="1"/>
  <c r="Y511" i="19"/>
  <c r="Y543" i="19"/>
  <c r="AA530" i="19"/>
  <c r="V551" i="19"/>
  <c r="W551" i="19" s="1"/>
  <c r="AA551" i="19" s="1"/>
  <c r="AA539" i="19"/>
  <c r="Y539" i="19"/>
  <c r="V519" i="19"/>
  <c r="W519" i="19" s="1"/>
  <c r="V546" i="19"/>
  <c r="W546" i="19" s="1"/>
  <c r="Y536" i="19"/>
  <c r="T515" i="19"/>
  <c r="V515" i="19" s="1"/>
  <c r="W515" i="19" s="1"/>
  <c r="P515" i="19"/>
  <c r="Q515" i="19" s="1"/>
  <c r="AA522" i="19" l="1"/>
  <c r="Y522" i="19"/>
  <c r="Y551" i="19"/>
  <c r="Y519" i="19"/>
  <c r="AA519" i="19"/>
  <c r="AA515" i="19"/>
  <c r="Y515" i="19"/>
  <c r="Y546" i="19"/>
  <c r="AA546" i="19"/>
  <c r="P511" i="19"/>
  <c r="Q511" i="19" s="1"/>
  <c r="T524" i="19" l="1"/>
  <c r="P522" i="19"/>
  <c r="Q522" i="19" s="1"/>
  <c r="P519" i="19"/>
  <c r="Q519" i="19" s="1"/>
  <c r="P514" i="19"/>
  <c r="Q514" i="19" s="1"/>
  <c r="P513" i="19"/>
  <c r="Q513" i="19" s="1"/>
  <c r="V524" i="19" l="1"/>
  <c r="W524" i="19" s="1"/>
  <c r="AD522" i="19"/>
  <c r="AE522" i="19" s="1"/>
  <c r="AD521" i="19"/>
  <c r="AE521" i="19" s="1"/>
  <c r="P521" i="19"/>
  <c r="Q521" i="19" s="1"/>
  <c r="AD575" i="19"/>
  <c r="AE575" i="19" s="1"/>
  <c r="AC8" i="17"/>
  <c r="AD8" i="17" s="1"/>
  <c r="AA524" i="19" l="1"/>
  <c r="Y524" i="19"/>
  <c r="AD550" i="19"/>
  <c r="AE550" i="19" s="1"/>
  <c r="AD553" i="19"/>
  <c r="AE553" i="19" s="1"/>
  <c r="AD526" i="19"/>
  <c r="AE526" i="19" s="1"/>
  <c r="AC500" i="17"/>
  <c r="AD500" i="17" s="1"/>
  <c r="AD529" i="19"/>
  <c r="AE529" i="19" s="1"/>
  <c r="AD555" i="19"/>
  <c r="AE555" i="19" s="1"/>
  <c r="AD538" i="19"/>
  <c r="AE538" i="19" s="1"/>
  <c r="AD532" i="19"/>
  <c r="AE532" i="19" s="1"/>
  <c r="AD531" i="19"/>
  <c r="AE531" i="19" s="1"/>
  <c r="P530" i="19"/>
  <c r="Q530" i="19" s="1"/>
  <c r="P532" i="19"/>
  <c r="Q532" i="19" s="1"/>
  <c r="P529" i="19"/>
  <c r="Q529" i="19" s="1"/>
  <c r="P524" i="19"/>
  <c r="Q524" i="19" s="1"/>
  <c r="P528" i="19" l="1"/>
  <c r="Q528" i="19" s="1"/>
  <c r="P527" i="19"/>
  <c r="Q527" i="19" s="1"/>
  <c r="P526" i="19"/>
  <c r="Q526" i="19" s="1"/>
  <c r="AD530" i="19" l="1"/>
  <c r="AE530" i="19" s="1"/>
  <c r="AD535" i="19"/>
  <c r="AE535" i="19" s="1"/>
  <c r="AD600" i="19"/>
  <c r="AE600" i="19" s="1"/>
  <c r="P538" i="19" l="1"/>
  <c r="Q538" i="19" s="1"/>
  <c r="P554" i="19"/>
  <c r="Q554" i="19" s="1"/>
  <c r="P553" i="19"/>
  <c r="Q553" i="19" s="1"/>
  <c r="P552" i="19"/>
  <c r="Q552" i="19" s="1"/>
  <c r="P551" i="19"/>
  <c r="Q551" i="19" s="1"/>
  <c r="P544" i="19"/>
  <c r="Q544" i="19" s="1"/>
  <c r="P543" i="19"/>
  <c r="Q543" i="19" s="1"/>
  <c r="P539" i="19"/>
  <c r="Q539" i="19" s="1"/>
  <c r="P537" i="19"/>
  <c r="Q537" i="19" s="1"/>
  <c r="P536" i="19"/>
  <c r="Q536" i="19" s="1"/>
  <c r="P535" i="19"/>
  <c r="Q535" i="19" s="1"/>
  <c r="AD546" i="19" l="1"/>
  <c r="AE546" i="19" s="1"/>
  <c r="AD603" i="19"/>
  <c r="AE603" i="19" s="1"/>
  <c r="AD585" i="19"/>
  <c r="AE585" i="19" s="1"/>
  <c r="AD594" i="19"/>
  <c r="AE594" i="19" s="1"/>
  <c r="AD560" i="19"/>
  <c r="AE560" i="19" s="1"/>
  <c r="AC350" i="17"/>
  <c r="AD350" i="17" s="1"/>
  <c r="AD552" i="19"/>
  <c r="AE552" i="19" s="1"/>
  <c r="AC146" i="17"/>
  <c r="AD146" i="17" s="1"/>
  <c r="AD21" i="17"/>
  <c r="AD565" i="19"/>
  <c r="AE565" i="19" s="1"/>
  <c r="AD574" i="19"/>
  <c r="AE574" i="19" s="1"/>
  <c r="P550" i="19" l="1"/>
  <c r="Q550" i="19" s="1"/>
  <c r="P546" i="19"/>
  <c r="Q546" i="19" s="1"/>
  <c r="AD557" i="19" l="1"/>
  <c r="AE557" i="19" s="1"/>
  <c r="AD558" i="19" l="1"/>
  <c r="AE558" i="19" s="1"/>
  <c r="AD614" i="19"/>
  <c r="AE614" i="19" s="1"/>
  <c r="AD556" i="19"/>
  <c r="AE556" i="19" s="1"/>
  <c r="AD582" i="19"/>
  <c r="AE582" i="19" s="1"/>
  <c r="AD580" i="19"/>
  <c r="AE580" i="19" s="1"/>
  <c r="P557" i="19" l="1"/>
  <c r="Q557" i="19" s="1"/>
  <c r="P556" i="19" l="1"/>
  <c r="Q556" i="19" s="1"/>
  <c r="P555" i="19"/>
  <c r="Q555" i="19" s="1"/>
  <c r="AC257" i="17" l="1"/>
  <c r="AD257" i="17" s="1"/>
  <c r="W584" i="19" l="1"/>
  <c r="Y584" i="19" s="1"/>
  <c r="W582" i="19"/>
  <c r="Y582" i="19" s="1"/>
  <c r="W580" i="19"/>
  <c r="Y580" i="19" s="1"/>
  <c r="W579" i="19"/>
  <c r="AA579" i="19" s="1"/>
  <c r="W578" i="19"/>
  <c r="AA578" i="19" s="1"/>
  <c r="W577" i="19"/>
  <c r="Y577" i="19" s="1"/>
  <c r="T576" i="19"/>
  <c r="V576" i="19" s="1"/>
  <c r="W576" i="19" s="1"/>
  <c r="Y576" i="19" s="1"/>
  <c r="T570" i="19"/>
  <c r="W566" i="19"/>
  <c r="AA566" i="19" s="1"/>
  <c r="P566" i="19"/>
  <c r="Q566" i="19" s="1"/>
  <c r="T562" i="19"/>
  <c r="T558" i="19"/>
  <c r="V558" i="19" s="1"/>
  <c r="W558" i="19" s="1"/>
  <c r="P558" i="19"/>
  <c r="Q558" i="19" s="1"/>
  <c r="T559" i="19"/>
  <c r="P559" i="19"/>
  <c r="Q559" i="19" s="1"/>
  <c r="P574" i="19"/>
  <c r="Q574" i="19" s="1"/>
  <c r="P570" i="19"/>
  <c r="Q570" i="19" s="1"/>
  <c r="P562" i="19"/>
  <c r="Q562" i="19" s="1"/>
  <c r="P561" i="19"/>
  <c r="Q561" i="19" s="1"/>
  <c r="P560" i="19"/>
  <c r="Q560" i="19" s="1"/>
  <c r="Y566" i="19" l="1"/>
  <c r="AA577" i="19"/>
  <c r="AA582" i="19"/>
  <c r="Y578" i="19"/>
  <c r="AA584" i="19"/>
  <c r="AA558" i="19"/>
  <c r="Y558" i="19"/>
  <c r="V559" i="19"/>
  <c r="W559" i="19" s="1"/>
  <c r="V562" i="19"/>
  <c r="W562" i="19" s="1"/>
  <c r="V570" i="19"/>
  <c r="W570" i="19" s="1"/>
  <c r="AA576" i="19"/>
  <c r="Y579" i="19"/>
  <c r="AA580" i="19"/>
  <c r="AD561" i="19"/>
  <c r="AE561" i="19" s="1"/>
  <c r="AD570" i="19"/>
  <c r="AE570" i="19" s="1"/>
  <c r="AD566" i="19"/>
  <c r="AE566" i="19" s="1"/>
  <c r="AD590" i="19"/>
  <c r="AE590" i="19" s="1"/>
  <c r="AD562" i="19"/>
  <c r="AE562" i="19" s="1"/>
  <c r="AD626" i="19"/>
  <c r="AE626" i="19" s="1"/>
  <c r="AD588" i="19"/>
  <c r="AE588" i="19" s="1"/>
  <c r="AD576" i="19"/>
  <c r="AE576" i="19" s="1"/>
  <c r="AD597" i="19"/>
  <c r="AE597" i="19" s="1"/>
  <c r="AD587" i="19"/>
  <c r="AE587" i="19" s="1"/>
  <c r="AC437" i="17"/>
  <c r="AD437" i="17" s="1"/>
  <c r="AC428" i="17"/>
  <c r="AD428" i="17" s="1"/>
  <c r="AC456" i="17"/>
  <c r="AD456" i="17" s="1"/>
  <c r="AC474" i="17"/>
  <c r="AD474" i="17" s="1"/>
  <c r="AD593" i="19"/>
  <c r="AE593" i="19" s="1"/>
  <c r="AD584" i="19"/>
  <c r="AE584" i="19" s="1"/>
  <c r="AD596" i="19"/>
  <c r="AE596" i="19" s="1"/>
  <c r="AC7" i="17"/>
  <c r="AD7" i="17" s="1"/>
  <c r="Y562" i="19" l="1"/>
  <c r="AA562" i="19"/>
  <c r="AA570" i="19"/>
  <c r="Y570" i="19"/>
  <c r="Y559" i="19"/>
  <c r="AA559" i="19"/>
  <c r="P584" i="19"/>
  <c r="Q584" i="19" s="1"/>
  <c r="P582" i="19"/>
  <c r="Q582" i="19" s="1"/>
  <c r="P580" i="19"/>
  <c r="Q580" i="19" s="1"/>
  <c r="P579" i="19"/>
  <c r="Q579" i="19" s="1"/>
  <c r="P578" i="19"/>
  <c r="Q578" i="19" s="1"/>
  <c r="P577" i="19"/>
  <c r="Q577" i="19" s="1"/>
  <c r="P576" i="19"/>
  <c r="Q576" i="19" s="1"/>
  <c r="P575" i="19"/>
  <c r="Q575" i="19" s="1"/>
  <c r="T592" i="19" l="1"/>
  <c r="V592" i="19" s="1"/>
  <c r="W592" i="19" s="1"/>
  <c r="W589" i="19"/>
  <c r="Y589" i="19" s="1"/>
  <c r="W588" i="19"/>
  <c r="AA588" i="19" s="1"/>
  <c r="P591" i="19"/>
  <c r="Q591" i="19" s="1"/>
  <c r="AD586" i="19"/>
  <c r="AE586" i="19" s="1"/>
  <c r="AD96" i="17"/>
  <c r="AC97" i="17"/>
  <c r="AD97" i="17" s="1"/>
  <c r="AC13" i="17"/>
  <c r="AD13" i="17" s="1"/>
  <c r="AD607" i="19"/>
  <c r="AE607" i="19" s="1"/>
  <c r="AD589" i="19"/>
  <c r="AE589" i="19" s="1"/>
  <c r="AD592" i="19"/>
  <c r="AE592" i="19" s="1"/>
  <c r="P592" i="19"/>
  <c r="Q592" i="19" s="1"/>
  <c r="P589" i="19"/>
  <c r="Q589" i="19" s="1"/>
  <c r="P588" i="19"/>
  <c r="Q588" i="19" s="1"/>
  <c r="P587" i="19"/>
  <c r="Q587" i="19" s="1"/>
  <c r="P586" i="19"/>
  <c r="Q586" i="19" s="1"/>
  <c r="AC22" i="17"/>
  <c r="AD22" i="17" s="1"/>
  <c r="AA589" i="19" l="1"/>
  <c r="AA592" i="19"/>
  <c r="Y592" i="19"/>
  <c r="Y588" i="19"/>
  <c r="AC45" i="17"/>
  <c r="AD45" i="17" s="1"/>
  <c r="AC136" i="17"/>
  <c r="AD136" i="17" s="1"/>
  <c r="AD613" i="19"/>
  <c r="AE613" i="19" s="1"/>
  <c r="AC48" i="17"/>
  <c r="AD48" i="17" s="1"/>
  <c r="AC47" i="17"/>
  <c r="AD47" i="17" s="1"/>
  <c r="AD595" i="19" l="1"/>
  <c r="AE595" i="19" s="1"/>
  <c r="AC143" i="17"/>
  <c r="AD143" i="17" s="1"/>
  <c r="T594" i="19"/>
  <c r="V594" i="19" s="1"/>
  <c r="W594" i="19" s="1"/>
  <c r="P594" i="19"/>
  <c r="Q594" i="19" s="1"/>
  <c r="P595" i="19"/>
  <c r="Q595" i="19" s="1"/>
  <c r="AA594" i="19" l="1"/>
  <c r="Y594" i="19"/>
  <c r="AD598" i="19"/>
  <c r="AE598" i="19" s="1"/>
  <c r="AD611" i="19"/>
  <c r="AE611" i="19" s="1"/>
  <c r="T605" i="19" l="1"/>
  <c r="T603" i="19"/>
  <c r="W610" i="19"/>
  <c r="AA610" i="19" s="1"/>
  <c r="V603" i="19" l="1"/>
  <c r="W603" i="19" s="1"/>
  <c r="Y610" i="19"/>
  <c r="V605" i="19"/>
  <c r="W605" i="19" s="1"/>
  <c r="P610" i="19"/>
  <c r="Q610" i="19" s="1"/>
  <c r="P608" i="19"/>
  <c r="Q608" i="19" s="1"/>
  <c r="P607" i="19"/>
  <c r="Q607" i="19" s="1"/>
  <c r="P605" i="19"/>
  <c r="Q605" i="19" s="1"/>
  <c r="P603" i="19"/>
  <c r="Q603" i="19" s="1"/>
  <c r="P602" i="19"/>
  <c r="Q602" i="19" s="1"/>
  <c r="P597" i="19"/>
  <c r="Q597" i="19" s="1"/>
  <c r="AA605" i="19" l="1"/>
  <c r="Y605" i="19"/>
  <c r="Y603" i="19"/>
  <c r="AA603" i="19"/>
  <c r="P601" i="19"/>
  <c r="Q601" i="19" s="1"/>
  <c r="P600" i="19"/>
  <c r="Q600" i="19" s="1"/>
  <c r="P599" i="19"/>
  <c r="Q599" i="19" s="1"/>
  <c r="P598" i="19"/>
  <c r="Q598" i="19" s="1"/>
  <c r="AD609" i="19" l="1"/>
  <c r="AE609" i="19" s="1"/>
  <c r="AC597" i="17" l="1"/>
  <c r="AD597" i="17" s="1"/>
  <c r="AD608" i="19"/>
  <c r="AE608" i="19" s="1"/>
  <c r="AC145" i="17"/>
  <c r="AD145" i="17" s="1"/>
  <c r="AC144" i="17"/>
  <c r="AD144" i="17" s="1"/>
  <c r="AC492" i="17" l="1"/>
  <c r="AD492" i="17" s="1"/>
  <c r="AC482" i="17"/>
  <c r="AD482" i="17" s="1"/>
  <c r="AC479" i="17"/>
  <c r="AD479" i="17" s="1"/>
  <c r="AC447" i="17"/>
  <c r="AD447" i="17" s="1"/>
  <c r="AC413" i="17"/>
  <c r="AD413" i="17" s="1"/>
  <c r="AC406" i="17"/>
  <c r="AD406" i="17" s="1"/>
  <c r="AC398" i="17"/>
  <c r="AD398" i="17" s="1"/>
  <c r="AC389" i="17"/>
  <c r="AD389" i="17" s="1"/>
  <c r="AC373" i="17"/>
  <c r="AD373" i="17" s="1"/>
  <c r="AC743" i="17"/>
  <c r="AD743" i="17" s="1"/>
  <c r="O621" i="17"/>
  <c r="P621" i="17" s="1"/>
  <c r="O613" i="17"/>
  <c r="P613" i="17" s="1"/>
  <c r="W611" i="19"/>
  <c r="AA611" i="19" s="1"/>
  <c r="T613" i="19"/>
  <c r="V613" i="19" s="1"/>
  <c r="W613" i="19" s="1"/>
  <c r="P613" i="19"/>
  <c r="Q613" i="19" s="1"/>
  <c r="P611" i="19"/>
  <c r="Q611" i="19" s="1"/>
  <c r="AA613" i="19" l="1"/>
  <c r="Y613" i="19"/>
  <c r="Y611" i="19"/>
  <c r="AD628" i="19"/>
  <c r="AE628" i="19" s="1"/>
  <c r="AC15" i="17"/>
  <c r="AD15" i="17" s="1"/>
  <c r="AD619" i="19"/>
  <c r="AE619" i="19" s="1"/>
  <c r="AD624" i="19"/>
  <c r="AE624" i="19" s="1"/>
  <c r="AD620" i="19"/>
  <c r="AE620" i="19" s="1"/>
  <c r="P619" i="19" l="1"/>
  <c r="Q619" i="19" s="1"/>
  <c r="AD629" i="19" l="1"/>
  <c r="AE629" i="19" s="1"/>
  <c r="AD633" i="19" l="1"/>
  <c r="AE633" i="19" s="1"/>
  <c r="P633" i="19"/>
  <c r="Q633" i="19" s="1"/>
  <c r="AD631" i="19"/>
  <c r="AE631" i="19" s="1"/>
  <c r="T631" i="19"/>
  <c r="P631" i="19"/>
  <c r="Q631" i="19" s="1"/>
  <c r="AD630" i="19"/>
  <c r="AE630" i="19" s="1"/>
  <c r="P630" i="19"/>
  <c r="Q630" i="19" s="1"/>
  <c r="P629" i="19"/>
  <c r="Q629" i="19" s="1"/>
  <c r="P628" i="19"/>
  <c r="Q628" i="19" s="1"/>
  <c r="T626" i="19"/>
  <c r="V626" i="19" s="1"/>
  <c r="W626" i="19" s="1"/>
  <c r="P626" i="19"/>
  <c r="Q626" i="19" s="1"/>
  <c r="T625" i="19"/>
  <c r="V625" i="19" s="1"/>
  <c r="T624" i="19"/>
  <c r="P624" i="19"/>
  <c r="Q624" i="19" s="1"/>
  <c r="T620" i="19"/>
  <c r="V620" i="19" s="1"/>
  <c r="W620" i="19" s="1"/>
  <c r="P620" i="19"/>
  <c r="Q620" i="19" s="1"/>
  <c r="AA620" i="19" l="1"/>
  <c r="Y620" i="19"/>
  <c r="AA626" i="19"/>
  <c r="Y626" i="19"/>
  <c r="V631" i="19"/>
  <c r="W631" i="19" s="1"/>
  <c r="V624" i="19"/>
  <c r="W624" i="19" s="1"/>
  <c r="AA631" i="19" l="1"/>
  <c r="Y631" i="19"/>
  <c r="AA624" i="19"/>
  <c r="Y624" i="19"/>
  <c r="AC20" i="17"/>
  <c r="AD20" i="17" s="1"/>
  <c r="AC19" i="17"/>
  <c r="AD19" i="17" s="1"/>
  <c r="AC14" i="17"/>
  <c r="AD14" i="17" s="1"/>
  <c r="AC420" i="17"/>
  <c r="AD420" i="17" s="1"/>
  <c r="AC11" i="17"/>
  <c r="AD11" i="17" s="1"/>
  <c r="AC6" i="17" l="1"/>
  <c r="AD6" i="17" s="1"/>
  <c r="AC10" i="17" l="1"/>
  <c r="AD10" i="17" s="1"/>
  <c r="AC37" i="17"/>
  <c r="AD37" i="17" s="1"/>
  <c r="AC62" i="17"/>
  <c r="AD62" i="17" s="1"/>
  <c r="V19" i="17"/>
  <c r="X19" i="17" s="1"/>
  <c r="S10" i="17"/>
  <c r="O12" i="17"/>
  <c r="P12" i="17" s="1"/>
  <c r="O13" i="17"/>
  <c r="P13" i="17" s="1"/>
  <c r="O10" i="17"/>
  <c r="P10" i="17" s="1"/>
  <c r="O6" i="17"/>
  <c r="P6" i="17" s="1"/>
  <c r="Z19" i="17" l="1"/>
  <c r="U10" i="17"/>
  <c r="V10" i="17" s="1"/>
  <c r="Z10" i="17" l="1"/>
  <c r="X10" i="17"/>
  <c r="S108" i="17"/>
  <c r="U108" i="17" s="1"/>
  <c r="V108" i="17" s="1"/>
  <c r="S109" i="17"/>
  <c r="U109" i="17" s="1"/>
  <c r="V109" i="17" s="1"/>
  <c r="S116" i="17"/>
  <c r="U116" i="17" s="1"/>
  <c r="V116" i="17" s="1"/>
  <c r="X116" i="17" s="1"/>
  <c r="AC16" i="17" l="1"/>
  <c r="AD16" i="17" s="1"/>
  <c r="AC608" i="17"/>
  <c r="AD608" i="17" s="1"/>
  <c r="AC58" i="17"/>
  <c r="AD58" i="17" s="1"/>
  <c r="AC57" i="17"/>
  <c r="AD57" i="17" s="1"/>
  <c r="AC171" i="17"/>
  <c r="AD171" i="17" s="1"/>
  <c r="AC25" i="17"/>
  <c r="AD25" i="17" s="1"/>
  <c r="AC18" i="17"/>
  <c r="AD18" i="17" s="1"/>
  <c r="AC31" i="17"/>
  <c r="AD31" i="17" s="1"/>
  <c r="AC436" i="17"/>
  <c r="AD436" i="17" s="1"/>
  <c r="AC427" i="17"/>
  <c r="AD427" i="17" s="1"/>
  <c r="AC473" i="17"/>
  <c r="AD473" i="17" s="1"/>
  <c r="AC17" i="17"/>
  <c r="AD17" i="17" s="1"/>
  <c r="AC40" i="17"/>
  <c r="AD40" i="17" s="1"/>
  <c r="O22" i="17" l="1"/>
  <c r="P22" i="17" s="1"/>
  <c r="P21" i="17"/>
  <c r="O19" i="17"/>
  <c r="P19" i="17" s="1"/>
  <c r="O17" i="17"/>
  <c r="P17" i="17" s="1"/>
  <c r="O16" i="17"/>
  <c r="P16" i="17" s="1"/>
  <c r="O15" i="17"/>
  <c r="P15" i="17" s="1"/>
  <c r="O14" i="17"/>
  <c r="P14" i="17" s="1"/>
  <c r="AC223" i="17" l="1"/>
  <c r="AD223" i="17" s="1"/>
  <c r="AC30" i="17"/>
  <c r="AD30" i="17" s="1"/>
  <c r="AC29" i="17"/>
  <c r="AD29" i="17" s="1"/>
  <c r="S24" i="17" l="1"/>
  <c r="U24" i="17" s="1"/>
  <c r="S26" i="17"/>
  <c r="U26" i="17" s="1"/>
  <c r="V26" i="17" s="1"/>
  <c r="V24" i="17" l="1"/>
  <c r="Z26" i="17"/>
  <c r="X26" i="17"/>
  <c r="O26" i="17"/>
  <c r="P26" i="17" s="1"/>
  <c r="AC36" i="17"/>
  <c r="AD36" i="17" s="1"/>
  <c r="AC26" i="17"/>
  <c r="AD26" i="17" s="1"/>
  <c r="AC23" i="17"/>
  <c r="AD23" i="17" s="1"/>
  <c r="O23" i="17"/>
  <c r="P23" i="17" s="1"/>
  <c r="P24" i="17"/>
  <c r="O25" i="17"/>
  <c r="P25" i="17" s="1"/>
  <c r="Z24" i="17" l="1"/>
  <c r="X24" i="17"/>
  <c r="AC402" i="17"/>
  <c r="AD402" i="17" s="1"/>
  <c r="AC405" i="17"/>
  <c r="AD405" i="17" s="1"/>
  <c r="AC388" i="17"/>
  <c r="AD388" i="17" s="1"/>
  <c r="AC256" i="17"/>
  <c r="AD256" i="17" s="1"/>
  <c r="AC304" i="17"/>
  <c r="AD304" i="17" s="1"/>
  <c r="AC27" i="17"/>
  <c r="AD27" i="17" s="1"/>
  <c r="AC42" i="17"/>
  <c r="AD42" i="17" s="1"/>
  <c r="AC38" i="17"/>
  <c r="AD38" i="17" s="1"/>
  <c r="S28" i="17" l="1"/>
  <c r="S29" i="17"/>
  <c r="V29" i="17" s="1"/>
  <c r="Z29" i="17" s="1"/>
  <c r="U28" i="17" l="1"/>
  <c r="V28" i="17" s="1"/>
  <c r="X29" i="17"/>
  <c r="AC76" i="17"/>
  <c r="AD76" i="17" s="1"/>
  <c r="AC394" i="17"/>
  <c r="AD394" i="17" s="1"/>
  <c r="AC385" i="17"/>
  <c r="AD385" i="17" s="1"/>
  <c r="AC372" i="17"/>
  <c r="AD372" i="17" s="1"/>
  <c r="AC381" i="17"/>
  <c r="AD381" i="17" s="1"/>
  <c r="AC377" i="17"/>
  <c r="AD377" i="17" s="1"/>
  <c r="AC369" i="17"/>
  <c r="AD369" i="17" s="1"/>
  <c r="AC363" i="17"/>
  <c r="AD363" i="17" s="1"/>
  <c r="AC359" i="17"/>
  <c r="AD359" i="17" s="1"/>
  <c r="AC336" i="17"/>
  <c r="AD336" i="17" s="1"/>
  <c r="AC28" i="17"/>
  <c r="AD28" i="17" s="1"/>
  <c r="O27" i="17"/>
  <c r="P27" i="17" s="1"/>
  <c r="O28" i="17"/>
  <c r="P28" i="17" s="1"/>
  <c r="O29" i="17"/>
  <c r="P29" i="17" s="1"/>
  <c r="Z28" i="17" l="1"/>
  <c r="X28" i="17"/>
  <c r="AC80" i="17"/>
  <c r="AD80" i="17" s="1"/>
  <c r="AC65" i="17"/>
  <c r="AD65" i="17" s="1"/>
  <c r="AC75" i="17"/>
  <c r="AD75" i="17" s="1"/>
  <c r="AD41" i="17" l="1"/>
  <c r="AC43" i="17" l="1"/>
  <c r="AD43" i="17" s="1"/>
  <c r="AC61" i="17"/>
  <c r="AD61" i="17" s="1"/>
  <c r="AC71" i="17"/>
  <c r="AD71" i="17" s="1"/>
  <c r="AC142" i="17"/>
  <c r="AD142" i="17" s="1"/>
  <c r="AC99" i="17"/>
  <c r="AD99" i="17" s="1"/>
  <c r="AC83" i="17"/>
  <c r="AD83" i="17" s="1"/>
  <c r="AC39" i="17"/>
  <c r="AD39" i="17" s="1"/>
  <c r="AC467" i="17"/>
  <c r="AD467" i="17" s="1"/>
  <c r="AC46" i="17"/>
  <c r="AD46" i="17" s="1"/>
  <c r="AC56" i="17"/>
  <c r="AD56" i="17" s="1"/>
  <c r="O38" i="17"/>
  <c r="P38" i="17" s="1"/>
  <c r="O37" i="17"/>
  <c r="P37" i="17" s="1"/>
  <c r="O36" i="17"/>
  <c r="P36" i="17" s="1"/>
  <c r="S56" i="17" l="1"/>
  <c r="S46" i="17"/>
  <c r="S45" i="17"/>
  <c r="U45" i="17" s="1"/>
  <c r="V45" i="17" s="1"/>
  <c r="S43" i="17"/>
  <c r="U43" i="17" s="1"/>
  <c r="V43" i="17" s="1"/>
  <c r="V40" i="17"/>
  <c r="X40" i="17" s="1"/>
  <c r="Z40" i="17" l="1"/>
  <c r="Z43" i="17"/>
  <c r="X43" i="17"/>
  <c r="Z45" i="17"/>
  <c r="X45" i="17"/>
  <c r="U46" i="17"/>
  <c r="V46" i="17" s="1"/>
  <c r="U56" i="17"/>
  <c r="V56" i="17" s="1"/>
  <c r="O40" i="17"/>
  <c r="P40" i="17" s="1"/>
  <c r="Z56" i="17" l="1"/>
  <c r="X56" i="17"/>
  <c r="X46" i="17"/>
  <c r="Z46" i="17"/>
  <c r="O39" i="17"/>
  <c r="P39" i="17" s="1"/>
  <c r="O56" i="17"/>
  <c r="P56" i="17" s="1"/>
  <c r="O46" i="17"/>
  <c r="P46" i="17" s="1"/>
  <c r="O45" i="17"/>
  <c r="P45" i="17" s="1"/>
  <c r="O43" i="17" l="1"/>
  <c r="P43" i="17" s="1"/>
  <c r="P41" i="17"/>
  <c r="O42" i="17"/>
  <c r="P42" i="17" s="1"/>
  <c r="V61" i="17" l="1"/>
  <c r="Z61" i="17" s="1"/>
  <c r="O61" i="17"/>
  <c r="P61" i="17" s="1"/>
  <c r="S64" i="17"/>
  <c r="V64" i="17" s="1"/>
  <c r="X61" i="17" l="1"/>
  <c r="X64" i="17"/>
  <c r="Z64" i="17"/>
  <c r="O66" i="17"/>
  <c r="P66" i="17" s="1"/>
  <c r="O64" i="17"/>
  <c r="P64" i="17" s="1"/>
  <c r="O63" i="17"/>
  <c r="P63" i="17" s="1"/>
  <c r="O62" i="17"/>
  <c r="P62" i="17" s="1"/>
  <c r="AC64" i="17" l="1"/>
  <c r="AD64" i="17" s="1"/>
  <c r="AC66" i="17"/>
  <c r="AD66" i="17" s="1"/>
  <c r="AC68" i="17"/>
  <c r="AD68" i="17" s="1"/>
  <c r="AC397" i="17" l="1"/>
  <c r="AD397" i="17" s="1"/>
  <c r="AC86" i="17"/>
  <c r="AD86" i="17" s="1"/>
  <c r="AC123" i="17"/>
  <c r="AD123" i="17" s="1"/>
  <c r="AC92" i="17"/>
  <c r="AD92" i="17" s="1"/>
  <c r="O67" i="17" l="1"/>
  <c r="P67" i="17" s="1"/>
  <c r="S68" i="17"/>
  <c r="O68" i="17"/>
  <c r="P68" i="17" s="1"/>
  <c r="P69" i="17"/>
  <c r="AC77" i="17"/>
  <c r="AD77" i="17" s="1"/>
  <c r="AC90" i="17"/>
  <c r="AD90" i="17" s="1"/>
  <c r="AC104" i="17"/>
  <c r="AD104" i="17" s="1"/>
  <c r="AC512" i="17"/>
  <c r="AD512" i="17" s="1"/>
  <c r="AC507" i="17"/>
  <c r="AD507" i="17" s="1"/>
  <c r="AC446" i="17"/>
  <c r="AD446" i="17" s="1"/>
  <c r="AC481" i="17"/>
  <c r="AD481" i="17" s="1"/>
  <c r="AC499" i="17"/>
  <c r="AD499" i="17" s="1"/>
  <c r="AC503" i="17"/>
  <c r="AD503" i="17" s="1"/>
  <c r="AC489" i="17"/>
  <c r="AD489" i="17" s="1"/>
  <c r="AC486" i="17"/>
  <c r="AD486" i="17" s="1"/>
  <c r="AC443" i="17"/>
  <c r="AD443" i="17" s="1"/>
  <c r="AC410" i="17"/>
  <c r="AD410" i="17" s="1"/>
  <c r="AC462" i="17"/>
  <c r="AD462" i="17" s="1"/>
  <c r="AC515" i="17"/>
  <c r="AD515" i="17" s="1"/>
  <c r="U68" i="17" l="1"/>
  <c r="V68" i="17" s="1"/>
  <c r="AC496" i="17"/>
  <c r="AD496" i="17" s="1"/>
  <c r="AC453" i="17"/>
  <c r="AD453" i="17" s="1"/>
  <c r="AC520" i="17"/>
  <c r="AD520" i="17" s="1"/>
  <c r="AC82" i="17"/>
  <c r="AD82" i="17" s="1"/>
  <c r="AC129" i="17"/>
  <c r="AD129" i="17" s="1"/>
  <c r="AC214" i="17"/>
  <c r="AD214" i="17" s="1"/>
  <c r="AC220" i="17"/>
  <c r="AD220" i="17" s="1"/>
  <c r="AC70" i="17"/>
  <c r="AD70" i="17" s="1"/>
  <c r="AC74" i="17"/>
  <c r="AD74" i="17" s="1"/>
  <c r="Z68" i="17" l="1"/>
  <c r="X68" i="17"/>
  <c r="S74" i="17"/>
  <c r="O77" i="17"/>
  <c r="P77" i="17" s="1"/>
  <c r="O76" i="17"/>
  <c r="P76" i="17" s="1"/>
  <c r="O74" i="17"/>
  <c r="P74" i="17" s="1"/>
  <c r="S70" i="17"/>
  <c r="V70" i="17" s="1"/>
  <c r="O70" i="17"/>
  <c r="P70" i="17" s="1"/>
  <c r="Z70" i="17" l="1"/>
  <c r="X70" i="17"/>
  <c r="S83" i="17"/>
  <c r="S80" i="17"/>
  <c r="U80" i="17" s="1"/>
  <c r="V80" i="17" s="1"/>
  <c r="S85" i="17"/>
  <c r="U85" i="17" s="1"/>
  <c r="V85" i="17" s="1"/>
  <c r="V88" i="17"/>
  <c r="Z88" i="17" s="1"/>
  <c r="U74" i="17"/>
  <c r="V74" i="17" s="1"/>
  <c r="O350" i="17"/>
  <c r="P350" i="17" s="1"/>
  <c r="AC205" i="17"/>
  <c r="AD205" i="17" s="1"/>
  <c r="U204" i="17"/>
  <c r="X88" i="17" l="1"/>
  <c r="Z80" i="17"/>
  <c r="X80" i="17"/>
  <c r="Z74" i="17"/>
  <c r="X74" i="17"/>
  <c r="Z85" i="17"/>
  <c r="X85" i="17"/>
  <c r="U83" i="17"/>
  <c r="V83" i="17" s="1"/>
  <c r="AC426" i="17"/>
  <c r="AD426" i="17" s="1"/>
  <c r="AC425" i="17"/>
  <c r="AD425" i="17" s="1"/>
  <c r="X83" i="17" l="1"/>
  <c r="Z83" i="17"/>
  <c r="AC455" i="17"/>
  <c r="AD455" i="17" s="1"/>
  <c r="AC454" i="17"/>
  <c r="AD454" i="17" s="1"/>
  <c r="AC498" i="17"/>
  <c r="AD498" i="17" s="1"/>
  <c r="AC358" i="17"/>
  <c r="AD358" i="17" s="1"/>
  <c r="AC393" i="17"/>
  <c r="AD393" i="17" s="1"/>
  <c r="AC506" i="17"/>
  <c r="AD506" i="17" s="1"/>
  <c r="AC514" i="17"/>
  <c r="AD514" i="17" s="1"/>
  <c r="AC368" i="17"/>
  <c r="AD368" i="17" s="1"/>
  <c r="AC510" i="17"/>
  <c r="AD510" i="17" s="1"/>
  <c r="AC494" i="17"/>
  <c r="AD494" i="17" s="1"/>
  <c r="AC376" i="17"/>
  <c r="AD376" i="17" s="1"/>
  <c r="AC380" i="17"/>
  <c r="AD380" i="17" s="1"/>
  <c r="AC519" i="17"/>
  <c r="AD519" i="17" s="1"/>
  <c r="AC466" i="17"/>
  <c r="AD466" i="17" s="1"/>
  <c r="AC384" i="17"/>
  <c r="AD384" i="17" s="1"/>
  <c r="AC442" i="17"/>
  <c r="AD442" i="17" s="1"/>
  <c r="AC296" i="17"/>
  <c r="AD296" i="17" s="1"/>
  <c r="AC227" i="17"/>
  <c r="AD227" i="17" s="1"/>
  <c r="AC218" i="17"/>
  <c r="AD218" i="17" s="1"/>
  <c r="AC248" i="17"/>
  <c r="AD248" i="17" s="1"/>
  <c r="AC78" i="17" l="1"/>
  <c r="AD78" i="17" s="1"/>
  <c r="AC88" i="17"/>
  <c r="AD88" i="17" s="1"/>
  <c r="AC105" i="17"/>
  <c r="AD105" i="17" s="1"/>
  <c r="AC202" i="17"/>
  <c r="AD202" i="17" s="1"/>
  <c r="AC103" i="17"/>
  <c r="AD103" i="17" s="1"/>
  <c r="O78" i="17"/>
  <c r="P78" i="17" s="1"/>
  <c r="AC557" i="17" l="1"/>
  <c r="AD557" i="17" s="1"/>
  <c r="AC79" i="17" l="1"/>
  <c r="AD79" i="17" s="1"/>
  <c r="AC85" i="17"/>
  <c r="AD85" i="17" s="1"/>
  <c r="AC89" i="17"/>
  <c r="AD89" i="17" s="1"/>
  <c r="AC571" i="17"/>
  <c r="AD571" i="17" s="1"/>
  <c r="AC101" i="17"/>
  <c r="AD101" i="17" s="1"/>
  <c r="AC530" i="17" l="1"/>
  <c r="AD530" i="17" s="1"/>
  <c r="AC733" i="17"/>
  <c r="AD733" i="17" s="1"/>
  <c r="AC416" i="17"/>
  <c r="AD416" i="17" s="1"/>
  <c r="AC216" i="17"/>
  <c r="AD216" i="17" s="1"/>
  <c r="O671" i="17"/>
  <c r="P671" i="17" s="1"/>
  <c r="AC262" i="17"/>
  <c r="AD262" i="17" s="1"/>
  <c r="AC461" i="17"/>
  <c r="AD461" i="17" s="1"/>
  <c r="AC472" i="17"/>
  <c r="AD472" i="17" s="1"/>
  <c r="AC471" i="17"/>
  <c r="AD471" i="17" s="1"/>
  <c r="AC435" i="17" l="1"/>
  <c r="AD435" i="17" s="1"/>
  <c r="AC434" i="17"/>
  <c r="AD434" i="17" s="1"/>
  <c r="AC485" i="17"/>
  <c r="AD485" i="17" s="1"/>
  <c r="AC401" i="17"/>
  <c r="AD401" i="17" s="1"/>
  <c r="AC502" i="17"/>
  <c r="AD502" i="17" s="1"/>
  <c r="O89" i="17" l="1"/>
  <c r="P89" i="17" s="1"/>
  <c r="O88" i="17"/>
  <c r="P88" i="17" s="1"/>
  <c r="O85" i="17" l="1"/>
  <c r="P85" i="17" s="1"/>
  <c r="O83" i="17"/>
  <c r="P83" i="17" s="1"/>
  <c r="O82" i="17"/>
  <c r="P82" i="17" s="1"/>
  <c r="O80" i="17"/>
  <c r="P80" i="17" s="1"/>
  <c r="O79" i="17" l="1"/>
  <c r="P79" i="17" s="1"/>
  <c r="AC322" i="17" l="1"/>
  <c r="AD322" i="17" s="1"/>
  <c r="AC133" i="17" l="1"/>
  <c r="AD133" i="17" s="1"/>
  <c r="AC204" i="17"/>
  <c r="AD204" i="17" s="1"/>
  <c r="AB93" i="17"/>
  <c r="AC93" i="17" s="1"/>
  <c r="AB168" i="17"/>
  <c r="AB91" i="17"/>
  <c r="AC91" i="17" s="1"/>
  <c r="AD91" i="17" s="1"/>
  <c r="S99" i="17"/>
  <c r="S93" i="17"/>
  <c r="U93" i="17" s="1"/>
  <c r="V91" i="17"/>
  <c r="Z91" i="17" s="1"/>
  <c r="O91" i="17"/>
  <c r="P91" i="17" s="1"/>
  <c r="O90" i="17"/>
  <c r="P90" i="17" s="1"/>
  <c r="AC114" i="17"/>
  <c r="AD114" i="17" s="1"/>
  <c r="AC115" i="17"/>
  <c r="AD115" i="17" s="1"/>
  <c r="O93" i="17"/>
  <c r="P93" i="17" s="1"/>
  <c r="O94" i="17"/>
  <c r="P94" i="17" s="1"/>
  <c r="O96" i="17"/>
  <c r="P96" i="17" s="1"/>
  <c r="O97" i="17"/>
  <c r="P97" i="17" s="1"/>
  <c r="O99" i="17"/>
  <c r="P99" i="17" s="1"/>
  <c r="AC267" i="17"/>
  <c r="AD267" i="17" s="1"/>
  <c r="O116" i="17"/>
  <c r="P116" i="17" s="1"/>
  <c r="O115" i="17"/>
  <c r="P115" i="17" s="1"/>
  <c r="O114" i="17"/>
  <c r="P114" i="17" s="1"/>
  <c r="O109" i="17"/>
  <c r="P109" i="17" s="1"/>
  <c r="O108" i="17"/>
  <c r="P108" i="17" s="1"/>
  <c r="O105" i="17"/>
  <c r="P105" i="17" s="1"/>
  <c r="O104" i="17"/>
  <c r="P104" i="17" s="1"/>
  <c r="O102" i="17"/>
  <c r="P102" i="17" s="1"/>
  <c r="O101" i="17"/>
  <c r="P101" i="17" s="1"/>
  <c r="O100" i="17"/>
  <c r="P100" i="17" s="1"/>
  <c r="AC174" i="17"/>
  <c r="AD174" i="17" s="1"/>
  <c r="AC314" i="17"/>
  <c r="AD314" i="17" s="1"/>
  <c r="AC102" i="17"/>
  <c r="AD102" i="17" s="1"/>
  <c r="AD148" i="17"/>
  <c r="AC229" i="17"/>
  <c r="AD229" i="17" s="1"/>
  <c r="Z102" i="17"/>
  <c r="X102" i="17"/>
  <c r="Z100" i="17"/>
  <c r="X100" i="17"/>
  <c r="AC212" i="17"/>
  <c r="AD212" i="17" s="1"/>
  <c r="AC211" i="17"/>
  <c r="AD211" i="17" s="1"/>
  <c r="AC209" i="17"/>
  <c r="AD209" i="17" s="1"/>
  <c r="AC208" i="17"/>
  <c r="AD208" i="17" s="1"/>
  <c r="AC201" i="17"/>
  <c r="AD201" i="17" s="1"/>
  <c r="AC199" i="17"/>
  <c r="AD199" i="17" s="1"/>
  <c r="AC193" i="17"/>
  <c r="AD193" i="17" s="1"/>
  <c r="AC192" i="17"/>
  <c r="AD192" i="17" s="1"/>
  <c r="AC187" i="17"/>
  <c r="AD187" i="17" s="1"/>
  <c r="AC176" i="17"/>
  <c r="AD176" i="17" s="1"/>
  <c r="AC175" i="17"/>
  <c r="AD175" i="17" s="1"/>
  <c r="AC173" i="17"/>
  <c r="AD173" i="17" s="1"/>
  <c r="AC140" i="17"/>
  <c r="AD140" i="17" s="1"/>
  <c r="AC131" i="17"/>
  <c r="AD131" i="17" s="1"/>
  <c r="AC132" i="17"/>
  <c r="AD132" i="17" s="1"/>
  <c r="U105" i="17"/>
  <c r="V105" i="17" s="1"/>
  <c r="Z108" i="17"/>
  <c r="X108" i="17"/>
  <c r="Z109" i="17"/>
  <c r="X109" i="17"/>
  <c r="Z116" i="17"/>
  <c r="AD125" i="17"/>
  <c r="AC556" i="17"/>
  <c r="AD556" i="17" s="1"/>
  <c r="AC546" i="17"/>
  <c r="AD546" i="17" s="1"/>
  <c r="AC564" i="17"/>
  <c r="AD564" i="17" s="1"/>
  <c r="AC309" i="17"/>
  <c r="AD309" i="17" s="1"/>
  <c r="AC329" i="17"/>
  <c r="AD329" i="17" s="1"/>
  <c r="AC575" i="17"/>
  <c r="AD575" i="17" s="1"/>
  <c r="AC574" i="17"/>
  <c r="AD574" i="17" s="1"/>
  <c r="AC327" i="17"/>
  <c r="AD327" i="17" s="1"/>
  <c r="AC326" i="17"/>
  <c r="AD326" i="17" s="1"/>
  <c r="AC752" i="17"/>
  <c r="AD752" i="17" s="1"/>
  <c r="O752" i="17"/>
  <c r="P752" i="17" s="1"/>
  <c r="AC567" i="17"/>
  <c r="AD567" i="17" s="1"/>
  <c r="AC352" i="17"/>
  <c r="AD352" i="17" s="1"/>
  <c r="AC332" i="17"/>
  <c r="AD332" i="17" s="1"/>
  <c r="AC320" i="17"/>
  <c r="AD320" i="17" s="1"/>
  <c r="AC548" i="17"/>
  <c r="AD548" i="17" s="1"/>
  <c r="AC622" i="17"/>
  <c r="AD622" i="17" s="1"/>
  <c r="AC628" i="17"/>
  <c r="AD628" i="17" s="1"/>
  <c r="AC300" i="17"/>
  <c r="AD300" i="17" s="1"/>
  <c r="AC301" i="17"/>
  <c r="AD301" i="17" s="1"/>
  <c r="AC316" i="17"/>
  <c r="AD316" i="17" s="1"/>
  <c r="AC298" i="17"/>
  <c r="AD298" i="17" s="1"/>
  <c r="AC299" i="17"/>
  <c r="AD299" i="17" s="1"/>
  <c r="AC355" i="17"/>
  <c r="AD355" i="17" s="1"/>
  <c r="AC421" i="17"/>
  <c r="AD421" i="17" s="1"/>
  <c r="AC319" i="17"/>
  <c r="AD319" i="17" s="1"/>
  <c r="AC308" i="17"/>
  <c r="AD308" i="17" s="1"/>
  <c r="AC353" i="17"/>
  <c r="AD353" i="17" s="1"/>
  <c r="AC340" i="17"/>
  <c r="AD340" i="17" s="1"/>
  <c r="AC307" i="17"/>
  <c r="AD307" i="17" s="1"/>
  <c r="AC334" i="17"/>
  <c r="AD334" i="17" s="1"/>
  <c r="AC303" i="17"/>
  <c r="AD303" i="17" s="1"/>
  <c r="AC570" i="17"/>
  <c r="AD570" i="17" s="1"/>
  <c r="AC333" i="17"/>
  <c r="AD333" i="17" s="1"/>
  <c r="AC349" i="17"/>
  <c r="AD349" i="17" s="1"/>
  <c r="AC547" i="17"/>
  <c r="AD547" i="17" s="1"/>
  <c r="AC545" i="17"/>
  <c r="AD545" i="17" s="1"/>
  <c r="AC635" i="17"/>
  <c r="AD635" i="17" s="1"/>
  <c r="O635" i="17"/>
  <c r="P635" i="17" s="1"/>
  <c r="AC565" i="17"/>
  <c r="AD565" i="17" s="1"/>
  <c r="AC591" i="17"/>
  <c r="AD591" i="17" s="1"/>
  <c r="AC675" i="17"/>
  <c r="AD675" i="17" s="1"/>
  <c r="AC560" i="17"/>
  <c r="AD560" i="17" s="1"/>
  <c r="AC280" i="17"/>
  <c r="AD280" i="17" s="1"/>
  <c r="AC274" i="17"/>
  <c r="AD274" i="17" s="1"/>
  <c r="AC529" i="17"/>
  <c r="AD529" i="17" s="1"/>
  <c r="AC480" i="17"/>
  <c r="AD480" i="17" s="1"/>
  <c r="AC273" i="17"/>
  <c r="AD273" i="17" s="1"/>
  <c r="AC276" i="17"/>
  <c r="AD276" i="17" s="1"/>
  <c r="AC271" i="17"/>
  <c r="AD271" i="17" s="1"/>
  <c r="AC653" i="17"/>
  <c r="AD653" i="17" s="1"/>
  <c r="AC706" i="17"/>
  <c r="AD706" i="17" s="1"/>
  <c r="AC708" i="17"/>
  <c r="AD708" i="17" s="1"/>
  <c r="AC261" i="17"/>
  <c r="AD261" i="17" s="1"/>
  <c r="AC283" i="17"/>
  <c r="AD283" i="17" s="1"/>
  <c r="AC277" i="17"/>
  <c r="AD277" i="17" s="1"/>
  <c r="AC268" i="17"/>
  <c r="AD268" i="17" s="1"/>
  <c r="AC258" i="17"/>
  <c r="AD258" i="17" s="1"/>
  <c r="AC415" i="17"/>
  <c r="AD415" i="17" s="1"/>
  <c r="AC540" i="17"/>
  <c r="AD540" i="17" s="1"/>
  <c r="AC269" i="17"/>
  <c r="AD269" i="17" s="1"/>
  <c r="AC607" i="17"/>
  <c r="AD607" i="17" s="1"/>
  <c r="AC527" i="17"/>
  <c r="AD527" i="17" s="1"/>
  <c r="AC295" i="17"/>
  <c r="AD295" i="17" s="1"/>
  <c r="AC528" i="17"/>
  <c r="AD528" i="17" s="1"/>
  <c r="AC674" i="17"/>
  <c r="AD674" i="17" s="1"/>
  <c r="AC310" i="17"/>
  <c r="AD310" i="17" s="1"/>
  <c r="AC312" i="17"/>
  <c r="AD312" i="17" s="1"/>
  <c r="AC306" i="17"/>
  <c r="AD306" i="17" s="1"/>
  <c r="AC275" i="17"/>
  <c r="AD275" i="17" s="1"/>
  <c r="AC335" i="17"/>
  <c r="AD335" i="17" s="1"/>
  <c r="AC572" i="17"/>
  <c r="AD572" i="17" s="1"/>
  <c r="AC577" i="17"/>
  <c r="AD577" i="17" s="1"/>
  <c r="AC215" i="17"/>
  <c r="AD215" i="17" s="1"/>
  <c r="AC576" i="17"/>
  <c r="AD576" i="17" s="1"/>
  <c r="AC588" i="17"/>
  <c r="AD588" i="17" s="1"/>
  <c r="AC318" i="17"/>
  <c r="AD318" i="17" s="1"/>
  <c r="AC221" i="17"/>
  <c r="AD221" i="17" s="1"/>
  <c r="AC566" i="17"/>
  <c r="AD566" i="17" s="1"/>
  <c r="AC245" i="17"/>
  <c r="AD245" i="17" s="1"/>
  <c r="AC222" i="17"/>
  <c r="AD222" i="17" s="1"/>
  <c r="AC210" i="17"/>
  <c r="AD210" i="17" s="1"/>
  <c r="AC203" i="17"/>
  <c r="AD203" i="17" s="1"/>
  <c r="AC244" i="17"/>
  <c r="AD244" i="17" s="1"/>
  <c r="AC294" i="17"/>
  <c r="AD294" i="17" s="1"/>
  <c r="AC266" i="17"/>
  <c r="AD266" i="17" s="1"/>
  <c r="AC259" i="17"/>
  <c r="AD259" i="17" s="1"/>
  <c r="AC195" i="17"/>
  <c r="AD195" i="17" s="1"/>
  <c r="AC284" i="17"/>
  <c r="AD284" i="17" s="1"/>
  <c r="AC409" i="17"/>
  <c r="AD409" i="17" s="1"/>
  <c r="AC172" i="17"/>
  <c r="AD172" i="17" s="1"/>
  <c r="AC595" i="17"/>
  <c r="AD595" i="17" s="1"/>
  <c r="AD147" i="17"/>
  <c r="AC321" i="17"/>
  <c r="AD321" i="17" s="1"/>
  <c r="AC297" i="17"/>
  <c r="AD297" i="17" s="1"/>
  <c r="AC362" i="17"/>
  <c r="AD362" i="17" s="1"/>
  <c r="AC190" i="17"/>
  <c r="AD190" i="17" s="1"/>
  <c r="AC424" i="17"/>
  <c r="AD424" i="17" s="1"/>
  <c r="AC433" i="17"/>
  <c r="AD433" i="17" s="1"/>
  <c r="AC452" i="17"/>
  <c r="AD452" i="17" s="1"/>
  <c r="AC470" i="17"/>
  <c r="AD470" i="17" s="1"/>
  <c r="AC124" i="17"/>
  <c r="AD124" i="17" s="1"/>
  <c r="AC684" i="17"/>
  <c r="AD684" i="17" s="1"/>
  <c r="AC678" i="17"/>
  <c r="AD678" i="17" s="1"/>
  <c r="AC636" i="17"/>
  <c r="AD636" i="17" s="1"/>
  <c r="AC627" i="17"/>
  <c r="AD627" i="17" s="1"/>
  <c r="AC615" i="17"/>
  <c r="AD615" i="17" s="1"/>
  <c r="AC698" i="17"/>
  <c r="AD698" i="17" s="1"/>
  <c r="AC656" i="17"/>
  <c r="AD656" i="17" s="1"/>
  <c r="AC616" i="17"/>
  <c r="AD616" i="17" s="1"/>
  <c r="AC617" i="17"/>
  <c r="AD617" i="17" s="1"/>
  <c r="AC672" i="17"/>
  <c r="AD672" i="17" s="1"/>
  <c r="AC652" i="17"/>
  <c r="AD652" i="17" s="1"/>
  <c r="AC614" i="17"/>
  <c r="AD614" i="17" s="1"/>
  <c r="O614" i="17"/>
  <c r="P614" i="17" s="1"/>
  <c r="AC606" i="17"/>
  <c r="AD606" i="17" s="1"/>
  <c r="AC605" i="17"/>
  <c r="AD605" i="17" s="1"/>
  <c r="AC714" i="17"/>
  <c r="AD714" i="17" s="1"/>
  <c r="O714" i="17"/>
  <c r="P714" i="17" s="1"/>
  <c r="AC688" i="17"/>
  <c r="AD688" i="17" s="1"/>
  <c r="O688" i="17"/>
  <c r="P688" i="17" s="1"/>
  <c r="AC687" i="17"/>
  <c r="AD687" i="17" s="1"/>
  <c r="O687" i="17"/>
  <c r="P687" i="17" s="1"/>
  <c r="AC741" i="17"/>
  <c r="AD741" i="17" s="1"/>
  <c r="O741" i="17"/>
  <c r="P741" i="17" s="1"/>
  <c r="AC717" i="17"/>
  <c r="AD717" i="17" s="1"/>
  <c r="AC693" i="17"/>
  <c r="AD693" i="17" s="1"/>
  <c r="AC681" i="17"/>
  <c r="AD681" i="17" s="1"/>
  <c r="O681" i="17"/>
  <c r="P681" i="17" s="1"/>
  <c r="AC694" i="17"/>
  <c r="AD694" i="17" s="1"/>
  <c r="AC705" i="17"/>
  <c r="AD705" i="17" s="1"/>
  <c r="AC604" i="17"/>
  <c r="AD604" i="17" s="1"/>
  <c r="AC643" i="17"/>
  <c r="AD643" i="17" s="1"/>
  <c r="AC578" i="17"/>
  <c r="AD578" i="17" s="1"/>
  <c r="O578" i="17"/>
  <c r="P578" i="17" s="1"/>
  <c r="AC587" i="17"/>
  <c r="AD587" i="17" s="1"/>
  <c r="AC640" i="17"/>
  <c r="AD640" i="17" s="1"/>
  <c r="O640" i="17"/>
  <c r="P640" i="17" s="1"/>
  <c r="AC586" i="17"/>
  <c r="AD586" i="17" s="1"/>
  <c r="AC696" i="17"/>
  <c r="AD696" i="17" s="1"/>
  <c r="AC695" i="17"/>
  <c r="AD695" i="17" s="1"/>
  <c r="O695" i="17"/>
  <c r="P695" i="17" s="1"/>
  <c r="AC582" i="17"/>
  <c r="AD582" i="17" s="1"/>
  <c r="O582" i="17"/>
  <c r="P582" i="17" s="1"/>
  <c r="AC610" i="17"/>
  <c r="AD610" i="17" s="1"/>
  <c r="AC611" i="17"/>
  <c r="AD611" i="17" s="1"/>
  <c r="AC618" i="17"/>
  <c r="AD618" i="17" s="1"/>
  <c r="AC584" i="17"/>
  <c r="AD584" i="17" s="1"/>
  <c r="AC583" i="17"/>
  <c r="AD583" i="17" s="1"/>
  <c r="AC603" i="17"/>
  <c r="AD603" i="17" s="1"/>
  <c r="AC602" i="17"/>
  <c r="AD602" i="17" s="1"/>
  <c r="AC732" i="17"/>
  <c r="AD732" i="17" s="1"/>
  <c r="AC641" i="17"/>
  <c r="AD641" i="17" s="1"/>
  <c r="O641" i="17"/>
  <c r="P641" i="17" s="1"/>
  <c r="AC690" i="17"/>
  <c r="AD690" i="17" s="1"/>
  <c r="AC758" i="17"/>
  <c r="AD758" i="17" s="1"/>
  <c r="O758" i="17"/>
  <c r="P758" i="17" s="1"/>
  <c r="AC757" i="17"/>
  <c r="AD757" i="17" s="1"/>
  <c r="O757" i="17"/>
  <c r="P757" i="17" s="1"/>
  <c r="AC639" i="17"/>
  <c r="AD639" i="17" s="1"/>
  <c r="O639" i="17"/>
  <c r="P639" i="17" s="1"/>
  <c r="AC638" i="17"/>
  <c r="AD638" i="17" s="1"/>
  <c r="O638" i="17"/>
  <c r="P638" i="17" s="1"/>
  <c r="AC573" i="17"/>
  <c r="AD573" i="17" s="1"/>
  <c r="AC601" i="17"/>
  <c r="AD601" i="17" s="1"/>
  <c r="AC600" i="17"/>
  <c r="AD600" i="17" s="1"/>
  <c r="AC569" i="17"/>
  <c r="AD569" i="17" s="1"/>
  <c r="AC596" i="17"/>
  <c r="AD596" i="17" s="1"/>
  <c r="AC581" i="17"/>
  <c r="AD581" i="17" s="1"/>
  <c r="AC664" i="17"/>
  <c r="AD664" i="17" s="1"/>
  <c r="O664" i="17"/>
  <c r="P664" i="17" s="1"/>
  <c r="AC665" i="17"/>
  <c r="AD665" i="17" s="1"/>
  <c r="O665" i="17"/>
  <c r="P665" i="17" s="1"/>
  <c r="AC666" i="17"/>
  <c r="AD666" i="17" s="1"/>
  <c r="O666" i="17"/>
  <c r="P666" i="17" s="1"/>
  <c r="AC620" i="17"/>
  <c r="AD620" i="17" s="1"/>
  <c r="AC554" i="17"/>
  <c r="AD554" i="17" s="1"/>
  <c r="AC553" i="17"/>
  <c r="AD553" i="17" s="1"/>
  <c r="AC594" i="17"/>
  <c r="AD594" i="17" s="1"/>
  <c r="AC697" i="17"/>
  <c r="AD697" i="17" s="1"/>
  <c r="AC525" i="17"/>
  <c r="AD525" i="17" s="1"/>
  <c r="AC592" i="17"/>
  <c r="AD592" i="17" s="1"/>
  <c r="AC647" i="17"/>
  <c r="AD647" i="17" s="1"/>
  <c r="AC646" i="17"/>
  <c r="AD646" i="17" s="1"/>
  <c r="O646" i="17"/>
  <c r="P646" i="17" s="1"/>
  <c r="AC644" i="17"/>
  <c r="AD644" i="17" s="1"/>
  <c r="AC645" i="17"/>
  <c r="AD645" i="17" s="1"/>
  <c r="AC612" i="17"/>
  <c r="AD612" i="17" s="1"/>
  <c r="O612" i="17"/>
  <c r="P612" i="17" s="1"/>
  <c r="AC659" i="17"/>
  <c r="AD659" i="17" s="1"/>
  <c r="O659" i="17"/>
  <c r="P659" i="17" s="1"/>
  <c r="AC679" i="17"/>
  <c r="AD679" i="17" s="1"/>
  <c r="O679" i="17"/>
  <c r="P679" i="17" s="1"/>
  <c r="AC593" i="17"/>
  <c r="AD593" i="17" s="1"/>
  <c r="AC718" i="17"/>
  <c r="AD718" i="17" s="1"/>
  <c r="AC673" i="17"/>
  <c r="AD673" i="17" s="1"/>
  <c r="AC550" i="17"/>
  <c r="AD550" i="17" s="1"/>
  <c r="AC549" i="17"/>
  <c r="AD549" i="17" s="1"/>
  <c r="AC228" i="17"/>
  <c r="AD228" i="17" s="1"/>
  <c r="AC219" i="17"/>
  <c r="AD219" i="17" s="1"/>
  <c r="AC122" i="17"/>
  <c r="AD122" i="17" s="1"/>
  <c r="V122" i="17"/>
  <c r="X122" i="17" s="1"/>
  <c r="V124" i="17"/>
  <c r="X124" i="17" s="1"/>
  <c r="O122" i="17"/>
  <c r="P122" i="17" s="1"/>
  <c r="O124" i="17"/>
  <c r="P124" i="17" s="1"/>
  <c r="AC579" i="17"/>
  <c r="AD579" i="17" s="1"/>
  <c r="AC660" i="17"/>
  <c r="AD660" i="17" s="1"/>
  <c r="AC648" i="17"/>
  <c r="AD648" i="17" s="1"/>
  <c r="AC580" i="17"/>
  <c r="AD580" i="17" s="1"/>
  <c r="AC533" i="17"/>
  <c r="AD533" i="17" s="1"/>
  <c r="AC524" i="17"/>
  <c r="AD524" i="17" s="1"/>
  <c r="AC523" i="17"/>
  <c r="AD523" i="17" s="1"/>
  <c r="AC532" i="17"/>
  <c r="AD532" i="17" s="1"/>
  <c r="AC585" i="17"/>
  <c r="AD585" i="17" s="1"/>
  <c r="AC347" i="17"/>
  <c r="AD347" i="17" s="1"/>
  <c r="AC551" i="17"/>
  <c r="AD551" i="17" s="1"/>
  <c r="AC559" i="17"/>
  <c r="AD559" i="17" s="1"/>
  <c r="AC535" i="17"/>
  <c r="AD535" i="17" s="1"/>
  <c r="AC767" i="17"/>
  <c r="AD767" i="17" s="1"/>
  <c r="AC766" i="17"/>
  <c r="AD766" i="17" s="1"/>
  <c r="AC768" i="17"/>
  <c r="AD768" i="17" s="1"/>
  <c r="AC753" i="17"/>
  <c r="AD753" i="17" s="1"/>
  <c r="O753" i="17"/>
  <c r="P753" i="17" s="1"/>
  <c r="AC750" i="17"/>
  <c r="AD750" i="17" s="1"/>
  <c r="AC751" i="17"/>
  <c r="AD751" i="17" s="1"/>
  <c r="AC738" i="17"/>
  <c r="AD738" i="17" s="1"/>
  <c r="AC755" i="17"/>
  <c r="AD755" i="17" s="1"/>
  <c r="AC731" i="17"/>
  <c r="AD731" i="17" s="1"/>
  <c r="AC760" i="17"/>
  <c r="AD760" i="17" s="1"/>
  <c r="AC726" i="17"/>
  <c r="AD726" i="17" s="1"/>
  <c r="AC699" i="17"/>
  <c r="AD699" i="17" s="1"/>
  <c r="AC701" i="17"/>
  <c r="AD701" i="17" s="1"/>
  <c r="AC723" i="17"/>
  <c r="AD723" i="17" s="1"/>
  <c r="AC715" i="17"/>
  <c r="AD715" i="17" s="1"/>
  <c r="AC691" i="17"/>
  <c r="AD691" i="17" s="1"/>
  <c r="AC724" i="17"/>
  <c r="AD724" i="17" s="1"/>
  <c r="AC725" i="17"/>
  <c r="AD725" i="17" s="1"/>
  <c r="AC730" i="17"/>
  <c r="AD730" i="17" s="1"/>
  <c r="O730" i="17"/>
  <c r="P730" i="17" s="1"/>
  <c r="AC737" i="17"/>
  <c r="AD737" i="17" s="1"/>
  <c r="AC689" i="17"/>
  <c r="AD689" i="17" s="1"/>
  <c r="AC748" i="17"/>
  <c r="AD748" i="17" s="1"/>
  <c r="O748" i="17"/>
  <c r="P748" i="17" s="1"/>
  <c r="AC669" i="17"/>
  <c r="AD669" i="17" s="1"/>
  <c r="AC668" i="17"/>
  <c r="AD668" i="17" s="1"/>
  <c r="AC716" i="17"/>
  <c r="AD716" i="17" s="1"/>
  <c r="AC683" i="17"/>
  <c r="AD683" i="17" s="1"/>
  <c r="AC729" i="17"/>
  <c r="AD729" i="17" s="1"/>
  <c r="AC704" i="17"/>
  <c r="AD704" i="17" s="1"/>
  <c r="AC749" i="17"/>
  <c r="AD749" i="17" s="1"/>
  <c r="AC658" i="17"/>
  <c r="AD658" i="17" s="1"/>
  <c r="AC651" i="17"/>
  <c r="AD651" i="17" s="1"/>
  <c r="AC756" i="17"/>
  <c r="AD756" i="17" s="1"/>
  <c r="AC682" i="17"/>
  <c r="AD682" i="17" s="1"/>
  <c r="AC769" i="17"/>
  <c r="AD769" i="17" s="1"/>
  <c r="O769" i="17"/>
  <c r="P769" i="17" s="1"/>
  <c r="AC754" i="17"/>
  <c r="AD754" i="17" s="1"/>
  <c r="O754" i="17"/>
  <c r="P754" i="17" s="1"/>
  <c r="AC740" i="17"/>
  <c r="AD740" i="17" s="1"/>
  <c r="O740" i="17"/>
  <c r="P740" i="17" s="1"/>
  <c r="AC762" i="17"/>
  <c r="AD762" i="17" s="1"/>
  <c r="O762" i="17"/>
  <c r="P762" i="17" s="1"/>
  <c r="AC765" i="17"/>
  <c r="AD765" i="17" s="1"/>
  <c r="AC761" i="17"/>
  <c r="AD761" i="17" s="1"/>
  <c r="O761" i="17"/>
  <c r="P761" i="17" s="1"/>
  <c r="AC763" i="17"/>
  <c r="AD763" i="17" s="1"/>
  <c r="AC764" i="17"/>
  <c r="AD764" i="17" s="1"/>
  <c r="AC637" i="17"/>
  <c r="AD637" i="17" s="1"/>
  <c r="AC642" i="17"/>
  <c r="AD642" i="17" s="1"/>
  <c r="AC667" i="17"/>
  <c r="AD667" i="17" s="1"/>
  <c r="AC621" i="17"/>
  <c r="AD621" i="17" s="1"/>
  <c r="AC655" i="17"/>
  <c r="AD655" i="17" s="1"/>
  <c r="AC657" i="17"/>
  <c r="AD657" i="17" s="1"/>
  <c r="AC654" i="17"/>
  <c r="AD654" i="17" s="1"/>
  <c r="AC759" i="17"/>
  <c r="AD759" i="17" s="1"/>
  <c r="AC613" i="17"/>
  <c r="AD613" i="17" s="1"/>
  <c r="AC619" i="17"/>
  <c r="AD619" i="17" s="1"/>
  <c r="AC712" i="17"/>
  <c r="AD712" i="17" s="1"/>
  <c r="AC710" i="17"/>
  <c r="AD710" i="17" s="1"/>
  <c r="AC141" i="17"/>
  <c r="AD141" i="17" s="1"/>
  <c r="AC128" i="17"/>
  <c r="AD128" i="17" s="1"/>
  <c r="AC127" i="17"/>
  <c r="AD127" i="17" s="1"/>
  <c r="AC191" i="17"/>
  <c r="AD191" i="17" s="1"/>
  <c r="AC177" i="17"/>
  <c r="AD177" i="17" s="1"/>
  <c r="AC534" i="17"/>
  <c r="AD534" i="17" s="1"/>
  <c r="AC236" i="17"/>
  <c r="AD236" i="17" s="1"/>
  <c r="AC238" i="17"/>
  <c r="AD238" i="17" s="1"/>
  <c r="AC249" i="17"/>
  <c r="AD249" i="17" s="1"/>
  <c r="AC264" i="17"/>
  <c r="AD264" i="17" s="1"/>
  <c r="AC247" i="17"/>
  <c r="AD247" i="17" s="1"/>
  <c r="AC197" i="17"/>
  <c r="AD197" i="17" s="1"/>
  <c r="AC198" i="17"/>
  <c r="AD198" i="17" s="1"/>
  <c r="AC217" i="17"/>
  <c r="AD217" i="17" s="1"/>
  <c r="AC186" i="17"/>
  <c r="AD186" i="17" s="1"/>
  <c r="AC213" i="17"/>
  <c r="AD213" i="17" s="1"/>
  <c r="AC270" i="17"/>
  <c r="AD270" i="17" s="1"/>
  <c r="AC671" i="17"/>
  <c r="AD671" i="17" s="1"/>
  <c r="AC179" i="17"/>
  <c r="AD179" i="17" s="1"/>
  <c r="AC150" i="17"/>
  <c r="AD150" i="17" s="1"/>
  <c r="AC151" i="17"/>
  <c r="AD151" i="17" s="1"/>
  <c r="AC152" i="17"/>
  <c r="AD152" i="17" s="1"/>
  <c r="AC189" i="17"/>
  <c r="AD189" i="17" s="1"/>
  <c r="AC153" i="17"/>
  <c r="AD153" i="17" s="1"/>
  <c r="AC154" i="17"/>
  <c r="AD154" i="17" s="1"/>
  <c r="AC263" i="17"/>
  <c r="AD263" i="17" s="1"/>
  <c r="AC325" i="17"/>
  <c r="AD325" i="17" s="1"/>
  <c r="AC149" i="17"/>
  <c r="AD149" i="17" s="1"/>
  <c r="AC134" i="17"/>
  <c r="AD134" i="17" s="1"/>
  <c r="AC330" i="17"/>
  <c r="AD330" i="17" s="1"/>
  <c r="AC200" i="17"/>
  <c r="AD200" i="17" s="1"/>
  <c r="AC289" i="17"/>
  <c r="AD289" i="17" s="1"/>
  <c r="AC194" i="17"/>
  <c r="AD194" i="17" s="1"/>
  <c r="P125" i="17"/>
  <c r="O129" i="17"/>
  <c r="P129" i="17" s="1"/>
  <c r="O127" i="17"/>
  <c r="P127" i="17" s="1"/>
  <c r="S127" i="17" s="1"/>
  <c r="AC130" i="17"/>
  <c r="AD130" i="17" s="1"/>
  <c r="AC170" i="17"/>
  <c r="AD170" i="17" s="1"/>
  <c r="AC126" i="17"/>
  <c r="AD126" i="17" s="1"/>
  <c r="AC180" i="17"/>
  <c r="AD180" i="17" s="1"/>
  <c r="O126" i="17"/>
  <c r="P126" i="17" s="1"/>
  <c r="AC137" i="17"/>
  <c r="AD137" i="17" s="1"/>
  <c r="S732" i="17"/>
  <c r="U732" i="17" s="1"/>
  <c r="V732" i="17" s="1"/>
  <c r="S737" i="17"/>
  <c r="U737" i="17" s="1"/>
  <c r="V737" i="17" s="1"/>
  <c r="AC139" i="17"/>
  <c r="AD139" i="17" s="1"/>
  <c r="V669" i="17"/>
  <c r="X669" i="17" s="1"/>
  <c r="S622" i="17"/>
  <c r="U622" i="17" s="1"/>
  <c r="V653" i="17"/>
  <c r="X653" i="17" s="1"/>
  <c r="S588" i="17"/>
  <c r="U588" i="17" s="1"/>
  <c r="S530" i="17"/>
  <c r="U530" i="17" s="1"/>
  <c r="V530" i="17" s="1"/>
  <c r="V569" i="17"/>
  <c r="X569" i="17" s="1"/>
  <c r="V529" i="17"/>
  <c r="X529" i="17" s="1"/>
  <c r="V540" i="17"/>
  <c r="X540" i="17" s="1"/>
  <c r="S336" i="17"/>
  <c r="U336" i="17" s="1"/>
  <c r="V420" i="17"/>
  <c r="X420" i="17" s="1"/>
  <c r="S415" i="17"/>
  <c r="U415" i="17" s="1"/>
  <c r="V415" i="17" s="1"/>
  <c r="V416" i="17"/>
  <c r="X416" i="17" s="1"/>
  <c r="V321" i="17"/>
  <c r="X321" i="17" s="1"/>
  <c r="V284" i="17"/>
  <c r="X284" i="17" s="1"/>
  <c r="S304" i="17"/>
  <c r="U304" i="17" s="1"/>
  <c r="S310" i="17"/>
  <c r="U310" i="17" s="1"/>
  <c r="V310" i="17" s="1"/>
  <c r="V314" i="17"/>
  <c r="X314" i="17" s="1"/>
  <c r="V306" i="17"/>
  <c r="X306" i="17" s="1"/>
  <c r="V270" i="17"/>
  <c r="X270" i="17" s="1"/>
  <c r="V238" i="17"/>
  <c r="X238" i="17" s="1"/>
  <c r="V236" i="17"/>
  <c r="X236" i="17" s="1"/>
  <c r="S203" i="17"/>
  <c r="U203" i="17" s="1"/>
  <c r="S256" i="17"/>
  <c r="U256" i="17" s="1"/>
  <c r="V256" i="17" s="1"/>
  <c r="S278" i="17"/>
  <c r="U278" i="17" s="1"/>
  <c r="S244" i="17"/>
  <c r="V244" i="17" s="1"/>
  <c r="X187" i="17"/>
  <c r="V179" i="17"/>
  <c r="X179" i="17" s="1"/>
  <c r="S180" i="17"/>
  <c r="U180" i="17" s="1"/>
  <c r="V180" i="17" s="1"/>
  <c r="S223" i="17"/>
  <c r="U223" i="17" s="1"/>
  <c r="S170" i="17"/>
  <c r="U170" i="17" s="1"/>
  <c r="V170" i="17" s="1"/>
  <c r="S173" i="17"/>
  <c r="U173" i="17" s="1"/>
  <c r="V213" i="17"/>
  <c r="X213" i="17" s="1"/>
  <c r="S177" i="17"/>
  <c r="U177" i="17" s="1"/>
  <c r="S142" i="17"/>
  <c r="U142" i="17" s="1"/>
  <c r="V142" i="17" s="1"/>
  <c r="S146" i="17"/>
  <c r="U146" i="17" s="1"/>
  <c r="V146" i="17" s="1"/>
  <c r="S145" i="17"/>
  <c r="U145" i="17" s="1"/>
  <c r="S143" i="17"/>
  <c r="U143" i="17" s="1"/>
  <c r="S155" i="17"/>
  <c r="U155" i="17" s="1"/>
  <c r="V155" i="17" s="1"/>
  <c r="S169" i="17"/>
  <c r="U169" i="17" s="1"/>
  <c r="V169" i="17" s="1"/>
  <c r="S161" i="17"/>
  <c r="U161" i="17" s="1"/>
  <c r="S167" i="17"/>
  <c r="S168" i="17"/>
  <c r="S144" i="17"/>
  <c r="U144" i="17" s="1"/>
  <c r="V144" i="17" s="1"/>
  <c r="S136" i="17"/>
  <c r="U136" i="17" s="1"/>
  <c r="V136" i="17" s="1"/>
  <c r="X140" i="17"/>
  <c r="U133" i="17"/>
  <c r="V133" i="17" s="1"/>
  <c r="X139" i="17"/>
  <c r="X131" i="17"/>
  <c r="O134" i="17"/>
  <c r="P134" i="17" s="1"/>
  <c r="O133" i="17"/>
  <c r="P133" i="17" s="1"/>
  <c r="O132" i="17"/>
  <c r="P132" i="17" s="1"/>
  <c r="P131" i="17"/>
  <c r="P130" i="17"/>
  <c r="Z134" i="17"/>
  <c r="X134" i="17"/>
  <c r="U134" i="17"/>
  <c r="P716" i="17"/>
  <c r="P691" i="17"/>
  <c r="P669" i="17"/>
  <c r="P663" i="17"/>
  <c r="P651" i="17"/>
  <c r="P611" i="17"/>
  <c r="P599" i="17"/>
  <c r="P597" i="17"/>
  <c r="P595" i="17"/>
  <c r="P593" i="17"/>
  <c r="P591" i="17"/>
  <c r="P573" i="17"/>
  <c r="P565" i="17"/>
  <c r="P563" i="17"/>
  <c r="P559" i="17"/>
  <c r="P558" i="17"/>
  <c r="P555" i="17"/>
  <c r="P547" i="17"/>
  <c r="P545" i="17"/>
  <c r="P530" i="17"/>
  <c r="P527" i="17"/>
  <c r="P519" i="17"/>
  <c r="P518" i="17"/>
  <c r="P514" i="17"/>
  <c r="P510" i="17"/>
  <c r="P506" i="17"/>
  <c r="P502" i="17"/>
  <c r="P498" i="17"/>
  <c r="P494" i="17"/>
  <c r="P489" i="17"/>
  <c r="P485" i="17"/>
  <c r="P481" i="17"/>
  <c r="P479" i="17"/>
  <c r="P470" i="17"/>
  <c r="P466" i="17"/>
  <c r="P461" i="17"/>
  <c r="P452" i="17"/>
  <c r="P446" i="17"/>
  <c r="P442" i="17"/>
  <c r="P433" i="17"/>
  <c r="P424" i="17"/>
  <c r="P423" i="17"/>
  <c r="P420" i="17"/>
  <c r="P410" i="17"/>
  <c r="P405" i="17"/>
  <c r="P401" i="17"/>
  <c r="P397" i="17"/>
  <c r="P393" i="17"/>
  <c r="P388" i="17"/>
  <c r="P384" i="17"/>
  <c r="P380" i="17"/>
  <c r="P376" i="17"/>
  <c r="P372" i="17"/>
  <c r="P368" i="17"/>
  <c r="P362" i="17"/>
  <c r="P358" i="17"/>
  <c r="P357" i="17"/>
  <c r="P356" i="17"/>
  <c r="P354" i="17"/>
  <c r="P346" i="17"/>
  <c r="P345" i="17"/>
  <c r="P344" i="17"/>
  <c r="P343" i="17"/>
  <c r="P342" i="17"/>
  <c r="P341" i="17"/>
  <c r="P336" i="17"/>
  <c r="P176" i="17"/>
  <c r="P172" i="17"/>
  <c r="P170" i="17"/>
  <c r="P169" i="17"/>
  <c r="P168" i="17"/>
  <c r="P167" i="17"/>
  <c r="P161" i="17"/>
  <c r="P155" i="17"/>
  <c r="P154" i="17"/>
  <c r="P153" i="17"/>
  <c r="P152" i="17"/>
  <c r="P151" i="17"/>
  <c r="P150" i="17"/>
  <c r="P149" i="17"/>
  <c r="P147" i="17"/>
  <c r="P146" i="17"/>
  <c r="P145" i="17"/>
  <c r="P144" i="17"/>
  <c r="P143" i="17"/>
  <c r="P142" i="17"/>
  <c r="P141" i="17"/>
  <c r="P139" i="17"/>
  <c r="P138" i="17"/>
  <c r="P137" i="17"/>
  <c r="P136" i="17"/>
  <c r="P177" i="17"/>
  <c r="P175" i="17"/>
  <c r="P173" i="17"/>
  <c r="P140" i="17"/>
  <c r="P566" i="17"/>
  <c r="P312" i="17"/>
  <c r="P576" i="17"/>
  <c r="P534" i="17"/>
  <c r="P277" i="17"/>
  <c r="P213" i="17"/>
  <c r="P755" i="17"/>
  <c r="P750" i="17"/>
  <c r="P751" i="17"/>
  <c r="P760" i="17"/>
  <c r="P764" i="17"/>
  <c r="P765" i="17"/>
  <c r="P763" i="17"/>
  <c r="P768" i="17"/>
  <c r="P766" i="17"/>
  <c r="P682" i="17"/>
  <c r="P678" i="17"/>
  <c r="P689" i="17"/>
  <c r="P684" i="17"/>
  <c r="P704" i="17"/>
  <c r="P749" i="17"/>
  <c r="P693" i="17"/>
  <c r="P717" i="17"/>
  <c r="P694" i="17"/>
  <c r="P699" i="17"/>
  <c r="P701" i="17"/>
  <c r="P724" i="17"/>
  <c r="P726" i="17"/>
  <c r="P692" i="17"/>
  <c r="P705" i="17"/>
  <c r="P737" i="17"/>
  <c r="P725" i="17"/>
  <c r="P712" i="17"/>
  <c r="P710" i="17"/>
  <c r="P723" i="17"/>
  <c r="P715" i="17"/>
  <c r="P729" i="17"/>
  <c r="P731" i="17"/>
  <c r="P742" i="17"/>
  <c r="P652" i="17"/>
  <c r="P636" i="17"/>
  <c r="P615" i="17"/>
  <c r="P656" i="17"/>
  <c r="P616" i="17"/>
  <c r="P718" i="17"/>
  <c r="P654" i="17"/>
  <c r="P655" i="17"/>
  <c r="P648" i="17"/>
  <c r="P660" i="17"/>
  <c r="P759" i="17"/>
  <c r="P645" i="17"/>
  <c r="P647" i="17"/>
  <c r="P644" i="17"/>
  <c r="P667" i="17"/>
  <c r="P743" i="17"/>
  <c r="P658" i="17"/>
  <c r="P673" i="17"/>
  <c r="P756" i="17"/>
  <c r="P672" i="17"/>
  <c r="P732" i="17"/>
  <c r="P683" i="17"/>
  <c r="P696" i="17"/>
  <c r="P610" i="17"/>
  <c r="P620" i="17"/>
  <c r="P586" i="17"/>
  <c r="P653" i="17"/>
  <c r="P604" i="17"/>
  <c r="P606" i="17"/>
  <c r="P596" i="17"/>
  <c r="P618" i="17"/>
  <c r="P619" i="17"/>
  <c r="P627" i="17"/>
  <c r="P617" i="17"/>
  <c r="P581" i="17"/>
  <c r="P567" i="17"/>
  <c r="P572" i="17"/>
  <c r="P642" i="17"/>
  <c r="P600" i="17"/>
  <c r="P583" i="17"/>
  <c r="P690" i="17"/>
  <c r="P584" i="17"/>
  <c r="P628" i="17"/>
  <c r="P602" i="17"/>
  <c r="P588" i="17"/>
  <c r="P585" i="17"/>
  <c r="P569" i="17"/>
  <c r="P415" i="17"/>
  <c r="P540" i="17"/>
  <c r="P409" i="17"/>
  <c r="P532" i="17"/>
  <c r="P523" i="17"/>
  <c r="P549" i="17"/>
  <c r="P524" i="17"/>
  <c r="P529" i="17"/>
  <c r="P525" i="17"/>
  <c r="P579" i="17"/>
  <c r="P557" i="17"/>
  <c r="P528" i="17"/>
  <c r="P556" i="17"/>
  <c r="P592" i="17"/>
  <c r="P560" i="17"/>
  <c r="P546" i="17"/>
  <c r="P548" i="17"/>
  <c r="P622" i="17"/>
  <c r="P594" i="17"/>
  <c r="P697" i="17"/>
  <c r="P674" i="17"/>
  <c r="P607" i="17"/>
  <c r="P355" i="17"/>
  <c r="P340" i="17"/>
  <c r="P299" i="17"/>
  <c r="P316" i="17"/>
  <c r="P353" i="17"/>
  <c r="P321" i="17"/>
  <c r="P301" i="17"/>
  <c r="P332" i="17"/>
  <c r="P318" i="17"/>
  <c r="P421" i="17"/>
  <c r="P327" i="17"/>
  <c r="P553" i="17"/>
  <c r="P352" i="17"/>
  <c r="P480" i="17"/>
  <c r="P574" i="17"/>
  <c r="P706" i="17"/>
  <c r="P708" i="17"/>
  <c r="P335" i="17"/>
  <c r="P551" i="17"/>
  <c r="P580" i="17"/>
  <c r="P564" i="17"/>
  <c r="P258" i="17"/>
  <c r="P261" i="17"/>
  <c r="P268" i="17"/>
  <c r="P283" i="17"/>
  <c r="P416" i="17"/>
  <c r="P284" i="17"/>
  <c r="P273" i="17"/>
  <c r="P347" i="17"/>
  <c r="P179" i="17"/>
  <c r="P210" i="17"/>
  <c r="P259" i="17"/>
  <c r="P244" i="17"/>
  <c r="P329" i="17"/>
  <c r="P326" i="17"/>
  <c r="P314" i="17"/>
  <c r="P310" i="17"/>
  <c r="P306" i="17"/>
  <c r="P304" i="17"/>
  <c r="P300" i="17"/>
  <c r="P298" i="17"/>
  <c r="P282" i="17"/>
  <c r="P281" i="17"/>
  <c r="P280" i="17"/>
  <c r="P278" i="17"/>
  <c r="P275" i="17"/>
  <c r="P270" i="17"/>
  <c r="P256" i="17"/>
  <c r="P238" i="17"/>
  <c r="P236" i="17"/>
  <c r="P223" i="17"/>
  <c r="P215" i="17"/>
  <c r="P203" i="17"/>
  <c r="P202" i="17"/>
  <c r="P187" i="17"/>
  <c r="P180" i="17"/>
  <c r="P199" i="17"/>
  <c r="P198" i="17"/>
  <c r="P197" i="17"/>
  <c r="P194" i="17"/>
  <c r="P193" i="17"/>
  <c r="P192" i="17"/>
  <c r="P191" i="17"/>
  <c r="P190" i="17"/>
  <c r="P189" i="17"/>
  <c r="P186" i="17"/>
  <c r="P334" i="17"/>
  <c r="P333" i="17"/>
  <c r="P330" i="17"/>
  <c r="P325" i="17"/>
  <c r="P309" i="17"/>
  <c r="P308" i="17"/>
  <c r="P307" i="17"/>
  <c r="P303" i="17"/>
  <c r="P297" i="17"/>
  <c r="P296" i="17"/>
  <c r="P295" i="17"/>
  <c r="P294" i="17"/>
  <c r="P289" i="17"/>
  <c r="P276" i="17"/>
  <c r="P272" i="17"/>
  <c r="P271" i="17"/>
  <c r="P269" i="17"/>
  <c r="P266" i="17"/>
  <c r="P265" i="17"/>
  <c r="P264" i="17"/>
  <c r="P263" i="17"/>
  <c r="P262" i="17"/>
  <c r="P257" i="17"/>
  <c r="P249" i="17"/>
  <c r="P248" i="17"/>
  <c r="P247" i="17"/>
  <c r="P243" i="17"/>
  <c r="P229" i="17"/>
  <c r="P228" i="17"/>
  <c r="P227" i="17"/>
  <c r="P222" i="17"/>
  <c r="P221" i="17"/>
  <c r="P220" i="17"/>
  <c r="P219" i="17"/>
  <c r="O218" i="17"/>
  <c r="P218" i="17" s="1"/>
  <c r="P217" i="17"/>
  <c r="P216" i="17"/>
  <c r="P214" i="17"/>
  <c r="P212" i="17"/>
  <c r="P211" i="17"/>
  <c r="P209" i="17"/>
  <c r="P208" i="17"/>
  <c r="P201" i="17"/>
  <c r="Z124" i="17" l="1"/>
  <c r="X91" i="17"/>
  <c r="V93" i="17"/>
  <c r="U99" i="17"/>
  <c r="V99" i="17" s="1"/>
  <c r="AC168" i="17"/>
  <c r="AD168" i="17" s="1"/>
  <c r="AD93" i="17"/>
  <c r="Z105" i="17"/>
  <c r="X105" i="17"/>
  <c r="Z122" i="17"/>
  <c r="U127" i="17"/>
  <c r="V127" i="17" s="1"/>
  <c r="Z179" i="17"/>
  <c r="Z540" i="17"/>
  <c r="Z270" i="17"/>
  <c r="Z187" i="17"/>
  <c r="Z416" i="17"/>
  <c r="X155" i="17"/>
  <c r="Z155" i="17"/>
  <c r="X133" i="17"/>
  <c r="Z133" i="17"/>
  <c r="X146" i="17"/>
  <c r="Z146" i="17"/>
  <c r="X180" i="17"/>
  <c r="Z180" i="17"/>
  <c r="X256" i="17"/>
  <c r="Z256" i="17"/>
  <c r="X169" i="17"/>
  <c r="Z169" i="17"/>
  <c r="X310" i="17"/>
  <c r="Z310" i="17"/>
  <c r="X530" i="17"/>
  <c r="Z530" i="17"/>
  <c r="X732" i="17"/>
  <c r="Z732" i="17"/>
  <c r="X142" i="17"/>
  <c r="Z142" i="17"/>
  <c r="Z170" i="17"/>
  <c r="X170" i="17"/>
  <c r="X244" i="17"/>
  <c r="Z244" i="17"/>
  <c r="X415" i="17"/>
  <c r="Z415" i="17"/>
  <c r="X737" i="17"/>
  <c r="Z737" i="17"/>
  <c r="V161" i="17"/>
  <c r="V145" i="17"/>
  <c r="Z213" i="17"/>
  <c r="V223" i="17"/>
  <c r="V278" i="17"/>
  <c r="Z236" i="17"/>
  <c r="Z284" i="17"/>
  <c r="V336" i="17"/>
  <c r="Z529" i="17"/>
  <c r="Z653" i="17"/>
  <c r="Z669" i="17"/>
  <c r="V143" i="17"/>
  <c r="V177" i="17"/>
  <c r="V173" i="17"/>
  <c r="Z238" i="17"/>
  <c r="Z314" i="17"/>
  <c r="V304" i="17"/>
  <c r="Z321" i="17"/>
  <c r="Z569" i="17"/>
  <c r="V588" i="17"/>
  <c r="V622" i="17"/>
  <c r="V203" i="17"/>
  <c r="X203" i="17" s="1"/>
  <c r="U167" i="17"/>
  <c r="V167" i="17" s="1"/>
  <c r="U168" i="17"/>
  <c r="V168" i="17" s="1"/>
  <c r="X168" i="17" s="1"/>
  <c r="X144" i="17"/>
  <c r="Z144" i="17"/>
  <c r="X136" i="17"/>
  <c r="Z136" i="17"/>
  <c r="X99" i="17" l="1"/>
  <c r="Z99" i="17"/>
  <c r="X93" i="17"/>
  <c r="Z93" i="17"/>
  <c r="X127" i="17"/>
  <c r="Z127" i="17"/>
  <c r="X588" i="17"/>
  <c r="Z588" i="17"/>
  <c r="Z143" i="17"/>
  <c r="X143" i="17"/>
  <c r="Z336" i="17"/>
  <c r="X336" i="17"/>
  <c r="Z223" i="17"/>
  <c r="X223" i="17"/>
  <c r="X622" i="17"/>
  <c r="Z622" i="17"/>
  <c r="X304" i="17"/>
  <c r="Z304" i="17"/>
  <c r="Z177" i="17"/>
  <c r="X177" i="17"/>
  <c r="Z278" i="17"/>
  <c r="X278" i="17"/>
  <c r="Z161" i="17"/>
  <c r="X161" i="17"/>
  <c r="X173" i="17"/>
  <c r="Z173" i="17"/>
  <c r="Z145" i="17"/>
  <c r="X145" i="17"/>
  <c r="Z203" i="17"/>
  <c r="X167" i="17"/>
  <c r="Z167" i="17"/>
  <c r="Z168" i="17"/>
</calcChain>
</file>

<file path=xl/sharedStrings.xml><?xml version="1.0" encoding="utf-8"?>
<sst xmlns="http://schemas.openxmlformats.org/spreadsheetml/2006/main" count="19582" uniqueCount="4516">
  <si>
    <t>ชลบุรี</t>
  </si>
  <si>
    <t>ชุมพร</t>
  </si>
  <si>
    <t>นครปฐม</t>
  </si>
  <si>
    <t>บุรีรัมย์</t>
  </si>
  <si>
    <t>พังงา</t>
  </si>
  <si>
    <t>สมุทรปราการ</t>
  </si>
  <si>
    <t>SO</t>
  </si>
  <si>
    <t>QUOTATION</t>
  </si>
  <si>
    <t>บริษัท</t>
  </si>
  <si>
    <t>บจก. ไทยทากาซาโก</t>
  </si>
  <si>
    <t>บจก. เปรมดิ์ปรีชา</t>
  </si>
  <si>
    <t>บจก. บอริส</t>
  </si>
  <si>
    <t>บจก. ทีอีแมค</t>
  </si>
  <si>
    <t>บจก. เอ็กซ์คอน คอนสตรัคชั่น</t>
  </si>
  <si>
    <t>บมจ. โฮม โปรดักส์ เซ็นเตอร์ สาขาชลบุรี (อมตะ)</t>
  </si>
  <si>
    <t>บจก. ประชา สยามภัณฑ์</t>
  </si>
  <si>
    <t>บจก. วรรธน์สรร</t>
  </si>
  <si>
    <t>บมจ. โฮม โปรดักส์ เซ็นเตอร์ (นครศรีธรรมราช)</t>
  </si>
  <si>
    <t>หจก. ดี เค สถาปัตย</t>
  </si>
  <si>
    <t>บจก. คอมโพส แมททรีเรียล</t>
  </si>
  <si>
    <t>บจก. เวฟ โปรดักท์</t>
  </si>
  <si>
    <t>ศูนย์วัฒนธรรมภาคเหนือตอนล่าง วังจันทร์ริเวอร์วิล</t>
  </si>
  <si>
    <t>บมจ. โฮม โปรดักส์ เซ็นเตอร์ สาขาสุราษฎร์ธานี (เลี่ยงเมือง)</t>
  </si>
  <si>
    <t>บจก. ทีอี แมค</t>
  </si>
  <si>
    <t>บจก. เมกาโฮม เซ็นเตอร์</t>
  </si>
  <si>
    <t>โครงการ</t>
  </si>
  <si>
    <t>ลาดพร้าว 48 จ.กทม.</t>
  </si>
  <si>
    <t>ปรับปรุงแดนเรือนจำกลางปัตตานี ค่าขนส่ง</t>
  </si>
  <si>
    <t>ปรับปรุงแดนเรือนจำกลางปัตตานี</t>
  </si>
  <si>
    <t>จ.ระยอง</t>
  </si>
  <si>
    <t>ถังบำบัดโรงงานปลาร้า</t>
  </si>
  <si>
    <t>อาคารจอดรถ รพ.เกษมราษฎร์รัตนาธิเบศร์</t>
  </si>
  <si>
    <t>งานซ่อมปั๊ม (บ่อสูบฝั่ง Big C)</t>
  </si>
  <si>
    <t>กำจัดขยะมูลฝอย อบต.แก่งหางแมว</t>
  </si>
  <si>
    <t>งานสั่งซื้อและเปลี่ยนอุปกรณ์</t>
  </si>
  <si>
    <t>ทัณฑสถานเปิดบ้านเนินสูง จ.ปราจีนบุรี (ค่าขนส่ง)</t>
  </si>
  <si>
    <t>People Park อ่อนนุช (อุปกรณ์)</t>
  </si>
  <si>
    <t>ถังบำบัดน้ำเสีย WSA-2021Z</t>
  </si>
  <si>
    <t>ปากน้ำ จ.สมุทรปราการ</t>
  </si>
  <si>
    <t>ม.ราชภัฎพิบูลสงคราม เก็บและวิเคราะห์น้ำ</t>
  </si>
  <si>
    <t>งานติดตั้งลูกลอย</t>
  </si>
  <si>
    <t>ถังเก็บน้ำบนดินทรงแคปซูล</t>
  </si>
  <si>
    <t>บางนา</t>
  </si>
  <si>
    <t>ระบบบำบัดน้ำเสีย HomePro จรัญสนิทวงศ์</t>
  </si>
  <si>
    <t>จ.นครราชสีมา 2</t>
  </si>
  <si>
    <t>บางปู</t>
  </si>
  <si>
    <t>รวม</t>
  </si>
  <si>
    <t>VAT 7 %</t>
  </si>
  <si>
    <t>รวมทั้งสิ้น</t>
  </si>
  <si>
    <t>พนักงานขาย</t>
  </si>
  <si>
    <t>ศศิธร</t>
  </si>
  <si>
    <t>จิรวัฒน์</t>
  </si>
  <si>
    <t>กษมา</t>
  </si>
  <si>
    <t>ประภาพรรณ</t>
  </si>
  <si>
    <t>COM</t>
  </si>
  <si>
    <t>SPEC</t>
  </si>
  <si>
    <t>ส่งสินค้า</t>
  </si>
  <si>
    <t>ครบ</t>
  </si>
  <si>
    <t>วันที่ส่ง</t>
  </si>
  <si>
    <t>ü</t>
  </si>
  <si>
    <t>บจก. ษฎา วิศวกรรม</t>
  </si>
  <si>
    <t>ระบบบำบัดน้ำเสีย Lotus มาบตาพุด</t>
  </si>
  <si>
    <t>ถังเก็บน้ำ Lotus บรบือ</t>
  </si>
  <si>
    <t>ระบบบำบัดน้ำเสีย Lotus บรบือ</t>
  </si>
  <si>
    <t>บจก. โฮม โปรดักส์ เซ็นเตอร์ (สาขาจันทบุรี)</t>
  </si>
  <si>
    <t>HomePro จันทบุรี งานปรับปรุงระบบบำบัด</t>
  </si>
  <si>
    <t>บจก. สตาร์ ฟู้ดส์ กรุ๊ป</t>
  </si>
  <si>
    <t>โรงชำแหละชิ้นส่วนไก่</t>
  </si>
  <si>
    <t>ธัญลักษณ์</t>
  </si>
  <si>
    <t>ค่าขนส่ง ถังบำบัดน้ำเสีย WSA-2540Z</t>
  </si>
  <si>
    <t>อ.เมือง จ.เชียงใหม่</t>
  </si>
  <si>
    <t>ระบบบำบัดน้ำเสีย Lotus อ่างทอง</t>
  </si>
  <si>
    <t>บจก. ช.เอกเจริญชัยกรุ๊ป</t>
  </si>
  <si>
    <t>อ.ที่ทำการตำรวจภูธร จ.นครปฐม</t>
  </si>
  <si>
    <t>บมจ. โฮม โปรดักส์ เซ็นเตอร์ (สาขาพระราม 3)</t>
  </si>
  <si>
    <t>HomePro สาขาพระราม 3 สูบไขมันในระบบบำบัด</t>
  </si>
  <si>
    <t>18070620R2</t>
  </si>
  <si>
    <t>บจก. กสิวัฒน์ก่อสร้าง</t>
  </si>
  <si>
    <t>อาคารที่ทำการ สภ.วังตะเฆ่ จ.ชัยภูมิ</t>
  </si>
  <si>
    <t>18070623R1</t>
  </si>
  <si>
    <t>บจก. วันชัย 1992</t>
  </si>
  <si>
    <t>แฟลต 5 ชั้น สภ.บางแก้ว อ.บางพลี</t>
  </si>
  <si>
    <t>บจก. เขมราฐทรายทอง</t>
  </si>
  <si>
    <t>ฝาเหล็กหล่อ</t>
  </si>
  <si>
    <t>บจก. เมกาโฮม เซ็นเตอร์ (สนญ.)</t>
  </si>
  <si>
    <t>Mega Home สาขารังสิต งานเปลี่ยนลูกลอย</t>
  </si>
  <si>
    <t>Mega Home สาขารังสิต ปรับปรุงระบบบำบัด</t>
  </si>
  <si>
    <t>ถังบำบัดน้ำเสีย WSA-2540Z</t>
  </si>
  <si>
    <t>People Park</t>
  </si>
  <si>
    <t>บจก. แมกน่า ออโตโมทีฟ (ประเทศไทย)</t>
  </si>
  <si>
    <t>Waste Water Treatment Plant</t>
  </si>
  <si>
    <t>บจก. เวียงพานทวีภัณฑ์</t>
  </si>
  <si>
    <t>อ.ที่ทำการตรวจคนเข้าเมือง จ.พะเยา</t>
  </si>
  <si>
    <t>บจก. ซีเคเอ็น มาร์เก็ตติ้ง</t>
  </si>
  <si>
    <t>ถังเก็บน้ำทรงตั้ง</t>
  </si>
  <si>
    <t>กำจัดขยะมูลฝอย อบต.แก่งหางแมว จ.จันทบุรี</t>
  </si>
  <si>
    <t>ถังบำบัดน้ำเสียบนดิน</t>
  </si>
  <si>
    <t>บจก. วอเตอร์ ทรีท</t>
  </si>
  <si>
    <t>18060482R1</t>
  </si>
  <si>
    <t>บจก. ศิริวิทย์การช่าง</t>
  </si>
  <si>
    <t>ปรับปรุงขยายแดน รจ.ปากพนัง จ.นครศรีธรรมราช</t>
  </si>
  <si>
    <t>บจก. นีโอเวชั่น</t>
  </si>
  <si>
    <t>อาคารพักอาศัย 64 ครอบครัว ฐานทัพเรือพังงา (อุปกรณ์)</t>
  </si>
  <si>
    <t>บจก. เอเชียออร์คิด กรุ๊ป</t>
  </si>
  <si>
    <t>The Bell Pool Villa Resort Phuket</t>
  </si>
  <si>
    <t>18070600R1</t>
  </si>
  <si>
    <t>บจก. สหมิตรกิจการ</t>
  </si>
  <si>
    <t>โรงเรียนบ้านสวน จังหวัดชลบุรี</t>
  </si>
  <si>
    <t>18070604R1</t>
  </si>
  <si>
    <t>บจก. เอส.เค.จี. คอนสตรัคชั่น</t>
  </si>
  <si>
    <t>อาคารที่พักอาศัย 40 ครอบครัวคูคต</t>
  </si>
  <si>
    <t>บจก. พีทีเอส เทคนิคัล</t>
  </si>
  <si>
    <t>ฝาถังบำบัดน้ำเสีย</t>
  </si>
  <si>
    <t>ขยายกำแพงเรือนจำกลางปัตตานี ค่าขนส่ง</t>
  </si>
  <si>
    <t>ขยายกำแพงเรือนจำกลางปัตตานี</t>
  </si>
  <si>
    <t>18030216R1</t>
  </si>
  <si>
    <t>โรงเรียนหัวถนน จ.ชลบุรี</t>
  </si>
  <si>
    <t>18060509R1</t>
  </si>
  <si>
    <t>อ.ชุดพักอาศัยข้าราชการ 39 ยูนิต อ.มวกเหล็ก</t>
  </si>
  <si>
    <t>บจก. ซิสเท็มส์ โปรดักส์ เซ็นเตอร์</t>
  </si>
  <si>
    <t>ถังเก็บน้ำใต้ดิน 50000 ลิตร</t>
  </si>
  <si>
    <t>โชคชัย 4</t>
  </si>
  <si>
    <t>บจก. โฮม โปรดักส์ เซ็นเตอร์ (สาขาพระราม 9)</t>
  </si>
  <si>
    <t>งานซ่อม Guide Rail</t>
  </si>
  <si>
    <t>บจก. ซีพี แรม</t>
  </si>
  <si>
    <t>PVDF Membrane / Cpram ladkrabang</t>
  </si>
  <si>
    <t>ถังบำบัดน้ำเสีย 78,000 ลิตร</t>
  </si>
  <si>
    <t>บจก.ซูเปอร์ดี มัลติมีเดีย (ประเทศไทย)</t>
  </si>
  <si>
    <t>สวนอุตสาหกรรมมังกรทอง (ค่าขนส่ง)</t>
  </si>
  <si>
    <t>บจก. ซูเปอร์ดี มัลติมีเดีย (ประเทศไทย)</t>
  </si>
  <si>
    <t>สวนอุตสาหกรรมมังกรทอง</t>
  </si>
  <si>
    <t xml:space="preserve">บจก. ไตรภาคเซอร์วิส แอนด์ แมนทาแนนซ์ </t>
  </si>
  <si>
    <t>18010045R1</t>
  </si>
  <si>
    <t>หจก. บำเหน็จสงวนวงศ์</t>
  </si>
  <si>
    <t>แฟลต 5 ชั้น 30 ครอบครัว สภ.บำเหน็จณรงค์ จ.ชัยภูมิ</t>
  </si>
  <si>
    <t>ประจวบฯ</t>
  </si>
  <si>
    <t>พระราม 4</t>
  </si>
  <si>
    <t>บางแสนล่าง จ.ชลบุรี</t>
  </si>
  <si>
    <t>18040378R2</t>
  </si>
  <si>
    <t>หจก. เสนีย์สรรพกิจ</t>
  </si>
  <si>
    <t>สภ.เขาหินซ้อน อ.พนมสารคาม</t>
  </si>
  <si>
    <t>18040379R2</t>
  </si>
  <si>
    <t>สภ.เลาขวัญ จ.กาญจนบุรี</t>
  </si>
  <si>
    <t>18040377R3</t>
  </si>
  <si>
    <t>สภ.ปากน้ำประแสร์ จ.ระยอง</t>
  </si>
  <si>
    <t>18040376R3</t>
  </si>
  <si>
    <t>สภ.สะตอน จ.จันทบุรี (ขนาดกลาง)</t>
  </si>
  <si>
    <t>หจก. อ.ชาญชัยคอนสตรัคชั่น</t>
  </si>
  <si>
    <t xml:space="preserve">มทร.คลอง 6 ธัญบุรี อาคาร 6, 7, 8 </t>
  </si>
  <si>
    <t>บจก. โรงแรม 88</t>
  </si>
  <si>
    <t>88 Hotel</t>
  </si>
  <si>
    <t>19,21/7/18</t>
  </si>
  <si>
    <t>ถังเก็บน้ำใต้ดิน</t>
  </si>
  <si>
    <t>รจ.ชั่วคราวเขาพริก จ.นครราชสีมา (ค่าขนส่ง)</t>
  </si>
  <si>
    <t>บจก. ทรี สแควร์ สตูดิโอ</t>
  </si>
  <si>
    <t>Mellow</t>
  </si>
  <si>
    <t>อาคารพักอาศัย 64 ครอบครัว ฐานทัพเรือพังงา</t>
  </si>
  <si>
    <t>ภูริชญา</t>
  </si>
  <si>
    <t>บจก. ฟอร์คอน</t>
  </si>
  <si>
    <t>ถังเก็บน้ำบนดิน ป้อมพระจุลจอมเกล้า (งานซ่อม)</t>
  </si>
  <si>
    <t>ถังบำบัดน้ำเสีย</t>
  </si>
  <si>
    <t>บจก. คาร์โก้ เคมี แอนด์ ซัพพลาย</t>
  </si>
  <si>
    <t>รจ.คลองเปรม แดน 13</t>
  </si>
  <si>
    <t>ใบแจ้งหนี้ NO.</t>
  </si>
  <si>
    <t>VAT 7%</t>
  </si>
  <si>
    <t>บจก. ร้อยเดือน</t>
  </si>
  <si>
    <t>รื้อถอนและก่อสร้างกองรักษาการณ์ ฐท. สส.</t>
  </si>
  <si>
    <t>บมจ. อิตาเลียนไทย ดีเวล๊อปเมนต์</t>
  </si>
  <si>
    <t>ก่อสร้างท่าเรือ PTT LNG นิคมมาบตาพุต</t>
  </si>
  <si>
    <t>ถังบำบัดน้ำเสีย WSA-339</t>
  </si>
  <si>
    <t>โลตัสศรีวารี จ.สมุทรปราการ</t>
  </si>
  <si>
    <t>บจก. เมกา โฮม เซ็นเตอร์ (สาขามีนบุรี)</t>
  </si>
  <si>
    <t>งานตรวจสอบและซ่อมแซมระบบบำบัดน้ำเสีย</t>
  </si>
  <si>
    <t>บมจ. โฮม โปรดักส์ เซ็นเตอร์ (สาขาราชพฤกษ์)</t>
  </si>
  <si>
    <t>งานซ่อมและติดตั้งปั๊ม</t>
  </si>
  <si>
    <t>โคราช</t>
  </si>
  <si>
    <t>ถังบำบัดน้ำเสีย CP-10000A</t>
  </si>
  <si>
    <t>บจก. เมกา โฮม เซ็นเตอร์ (สาขาโรจนะ)</t>
  </si>
  <si>
    <t>งานสั่งปั๊มดูดระบบ MBR</t>
  </si>
  <si>
    <t>ถังบำบัดน้ำเสีย WSN-333</t>
  </si>
  <si>
    <t>ค่าขนส่ง ถังบำบัดน้ำเสีย WSA-2021Z</t>
  </si>
  <si>
    <t>งานสั่งซื้อปั๊มดูดระบบ MBR</t>
  </si>
  <si>
    <t>ใบสั่งผลิต</t>
  </si>
  <si>
    <t>ใบสั่งส่ง</t>
  </si>
  <si>
    <t>/61</t>
  </si>
  <si>
    <t>61/</t>
  </si>
  <si>
    <t>บจก. เอ็ม เอ็ม จี 2012</t>
  </si>
  <si>
    <t>รจ.ชั่วคราวหนองเรียง จ.สุโขทัย</t>
  </si>
  <si>
    <t>รจ.ชั่วคราวหนองเรียง จ.สุโขทัย (ค่าขนส่ง)</t>
  </si>
  <si>
    <t>บจก. เจ.ซี.เค เอ็นจิเนียริ่ง</t>
  </si>
  <si>
    <t>อาคารคลังสินค้าท่าอากาศยานอู่ตะเภา</t>
  </si>
  <si>
    <t>ค่าขนส่ง สวนอุตสาหกรรมมังกรทอง</t>
  </si>
  <si>
    <t>บจก. เมกา โฮม เซ็นเตอร์ (สาขากบินทร์บุรี)</t>
  </si>
  <si>
    <t>ดูแลระบบ MegaHome กบินทร์บุรี ปี 61-62</t>
  </si>
  <si>
    <t>บจก. เมกา โฮม เซ็นเตอร์ (สาขาบ่อวิน)</t>
  </si>
  <si>
    <t>ดูแลระบบ MegaHome บ่อวิน ปี 61-62</t>
  </si>
  <si>
    <t>บจก. เมกา โฮม เซ็นเตอร์ (สาขาอรัญประเทศ)</t>
  </si>
  <si>
    <t>ดูแลระบบ MegaHome อรัญประเทศ ปี 61-62</t>
  </si>
  <si>
    <t>ดูแลระบบ MegaHome โรจนะ ปี 61-62</t>
  </si>
  <si>
    <t>บจก. เมกา โฮม เซ็นเตอร์ (สาขารังสิต)</t>
  </si>
  <si>
    <t>ดูแลระบบ MegaHome รังสิต ปี 61-62</t>
  </si>
  <si>
    <t>โรงเชือดไก่</t>
  </si>
  <si>
    <t>ถังบำบัดน้ำเสียเติมอากาศ</t>
  </si>
  <si>
    <t>พัฒนาการ</t>
  </si>
  <si>
    <t>CAG Engineering</t>
  </si>
  <si>
    <t>MCDc deputy director home</t>
  </si>
  <si>
    <t>บจก. กิมกลอรี อินเตอร์แอสเซตส์ กรุ๊ป</t>
  </si>
  <si>
    <t>กสอ.รร.บ้านบึงกระโดนฯ อ.บ้านบึง</t>
  </si>
  <si>
    <t>หจก. บีแอลพี เอ็นจิเนียริ่ง</t>
  </si>
  <si>
    <t>รจ. คลองเปรม การตรวจพิสูจน์ แดน 13</t>
  </si>
  <si>
    <t>บมจ. โฮม โปรดักส์ เซ็นเตอร์ (สาขาฉะเชิงเทรา)</t>
  </si>
  <si>
    <t>ดูแลระบบ HomePro ฉะเชิงเทรา ปี 61-62</t>
  </si>
  <si>
    <t>บมจ. โฮม โปรดักส์ เซ็นเตอร์ (สาขาชลบุรี)</t>
  </si>
  <si>
    <t>ดูแลระบบ HomePro ชลบุรี ปี 61-62</t>
  </si>
  <si>
    <t>บมจ. โฮม โปรดักส์ เซ็นเตอร์ (สาขาจันทบุรี)</t>
  </si>
  <si>
    <t>ดูแลระบบ HomePro จันทบุรี ปี 61-62</t>
  </si>
  <si>
    <t>บมจ. โฮม โปรดักส์ เซ็นเตอร์ (สาขาอมตะ)</t>
  </si>
  <si>
    <t>ดูแลระบบ HomePro อมตะ ปี 61-62</t>
  </si>
  <si>
    <t>บมจ. โฮม โปรดักส์ เซ็นเตอร์ (สาขาศรีราชา)</t>
  </si>
  <si>
    <t>ดูแลระบบ HomePro ศรีราชา ปี 61-62</t>
  </si>
  <si>
    <t>บมจ. โฮม โปรดักส์ เซ็นเตอร์ (สาขาพัทยาเหนือ)</t>
  </si>
  <si>
    <t>ดูแลระบบ HomePro พัทยาเหนือ ปี 61-62</t>
  </si>
  <si>
    <t>บมจ. โฮม โปรดักส์ เซ็นเตอร์ (สาขาบางเสร่)</t>
  </si>
  <si>
    <t>ดูแลระบบ HomePro บางเสร่ ปี 61-62</t>
  </si>
  <si>
    <t>บมจ. โฮม โปรดักส์ เซ็นเตอร์ (สาขาสุพรรณบุรี)</t>
  </si>
  <si>
    <t>ดูแลระบบ HomePro สุพรรณบุรี ปี 61-62</t>
  </si>
  <si>
    <t>ดูแลระบบ HomePro ลพบุรี ปี 61-62</t>
  </si>
  <si>
    <t>บมจ. โฮม โปรดักส์ เซ็นเตอร์ (สาขาลพบุรี)</t>
  </si>
  <si>
    <t xml:space="preserve">บมจ. โฮม โปรดักส์ เซ็นเตอร์ (สาขาราชบุรี) </t>
  </si>
  <si>
    <t>ดูแลระบบ HomePro ราชบุรี ปี 61-62</t>
  </si>
  <si>
    <t>บมจ. โฮม โปรดักส์ เซ็นเตอร์ (สาขามหาชัย)</t>
  </si>
  <si>
    <t>ดูแลระบบ HomePro มหาชัย ปี 61-62</t>
  </si>
  <si>
    <t>บมจ. โฮม โปรดักส์ เซ็นเตอร์ (สาขากาญจนบุรี)</t>
  </si>
  <si>
    <t>ดูแลระบบ HomePro กาญจนบุรี ปี 61-62</t>
  </si>
  <si>
    <t>ถังบำบัดน้ำเสีย 2260 ลิตร</t>
  </si>
  <si>
    <t>บมจ. โฮม โปรดักส์ เซ็นเตอร์ (สาขาสมุทรสงคราม)</t>
  </si>
  <si>
    <t>ดูแลระบบ HomePro สมุทรสงคราม ปี 61-62</t>
  </si>
  <si>
    <t>รจ. โครงสร้างเบา รจ. ชั่วคราว จ.พะเยา</t>
  </si>
  <si>
    <t>โลตัส พะเยา</t>
  </si>
  <si>
    <t>บจก. ทเวนตี้โฟร์ คอน แอนด์ ซัพพลาย</t>
  </si>
  <si>
    <t>ศูนย์ฝึกอบรมและสำนักงานศูนย์ปฏิบัติการ (อุปกรณ์)</t>
  </si>
  <si>
    <t>บจก. โอเบค เอ็นจิเนียริ่ง แอนด์ คอนสตรัคชั่น</t>
  </si>
  <si>
    <t>ถังบำบัดน้ำเสียโรงงานนากาตะ จ.ปราจีนฯ</t>
  </si>
  <si>
    <t>ดูแลระบบ MegaHome มีนบุรี ปี 61-62</t>
  </si>
  <si>
    <t>บมจ. โฮม โปรดักส์ เซ็นเตอร์ เอกมัย-รามอินทรา</t>
  </si>
  <si>
    <t>ดูแลระบบ HomePro เอกมัย-รามอินทรา ปี 61-62</t>
  </si>
  <si>
    <t>บมจ. โฮม โปรดักส์ เซ็นเตอร์ (สาขาเพชรเกษม)</t>
  </si>
  <si>
    <t xml:space="preserve">ดูแลระบบ HomePro เพชรเกษม ปี 61-62 </t>
  </si>
  <si>
    <t>บมจ. โฮม โปรดักส์ เซ็นเตอร์ (สาขาพระราม 9)</t>
  </si>
  <si>
    <t>ดูแลระบบ HomePro พระราม 9 ปี 61-62</t>
  </si>
  <si>
    <t>ดูแลระบบ HomePro พระราม 3 ปี 61-62</t>
  </si>
  <si>
    <t>ดูแบระบบ HomePro ราชพฤกษ์ ปี 61-62</t>
  </si>
  <si>
    <t>บมจ. โฮม โปรดักส์ เซ็นเตอร์ (สาขาประชาชื่น)</t>
  </si>
  <si>
    <t>บมจ. โฮม โปรดักส์ เซ็นเตอร์ (สาขาชัยพฤกษ์)</t>
  </si>
  <si>
    <t>ดูแลระบบ HomePro ประชาชื่น ปี 61-62</t>
  </si>
  <si>
    <t>ดูแลระบบ HomePro ชัยพฤกษ์ ปี 61-62</t>
  </si>
  <si>
    <t>บมจ. โฮม โปรดักส์ เซ็นเตอร์ (สนญ.)</t>
  </si>
  <si>
    <t>ดูแบระบบ HomePro สนญ. ปี 61-62</t>
  </si>
  <si>
    <t>บมจ. โฮม โปรดักส์ เซ็นเตอร์ (สาขารังสิต)</t>
  </si>
  <si>
    <t>เครื่องเติมอากาศระบบบำบัดน้ำเสีย</t>
  </si>
  <si>
    <t>บจก. มหาพร</t>
  </si>
  <si>
    <t>โรงเรียนอนุบาลอ่าวนาง จ.กระบี่</t>
  </si>
  <si>
    <t>บมจ. โฮม โปรดักส์ เซ็นเตอร์ สาขาสุราษฎร์ธานี</t>
  </si>
  <si>
    <t>ดูแลระบบ HomePro สุราษฎร์ธานี ปี 61-62</t>
  </si>
  <si>
    <t>บมจ. โฮม โปรดักส์ เซ็นเตอร์ สาขาภูเก็ต (ฉลอง)</t>
  </si>
  <si>
    <t>ดูแลระบบ HomePro ภูเก็ต (ฉลอง) ปี 61-62</t>
  </si>
  <si>
    <t>บมจ. โฮม โปรดักส์ เซ็นเตอร์ (สาขาเพชรบุรี)</t>
  </si>
  <si>
    <t>ดูแลระบบ HomePro เพชรบุรี ปี 61-62</t>
  </si>
  <si>
    <t>บมจ. โฮม โปรดักส์ เซ็นเตอร์ (ประจวบคีรีขันธ์)</t>
  </si>
  <si>
    <t>ดูแบระบบ HomePro ประจวบคีรีขันธ์ ปี 61-62</t>
  </si>
  <si>
    <t>ดูแลระบบ HomePro นครศรีธรรมราช ปี 61-62</t>
  </si>
  <si>
    <t>บมจ. โฮม โปรดักส์ เซ็นเตอร์ สาขาภูเก็ต (ถลาง)</t>
  </si>
  <si>
    <t>ดูแลระบบ HomePro ภูเก็ต (ถลาง) ปี 61-62</t>
  </si>
  <si>
    <t>บมจ. โฮม โปรดักส์ เซ็นเตอร์ (สาขาตรัง)</t>
  </si>
  <si>
    <t>ดูแลระบบ HomePro ตรัง ปี 61-62</t>
  </si>
  <si>
    <t>บมจ. โฮม โปรดักส์ เซ็นเตอร์ (สาขาชุมพร)</t>
  </si>
  <si>
    <t>ดูแลระบบ HomePro ชุมพร ปี 61-62</t>
  </si>
  <si>
    <t>บมจ. โฮม โปรดักส์ เซ็นเตอร์ (หาดใหญ่)</t>
  </si>
  <si>
    <t>ดูแลระบบ HomePro หาดใหญ่ ปี 61-62</t>
  </si>
  <si>
    <t>บจก. เมกา โฮม เซ็นเตอร์ (สาขาหาดใหญ่)</t>
  </si>
  <si>
    <t>ดูแลระบบ MegaHome หาดใหญ่ ปี 61-62</t>
  </si>
  <si>
    <t>บมจ. โฮม โปรดักส์ (สาขาพัทลุง)</t>
  </si>
  <si>
    <t>ดูแลระบบ HomePro พัทลุง ปี 61-62</t>
  </si>
  <si>
    <t>บจก. ไรเซอร์ กรุ๊ป</t>
  </si>
  <si>
    <t>Tellus 2 Phase 1</t>
  </si>
  <si>
    <t>บจก. เนียนเกษม</t>
  </si>
  <si>
    <t>แฟลต 5 ชั้น ตร.วังจันทร์ จ.ระยอง</t>
  </si>
  <si>
    <t xml:space="preserve">บจก. เมกา โฮม เซ็นเตอร์ </t>
  </si>
  <si>
    <t>งานปรับปรุง HomePro DC 6 Wangnoi</t>
  </si>
  <si>
    <t>บมจ. โฮม โปรดักส์ เซ็นเตอร์ (สาขาพัทลุง)</t>
  </si>
  <si>
    <t>HomePro สาขาพัทลุง ติดตั้งปั๊มดูดน้ำ Reuse</t>
  </si>
  <si>
    <t>บจก. บางกอกเทรด เอ็นเตอร์ไพรส์</t>
  </si>
  <si>
    <t>วิภาวดี 64</t>
  </si>
  <si>
    <t>บจก. อารมณ์ดีก่อสร้าง</t>
  </si>
  <si>
    <t>แฟลต 5 ชั้น ต.จรเข้ร้อง จ.อ่างทอง</t>
  </si>
  <si>
    <t>18040380R2</t>
  </si>
  <si>
    <t>หจก. พิจิตสุวรรณ วิศวกร</t>
  </si>
  <si>
    <t>ก่อสร้างสวนสาธารณะเมืองสงขลา</t>
  </si>
  <si>
    <t>บจก. อดิตยา เบอร์ล่า เคมีคัลส์</t>
  </si>
  <si>
    <t>Waste Water Treatment Plant 50 cmd.</t>
  </si>
  <si>
    <t>ระบบบำบัดน้ำเสีย Lotus โคกสำโรง จ.ลพบุรี</t>
  </si>
  <si>
    <t>MegaHome สาขาอรัญประเทศ</t>
  </si>
  <si>
    <t>ถังเก็บน้ำบนดิน</t>
  </si>
  <si>
    <t>MegaHome สาขาอรัญประเทศ (ค่าเดินทาง)</t>
  </si>
  <si>
    <t>บจก. พรรณกาญจน์วิกรย์</t>
  </si>
  <si>
    <t>The Patio พัทยา</t>
  </si>
  <si>
    <t>น้ำเสียโรงอาหาร</t>
  </si>
  <si>
    <t>หจก. โกลเด้นเยียส์ก่อสร้าง</t>
  </si>
  <si>
    <t>รร.บ้านชากยายจีน อ.ศรีราชา จ.ชลบุรี</t>
  </si>
  <si>
    <t>อ.ที่ทำการตำรวจ จ.นครปฐม</t>
  </si>
  <si>
    <t>ศรีราชา จ.ชลบุรี (ต่อค่อเพิ่ม)</t>
  </si>
  <si>
    <t>ถังเก็บน้ำ-ถังบำบัดน้ำเสีย</t>
  </si>
  <si>
    <t>ศรีราชา จ.ชลบุรี</t>
  </si>
  <si>
    <t>กทม. 2</t>
  </si>
  <si>
    <t>FLEX</t>
  </si>
  <si>
    <t>ระบบบำบัดน้ำเสีย Lotus บ้านผือ จ.อุดรธานี</t>
  </si>
  <si>
    <t>วงเวียนใหญ่</t>
  </si>
  <si>
    <t>งานซ่อมท่อจ่ายอากาศ</t>
  </si>
  <si>
    <t>ถังเก็บน้ำชนิดฝังดิน</t>
  </si>
  <si>
    <t>หจก. สกลเจริญก่อสร้าง</t>
  </si>
  <si>
    <t>โรงอาหาร จ.ปราจีนบุรี</t>
  </si>
  <si>
    <t>หจก. คลอง 1 แมนชั่น</t>
  </si>
  <si>
    <t>คลอง 1 แมนชั่น</t>
  </si>
  <si>
    <t>ถังเก็บน้ำ 2000 ลิตร</t>
  </si>
  <si>
    <t>บจก. โตโยต้า เค.มอเตอร์ส</t>
  </si>
  <si>
    <t>ฝาเหล็กถังบำบัดน้ำเสีย</t>
  </si>
  <si>
    <t>รจ.ชั่วคราวเขาพริก จ.นครราชสีมา</t>
  </si>
  <si>
    <t>ทัณฑสถานเปิดบ้านเนินสูง จ.ปราจีนบุรี</t>
  </si>
  <si>
    <t>กำจัดขยะมูลฝอยเทศบาลเมืองร้อยเอ็ด (ค่าขนส่ง)</t>
  </si>
  <si>
    <t>บจก. เขาแดงคอนสตรัคชั่น</t>
  </si>
  <si>
    <t>ลานจอดรถบัส นทท.จ.สงขลา</t>
  </si>
  <si>
    <t>อ.ที่ทำการ สภ.แม่กา จ.พะเยา</t>
  </si>
  <si>
    <t>2/718</t>
  </si>
  <si>
    <t>18040362R1</t>
  </si>
  <si>
    <t>หจก. ชาญพานิชกิจ</t>
  </si>
  <si>
    <t>ปรับปรุงฯ ภาควิชาวิศวกรรมไฟฟ้า 1 งาน</t>
  </si>
  <si>
    <t>หจก. ชูทรัพย์</t>
  </si>
  <si>
    <t>ค่าขนส่งถังเก็บน้ำ 60 ลบ.ม.</t>
  </si>
  <si>
    <t>สมนึก</t>
  </si>
  <si>
    <t>คลอง 1</t>
  </si>
  <si>
    <t>อาคารพักพยาบาล 24 ห้อง สาธารณสุข จ.ยะลา</t>
  </si>
  <si>
    <t>เรือนจำชั่วคราวโคกคำม่วง</t>
  </si>
  <si>
    <t>อาคารที่พักอาศัยแฟลต5ชั้น 30ครอบครัว ทางหลวง2</t>
  </si>
  <si>
    <t>สำนักงานเทศบาลตำบลบางเลน(แห่งใหม่)</t>
  </si>
  <si>
    <t>งานปรับปรุงระบบบำบัดน้ำเสีย</t>
  </si>
  <si>
    <t>ต่อเติม อบจ.ชลบุรี</t>
  </si>
  <si>
    <t>มหาวิทยาลัยราชภัฏพิบูลสงคราม</t>
  </si>
  <si>
    <t>อาคาร บก.กยน.ทร. อ.สัตหีบ</t>
  </si>
  <si>
    <t>งานซ่อมปั๊ม</t>
  </si>
  <si>
    <t>ปรับปรุงระบบบำบัดน้ำเสีย</t>
  </si>
  <si>
    <t>แฟลต 5 ชั้น วิภาวดีรังสิต 40/2 อาคาร3</t>
  </si>
  <si>
    <t>แฟลต 5 ชั้น 191 (อาคาร1)</t>
  </si>
  <si>
    <t>แฟลต 5 ชั้น วิภาวดีรังสิต 40/2 อาคาร2</t>
  </si>
  <si>
    <t>Apsara &amp; Dragon / Koh Phangan</t>
  </si>
  <si>
    <t>GOLF CLUB</t>
  </si>
  <si>
    <t>ถังเก็บน้ำ 60 ลบ.ม.</t>
  </si>
  <si>
    <t>ถังโครงการ จ.ชลบุรี (ค่าต่อคอเพิ่ม)</t>
  </si>
  <si>
    <t>งานเก็บวิเคราะห์น้ำทิ้งระบบบำบัดน้ำเสีย</t>
  </si>
  <si>
    <t>ซ่อมถังเก็บน้ำ โรงแรม 7 ชั้น  จ.เชียงใหม่</t>
  </si>
  <si>
    <t>พบโชค</t>
  </si>
  <si>
    <t>UV DISINFECTION SYSTEM</t>
  </si>
  <si>
    <t>รร.บ้านคลองมือไทร</t>
  </si>
  <si>
    <t>ตำรวจภูธรภาค 5 จ.เชียงใหม่</t>
  </si>
  <si>
    <t>18020128R1</t>
  </si>
  <si>
    <t>17121305R1</t>
  </si>
  <si>
    <t xml:space="preserve">หจก. สกลเจริญก่อสร้าง </t>
  </si>
  <si>
    <t>แฟลต 30 ครอบครัว อ.นาดี จ.ปราจีนบุรี</t>
  </si>
  <si>
    <t>17121306R1</t>
  </si>
  <si>
    <t>แฟลต 30 ครอบครัว อ.ประจันตคาม จ.ปราจีนบุรี</t>
  </si>
  <si>
    <t>บจก. เซีย คอนสตรั๊คชั่น</t>
  </si>
  <si>
    <t>มรภ. ธนบุรี อาคารปฏิบัติการวิชาชีพ THO-06</t>
  </si>
  <si>
    <t>คุณฟ้า</t>
  </si>
  <si>
    <t>หจก. เบญจไตรรัตน์ก่อสร้าง</t>
  </si>
  <si>
    <t>หจก. ดับบลิวแอนด์ดีดีคอนสตรัคชั่น</t>
  </si>
  <si>
    <t>บมจ. โฮมโปรดักส์เซ็นเตอร์(สาขาตรัง)</t>
  </si>
  <si>
    <t>บจก. เอกปรานต์</t>
  </si>
  <si>
    <t>บมจ. โฮมโปรดักส์เซ็นเตอร์(สาขาลำปาง)</t>
  </si>
  <si>
    <t>บจก. กรีนทั้มบ์</t>
  </si>
  <si>
    <t>บจก. ร้อยทรายก่อสร้าง</t>
  </si>
  <si>
    <t>บมจ. โฮมโปรดักส์เซ็นเตอร์ สาขาภูเก็ต (ฉลอง)</t>
  </si>
  <si>
    <t>บจก. ดีวีพี คอนสตรัคชั่น</t>
  </si>
  <si>
    <t>บจก. อัปสราแอนด์ดรากอน</t>
  </si>
  <si>
    <t>บจก. ชาร์เตอร์ สแควร์ โฮลดิ้ง</t>
  </si>
  <si>
    <t>บจก. โฮมโปรดักส์เซ็นเตอร์ เอกมัย-รามอินทรา</t>
  </si>
  <si>
    <t>บจก. เอ เซม ซิสเตมส์</t>
  </si>
  <si>
    <t>บจก. วอเตอร์กรุ๊ป</t>
  </si>
  <si>
    <t>บจก. วอเตอร์ทรีท</t>
  </si>
  <si>
    <t>บจก. นีโอ พร็อพเพอร์ตี้</t>
  </si>
  <si>
    <t>หจก. โชคนคร</t>
  </si>
  <si>
    <t>18030294R1</t>
  </si>
  <si>
    <t>18030274R1</t>
  </si>
  <si>
    <t>18020130R2</t>
  </si>
  <si>
    <t>ค่าขนส่ง จ.จันทบุรี</t>
  </si>
  <si>
    <t>18030215R1</t>
  </si>
  <si>
    <t>18020198R2</t>
  </si>
  <si>
    <t>บจก. เอ็น.ที.บิลดิ้งส์ เซอร์วิส</t>
  </si>
  <si>
    <t>FLEX 6"</t>
  </si>
  <si>
    <t>จ.นครราชสีมา</t>
  </si>
  <si>
    <t>โลตัส พนัสนิคม ชลบุรี</t>
  </si>
  <si>
    <t xml:space="preserve">บมจ. โฮม โปรดักส์ </t>
  </si>
  <si>
    <t>ซ่อมปั๊มสาขาราชพฤกษ์</t>
  </si>
  <si>
    <t>อ.นาทวี จ.สงขลา</t>
  </si>
  <si>
    <t>-</t>
  </si>
  <si>
    <t>บจก. เจริญโภคทรัพย์</t>
  </si>
  <si>
    <t>ค่าขนส่ง</t>
  </si>
  <si>
    <t>HP เพชรเกษม ซ่อม Motor</t>
  </si>
  <si>
    <t>HP เพชรเกษม เปลี่ยน Filter</t>
  </si>
  <si>
    <t>ค่าซ่อมถัง</t>
  </si>
  <si>
    <t>หจก. ซิสเต็มเวย์</t>
  </si>
  <si>
    <t>โรงเรียนปริ้นสรอยัล เชียงใหม่</t>
  </si>
  <si>
    <t>อ.จอดรถหลังที่ 2</t>
  </si>
  <si>
    <t>อ.จอดรถหลังที่ 1</t>
  </si>
  <si>
    <t>อ.กองขนส่ง สถานีการบิน</t>
  </si>
  <si>
    <t>บจก. เอ เอ บัดเจ็ด</t>
  </si>
  <si>
    <t>โรงแรม 7 ชั้น เชียงใหม่</t>
  </si>
  <si>
    <t>ถังเก็บน้ำ</t>
  </si>
  <si>
    <t>กำจัดขยะมูลฝอย ร้อยเอ็ด</t>
  </si>
  <si>
    <t>ถังใบที่ 3, 4 โลตัสกาฬสินธุ์</t>
  </si>
  <si>
    <t>ถังใบที่ 1, 2 โลตัสกาฬสินธุ์</t>
  </si>
  <si>
    <t>ถังโครงการอุดร</t>
  </si>
  <si>
    <t>ค่าบริการ</t>
  </si>
  <si>
    <t>บจก. ไอแท้งค์</t>
  </si>
  <si>
    <t>ถังบำบัด</t>
  </si>
  <si>
    <t>ซ่อมปั๊ม ชุมพร</t>
  </si>
  <si>
    <t>โรงแรม 7 ชั้น อ.เมือง จ.เชียงใหม่</t>
  </si>
  <si>
    <t>บจก. เอ็ม.เค อพาร์ทเมนท์</t>
  </si>
  <si>
    <t>บ.สเมเชียลลิสท์อินทิเรีย)</t>
  </si>
  <si>
    <t>ศูนย์ศิลปวัฒนธรรมฯ</t>
  </si>
  <si>
    <t>ม.ราชภัฎพิบูลสงคราม</t>
  </si>
  <si>
    <t>17111197R2</t>
  </si>
  <si>
    <t>หจก. สรกรรณกรุ๊ป</t>
  </si>
  <si>
    <t>พละศึกษา จ.ยะลา</t>
  </si>
  <si>
    <t>18020196R1</t>
  </si>
  <si>
    <t>โรงพยาบาลค่ายเขตอุดมศักดิ์</t>
  </si>
  <si>
    <t>ตรวจเช็กระบบบำบัดน้ำเสีย</t>
  </si>
  <si>
    <t>บจก. เมกา โฮม เซ็นเตอร์ (สนญ.)</t>
  </si>
  <si>
    <t>ศูนย์สุขภาพชุมชนเมือง 4 ชั้น รพ.บุรีรัมย์</t>
  </si>
  <si>
    <t>พัทยา</t>
  </si>
  <si>
    <t xml:space="preserve">บจก. ซิโซล (ประเทศไทย) </t>
  </si>
  <si>
    <t>เทศบาลหนองปลาไหล 3 ชั้น จ.ชลบุรี</t>
  </si>
  <si>
    <t>อาคารโรงพละจังหวัดกระบี่</t>
  </si>
  <si>
    <t>ถังบำบัดน้ำเสียไทรน้อย</t>
  </si>
  <si>
    <t>ศูนย์ฝึกอบรมและสำนักงานศูนย์ปฏิบัติการ</t>
  </si>
  <si>
    <t>ลาดหลุมแก้ว</t>
  </si>
  <si>
    <t>งานปรับปรุง HomePro เอกมัย-รามอินทรา</t>
  </si>
  <si>
    <t>ลาซาลปาร์ค</t>
  </si>
  <si>
    <t>17090966R1</t>
  </si>
  <si>
    <t>อ.ห้วยฉัตร จ.ลำปาง</t>
  </si>
  <si>
    <t>บจก. เมกา โฮม เซ็นเตอร์ (สำนักงานใหญ่)</t>
  </si>
  <si>
    <t>งานตรวจและซ่อมแซมระบบบำบัดน้ำเสีย</t>
  </si>
  <si>
    <t>18060568R1</t>
  </si>
  <si>
    <t>บจก. ส.สุพาณิชย์ก่อสร้าง</t>
  </si>
  <si>
    <t>แฟลต 5 ชั้น สภ.หนองปรือ จ.ชลบุรี</t>
  </si>
  <si>
    <t>18060569R1</t>
  </si>
  <si>
    <t>แฟลต 5 ชั้น สภ.หนองขาม จ.ชลบุรี</t>
  </si>
  <si>
    <t>แฟลต 5 ชั้น สภ.หนองขาม ถังน้ำดาดฟ้า</t>
  </si>
  <si>
    <t>บจก. ดีเอสเอสวาย เอ็นจิเนียริ่ง</t>
  </si>
  <si>
    <t>รร.บ้านคลองโค อ.บ่อทอง จ.ชลบุรี</t>
  </si>
  <si>
    <t>แฟลต 5 ชั้น สภ.หนองปรือ ถังเก็บน้ำดาดฟ้า</t>
  </si>
  <si>
    <t>บจก. สยาม เบส โซลูชั่น</t>
  </si>
  <si>
    <t>Resort เกาะพะงัน</t>
  </si>
  <si>
    <t>บมจ. โฮม โปรดักส์ เซ็นเตอร์ (เชียงราย)</t>
  </si>
  <si>
    <t>บมจ. โฮม โปรดักส์ เซ็นเตอร์ (รังสิต)</t>
  </si>
  <si>
    <t>(งานซ่อม)</t>
  </si>
  <si>
    <t>18010086R1</t>
  </si>
  <si>
    <t>เปลี่ยน LA-200 พัทยาเหนือ</t>
  </si>
  <si>
    <t>บมจ. โฮม โปรดักส์ เซ็นเตอร์</t>
  </si>
  <si>
    <t>ซ่อมปั๊ม (พัทยาเหนือ)</t>
  </si>
  <si>
    <t>18020122R2</t>
  </si>
  <si>
    <t>หจก. วิคเตอร์ เทคโนโลยี</t>
  </si>
  <si>
    <t>อาคารพาณิชย์ 2 ชั้น</t>
  </si>
  <si>
    <t>บจก. จีโอเนท</t>
  </si>
  <si>
    <t>เรือนจำคลองเปรม</t>
  </si>
  <si>
    <t>ขนส่ง</t>
  </si>
  <si>
    <t>ปทุม</t>
  </si>
  <si>
    <t>ขอนแก่น</t>
  </si>
  <si>
    <t>กรุงไทยอาหาร ลำลูกกา ปทุมธานี</t>
  </si>
  <si>
    <t>สวนน้ำ อุดรธานี</t>
  </si>
  <si>
    <t>สภ.นาดี จ.ปราจีนบุรี</t>
  </si>
  <si>
    <t>17121307R2</t>
  </si>
  <si>
    <t>แฟลต 30 ครอบครัว จ.สระบุรี</t>
  </si>
  <si>
    <t>บจก. โฮม โปรดักส์ เซ็นเตอร์ (สาขาราชพฤกษ์)</t>
  </si>
  <si>
    <t>ลูกลอยบ่อชูท</t>
  </si>
  <si>
    <t>มหาชัย</t>
  </si>
  <si>
    <t>ปทุมธานี</t>
  </si>
  <si>
    <t>ถังเก็บน้ำบนดินทรงกระบอก</t>
  </si>
  <si>
    <t>บจก. เมกา โฮม เซ็นเตอร์</t>
  </si>
  <si>
    <t>ฉะเชิงเทรา</t>
  </si>
  <si>
    <t>รร.บ้านหนองไผ่แก้ว</t>
  </si>
  <si>
    <t>17101038R1</t>
  </si>
  <si>
    <t>กิจการร่วมค้า ดีมาก อัลฟ่า</t>
  </si>
  <si>
    <t>กลุ่มจราจร ภ.จ.ว.เชียงใหม่</t>
  </si>
  <si>
    <t>บจก. ไมเดีย เอ็นจิเนียริ่ง</t>
  </si>
  <si>
    <t>Lotus กำแพงแสน</t>
  </si>
  <si>
    <t>พัทยา ชลบุรี</t>
  </si>
  <si>
    <t>18010049R1</t>
  </si>
  <si>
    <t>บจก. มหานครแม่สอดเวชการ</t>
  </si>
  <si>
    <t>ระบบฆ่าเชื้อโรคในน้ำเสียด้วยแสงยูวี</t>
  </si>
  <si>
    <t>18010042R1</t>
  </si>
  <si>
    <t>จ.สระบุรี</t>
  </si>
  <si>
    <t>บจก. โบ๊เบ๊ อุดร</t>
  </si>
  <si>
    <t>ปรับปรุงตลาดโบ๊เบ๊ จ.อุดร</t>
  </si>
  <si>
    <t>18010039R2</t>
  </si>
  <si>
    <t>เชียงราย</t>
  </si>
  <si>
    <t>HP ชลบุรี</t>
  </si>
  <si>
    <t>ถังบำบัดน้ำเสียใต้ดิน</t>
  </si>
  <si>
    <t>ฝาถังเก็บน้ำ</t>
  </si>
  <si>
    <t>ถังบำบัดน้ำเสียและถังเก็บน้ำ</t>
  </si>
  <si>
    <t>เอกมัย</t>
  </si>
  <si>
    <t>วิภาวดี</t>
  </si>
  <si>
    <t>สาขานครปฐม (ติดตั้ง-ซ่อม)</t>
  </si>
  <si>
    <t>บจก. ธรรมได้ธรรม</t>
  </si>
  <si>
    <t>งานเปลี่ยนฝาถังบำบัดน้ำเสีย จ.พังงา</t>
  </si>
  <si>
    <t>โฮมโปรชลบุรี เปลี่น OverHall</t>
  </si>
  <si>
    <t>MH-รังสิต</t>
  </si>
  <si>
    <t>ร้านอาหารพัทยา จ.ชลบุรี</t>
  </si>
  <si>
    <t>ค่าขนส่ง สัตหีบ</t>
  </si>
  <si>
    <t>อาคารสำนักงานปั๊ม อ.สัตหีบ</t>
  </si>
  <si>
    <t>อาคารกราบ 40 คน หลัง B</t>
  </si>
  <si>
    <t>อาคารกราบ 40 คน หลัง A</t>
  </si>
  <si>
    <t>17111245R1</t>
  </si>
  <si>
    <t>หจก. ส.สุคนธ์การก่อสร้าง</t>
  </si>
  <si>
    <t>รพ.ส่งเสริมสุขภาพ จ.สระแก้ว</t>
  </si>
  <si>
    <t>HP-เพชรเกษม</t>
  </si>
  <si>
    <t>HomePro กัลปพฤกษ์</t>
  </si>
  <si>
    <t>เรือนแถวชั้นสัญญาบัตร สภ.ท่าช่าง (สิงห์บุรี)</t>
  </si>
  <si>
    <t>Starbucks ราชพฤกษ์</t>
  </si>
  <si>
    <t>อาคารพักแพทย์ 12 ครอบครัว รพ.พระพุทธบาท</t>
  </si>
  <si>
    <t>ถังบำบัด จังหวัดตาก</t>
  </si>
  <si>
    <t>ถังเก็บน้ำพร้อมบันไดกันตก</t>
  </si>
  <si>
    <t>พี่ต๋องไปวางบิล 26/9/18</t>
  </si>
  <si>
    <t>พี่ต๋องจะไปรับเช็ค 28/9/18</t>
  </si>
  <si>
    <t>รับเช็คแล้ว 24/9/18</t>
  </si>
  <si>
    <t>แฟลต 5 ชั้น จ.เชียงราย ต.ริมกก</t>
  </si>
  <si>
    <t>หจก. ล้านเชียงโยธา</t>
  </si>
  <si>
    <t>แฟลต ตร.ภูกามยาว จ.พะเยา</t>
  </si>
  <si>
    <t>18090795R1</t>
  </si>
  <si>
    <t>บจก. พีโอ พร็อพเพอร์ตี้</t>
  </si>
  <si>
    <t>โรงเรียนพระตำหนักมหาราช จ.ชลบุรี</t>
  </si>
  <si>
    <t>หจก. เวียงชัยคอนกรีต</t>
  </si>
  <si>
    <t>แฟลต 5 ชั้น ตร.แม่สาย จ.เชียงราย</t>
  </si>
  <si>
    <t>กิจการร่วมค้า ซี เอ็น เค โปร</t>
  </si>
  <si>
    <t>แฟลต 5 ชั้น ตร.เมืองแพร่</t>
  </si>
  <si>
    <t>CAG ENGINEERING</t>
  </si>
  <si>
    <t>Grand Park Hotel Mandalay Myanmar</t>
  </si>
  <si>
    <t>บจก. ไอ ริช</t>
  </si>
  <si>
    <t>กรุงเทพ-นนทบุรี 42</t>
  </si>
  <si>
    <t>หจก. วรโศภิษฐ์ซัพพลาย</t>
  </si>
  <si>
    <t>ฝาเหล็ก</t>
  </si>
  <si>
    <t>18100864R1</t>
  </si>
  <si>
    <t>หจก. เชียงใหม่ เพิ่มพูนก่อสร้าง</t>
  </si>
  <si>
    <t>อาคารที่ทำการ ตร.น้ำ จ.พระนครศรีอยุธยา</t>
  </si>
  <si>
    <t>PTT LNG นิคมมาบตาพุต</t>
  </si>
  <si>
    <t>18080732R1</t>
  </si>
  <si>
    <t>หจก. ธนาสิทธิ์พาณิชย์</t>
  </si>
  <si>
    <t>แฟลต 5 ชั้น คันนายาว</t>
  </si>
  <si>
    <t>ชื่อ</t>
  </si>
  <si>
    <t>เทคนิค</t>
  </si>
  <si>
    <t>พ.ต.อ.กอปร</t>
  </si>
  <si>
    <t>คิดเป็นเงิน</t>
  </si>
  <si>
    <t>มูลค่า No Vat</t>
  </si>
  <si>
    <t>%</t>
  </si>
  <si>
    <t>คุณคมกริบ บุตราสัย</t>
  </si>
  <si>
    <t>อาคารพักอาศัยสุขุมวิท 65 กรุงเทพฯ</t>
  </si>
  <si>
    <t xml:space="preserve">บจก. วิน เซิร์ฟ โปรดักส์ </t>
  </si>
  <si>
    <t>กฟผ.ศูนย์ฝึกบางปะกง (ฝาถังบำบัด STAR)</t>
  </si>
  <si>
    <t>งานสั่งซื้อปั๊ม</t>
  </si>
  <si>
    <t>คมกริบ บุตราสัย</t>
  </si>
  <si>
    <t>อัครพล พิมพ์ทอง</t>
  </si>
  <si>
    <t>พิสิษฐ์</t>
  </si>
  <si>
    <t>อาร์อัศมีย์</t>
  </si>
  <si>
    <t>อ.พรชัย</t>
  </si>
  <si>
    <t>พิพัฒน์ วงศ์ธัญวัฒน์</t>
  </si>
  <si>
    <t>เรวัต</t>
  </si>
  <si>
    <t>ราคาขายจริง 1,808,500</t>
  </si>
  <si>
    <t>นท.สมศักดิ์ อุนานยา</t>
  </si>
  <si>
    <t>รอพี่จิ CF</t>
  </si>
  <si>
    <t xml:space="preserve">จักรพงษ์ </t>
  </si>
  <si>
    <t>ค่าตรวจน้ำ 60,000 / ค่าออกแบบ 20,000</t>
  </si>
  <si>
    <t>สินค้า</t>
  </si>
  <si>
    <t>BCM-150A</t>
  </si>
  <si>
    <t>จำนวน</t>
  </si>
  <si>
    <t>CFS-3500L</t>
  </si>
  <si>
    <t>NO.</t>
  </si>
  <si>
    <t>รายการ</t>
  </si>
  <si>
    <t>UN</t>
  </si>
  <si>
    <t>ON</t>
  </si>
  <si>
    <t>CFS-5500L</t>
  </si>
  <si>
    <t>ฝาถังบำบัดฯ</t>
  </si>
  <si>
    <t>181002CN</t>
  </si>
  <si>
    <t>181002NP</t>
  </si>
  <si>
    <t>181002PT</t>
  </si>
  <si>
    <t>SS-757</t>
  </si>
  <si>
    <t>PSS-333</t>
  </si>
  <si>
    <t>PSS-741</t>
  </si>
  <si>
    <t>PS-11500A</t>
  </si>
  <si>
    <t>PO-5FB</t>
  </si>
  <si>
    <t>F-6</t>
  </si>
  <si>
    <t>SWTV-2010</t>
  </si>
  <si>
    <t>SS-781</t>
  </si>
  <si>
    <t>SWTU-4000</t>
  </si>
  <si>
    <t>MHRSPM18</t>
  </si>
  <si>
    <t>MHBWPM18</t>
  </si>
  <si>
    <t>MHRNPM18</t>
  </si>
  <si>
    <t>MHKBPM18</t>
  </si>
  <si>
    <t>MHHYPM18</t>
  </si>
  <si>
    <t>MHARPM18</t>
  </si>
  <si>
    <t>SW-2538</t>
  </si>
  <si>
    <t>SWTV-3500</t>
  </si>
  <si>
    <t>OASIS-I20z</t>
  </si>
  <si>
    <t>MHMRPM18</t>
  </si>
  <si>
    <t>180227MP</t>
  </si>
  <si>
    <t>WWTP 10 m3/day</t>
  </si>
  <si>
    <t>เพิ่มกันกระเพื่อม</t>
  </si>
  <si>
    <t>180829NP-1</t>
  </si>
  <si>
    <t>180829NP-2</t>
  </si>
  <si>
    <t>180806NP</t>
  </si>
  <si>
    <t>180802MP</t>
  </si>
  <si>
    <t>180713N-1</t>
  </si>
  <si>
    <t>180713N-2</t>
  </si>
  <si>
    <t>180713N-3</t>
  </si>
  <si>
    <t>สลิงรัดถัง</t>
  </si>
  <si>
    <t>180418ZN</t>
  </si>
  <si>
    <t>180713MS</t>
  </si>
  <si>
    <t>SGT-2000</t>
  </si>
  <si>
    <t>SA-80RMBR24</t>
  </si>
  <si>
    <t>SW-40UV</t>
  </si>
  <si>
    <t>ประเภท</t>
  </si>
  <si>
    <t>other</t>
  </si>
  <si>
    <t>PRACHA-PA-113.5-WO</t>
  </si>
  <si>
    <t>SA-120800ZD3</t>
  </si>
  <si>
    <t>SWO-2526</t>
  </si>
  <si>
    <t>1807133CL</t>
  </si>
  <si>
    <t>waste tm</t>
  </si>
  <si>
    <t>waste</t>
  </si>
  <si>
    <t>water tm</t>
  </si>
  <si>
    <t>water</t>
  </si>
  <si>
    <t>180803MG</t>
  </si>
  <si>
    <t>CFRBSAT-22Q</t>
  </si>
  <si>
    <t>CFRBCF-25Q</t>
  </si>
  <si>
    <t>CFRBSS-115Q</t>
  </si>
  <si>
    <t>CFRBST-100Q</t>
  </si>
  <si>
    <t>CFRBCF-70Q</t>
  </si>
  <si>
    <t>CFRBST-60Q</t>
  </si>
  <si>
    <t>CFSAT-6Q</t>
  </si>
  <si>
    <t>WT-TAF-10Q</t>
  </si>
  <si>
    <t>SMP-102</t>
  </si>
  <si>
    <t>SSFA-2516Z</t>
  </si>
  <si>
    <t>PPS-5460</t>
  </si>
  <si>
    <t>MH-050</t>
  </si>
  <si>
    <t>PS-1250</t>
  </si>
  <si>
    <t>SW-2554</t>
  </si>
  <si>
    <t>PS-9500</t>
  </si>
  <si>
    <t>SWTG-500</t>
  </si>
  <si>
    <t>SS-2551K</t>
  </si>
  <si>
    <t>180623MG</t>
  </si>
  <si>
    <t>OA-6CoPVDF</t>
  </si>
  <si>
    <t>PSS-797</t>
  </si>
  <si>
    <t>PSS-749</t>
  </si>
  <si>
    <t>ซ่อมถัง</t>
  </si>
  <si>
    <t>PSN-9500</t>
  </si>
  <si>
    <t>PS-1600</t>
  </si>
  <si>
    <t>SS-2014K</t>
  </si>
  <si>
    <t>SSA-2530K</t>
  </si>
  <si>
    <t>WTPhpCS_MT</t>
  </si>
  <si>
    <t>WTPhpcr_MT</t>
  </si>
  <si>
    <t>WTPhpJR_MT</t>
  </si>
  <si>
    <t>WThpAM_MT</t>
  </si>
  <si>
    <t>WThpSRC_MT</t>
  </si>
  <si>
    <t>WThpPYN_MT</t>
  </si>
  <si>
    <t>WThpBSR_MT</t>
  </si>
  <si>
    <t>WTphpSP_MT</t>
  </si>
  <si>
    <t>WTPhpLR_MT</t>
  </si>
  <si>
    <t>WTPhpRR_MT</t>
  </si>
  <si>
    <t>WTPhpMC_MT</t>
  </si>
  <si>
    <t>WTPhpKJ_MT</t>
  </si>
  <si>
    <t>WThpMK_MT</t>
  </si>
  <si>
    <t>F-4</t>
  </si>
  <si>
    <t>MTPhpho_RI</t>
  </si>
  <si>
    <t>MTPhpps_MT</t>
  </si>
  <si>
    <t>WThpRM9_MT</t>
  </si>
  <si>
    <t>WThpRM3_MT</t>
  </si>
  <si>
    <t>WTPhprp_MT</t>
  </si>
  <si>
    <t>WTPhpho_MT</t>
  </si>
  <si>
    <t>WThpCPR_MT</t>
  </si>
  <si>
    <t>WTPhpHO_MT</t>
  </si>
  <si>
    <t>180112L</t>
  </si>
  <si>
    <t>WTPhpSRTMT</t>
  </si>
  <si>
    <t>WTPhppu_MT</t>
  </si>
  <si>
    <t>WTPhpPJBMT</t>
  </si>
  <si>
    <t>WTPhpNR_MT</t>
  </si>
  <si>
    <t>WThppu3_MT</t>
  </si>
  <si>
    <t>WTPhpTR_MT</t>
  </si>
  <si>
    <t>WTPhpCMPMT</t>
  </si>
  <si>
    <t>WTPhpHY_MT</t>
  </si>
  <si>
    <t>WThpPTL_MT</t>
  </si>
  <si>
    <t>180507PRe</t>
  </si>
  <si>
    <t>180409PM</t>
  </si>
  <si>
    <t xml:space="preserve">180507T </t>
  </si>
  <si>
    <t>ค่าต่อคอเพิ่ม</t>
  </si>
  <si>
    <t>CEA-300Q</t>
  </si>
  <si>
    <t>ฐานปั๊ม</t>
  </si>
  <si>
    <t>180319MS</t>
  </si>
  <si>
    <t>180417TA</t>
  </si>
  <si>
    <t>180108BL</t>
  </si>
  <si>
    <t>180108Bl</t>
  </si>
  <si>
    <t>180319-1</t>
  </si>
  <si>
    <t>Rep-P</t>
  </si>
  <si>
    <t>180227G</t>
  </si>
  <si>
    <t>ต่อคอเพิ่ม</t>
  </si>
  <si>
    <t>SSA-2013Z</t>
  </si>
  <si>
    <t>SW-2536</t>
  </si>
  <si>
    <t>SWTG-2000</t>
  </si>
  <si>
    <t>SWO-2550</t>
  </si>
  <si>
    <t>SSS-536</t>
  </si>
  <si>
    <t>PS-15500</t>
  </si>
  <si>
    <t>SGT-1000</t>
  </si>
  <si>
    <t>PS-20W</t>
  </si>
  <si>
    <t>SA-130800Z</t>
  </si>
  <si>
    <t>C-25030-B</t>
  </si>
  <si>
    <t>SW-2015</t>
  </si>
  <si>
    <t>CP-10000A</t>
  </si>
  <si>
    <t>PU-20FB</t>
  </si>
  <si>
    <t>SSA-2544Z</t>
  </si>
  <si>
    <t>SSA-2019Z</t>
  </si>
  <si>
    <t>SSA-1605Z</t>
  </si>
  <si>
    <t>SSA-1607Z</t>
  </si>
  <si>
    <t>SC-731</t>
  </si>
  <si>
    <t>SWTG-1500</t>
  </si>
  <si>
    <t>WSA-2015Z</t>
  </si>
  <si>
    <t>UC-50000</t>
  </si>
  <si>
    <t>C-25050MBR</t>
  </si>
  <si>
    <t>SWTV-207C</t>
  </si>
  <si>
    <t>SS-373</t>
  </si>
  <si>
    <t>SW-2017</t>
  </si>
  <si>
    <t>SS-2023ZSF</t>
  </si>
  <si>
    <t>CHG-35Q</t>
  </si>
  <si>
    <t>FLOW-D</t>
  </si>
  <si>
    <t>PT-25FB</t>
  </si>
  <si>
    <t>PS-5460A</t>
  </si>
  <si>
    <t>PS-4450A</t>
  </si>
  <si>
    <t>HRU-50K</t>
  </si>
  <si>
    <t>PO-30FB</t>
  </si>
  <si>
    <t>บันไดปีนพร้อมห่วง</t>
  </si>
  <si>
    <t>PS-4450</t>
  </si>
  <si>
    <t>WSA-2021Z</t>
  </si>
  <si>
    <t>WSN-333</t>
  </si>
  <si>
    <t>PT-40FB</t>
  </si>
  <si>
    <t>PRACHA-PS-15-WO</t>
  </si>
  <si>
    <t>SSA-100Z</t>
  </si>
  <si>
    <t>SST-30</t>
  </si>
  <si>
    <t>PRACHA-PSP-15-A</t>
  </si>
  <si>
    <t>PRACHA-PA-1250-GT</t>
  </si>
  <si>
    <t>PO-12FB</t>
  </si>
  <si>
    <t>PSN-1250</t>
  </si>
  <si>
    <t>SGT-S30</t>
  </si>
  <si>
    <t>SSA-18800D3</t>
  </si>
  <si>
    <t>SGT-6000</t>
  </si>
  <si>
    <t>PS-6470AZ</t>
  </si>
  <si>
    <t>PS-6470</t>
  </si>
  <si>
    <t>SWO-2530</t>
  </si>
  <si>
    <t>SA-50800Z</t>
  </si>
  <si>
    <t>WSA-339</t>
  </si>
  <si>
    <t>WSA-3078Z</t>
  </si>
  <si>
    <t>PSL-2340</t>
  </si>
  <si>
    <t>SA100800D3</t>
  </si>
  <si>
    <t>Walk-Way</t>
  </si>
  <si>
    <t>งานเคลียร์บ่อสูบ-เดินท่อ</t>
  </si>
  <si>
    <t>Flow-D</t>
  </si>
  <si>
    <t>SS-517</t>
  </si>
  <si>
    <t>WSA-2540Z</t>
  </si>
  <si>
    <t>PRACHA-PS</t>
  </si>
  <si>
    <t>SWTG-1000</t>
  </si>
  <si>
    <t>SS-2025K</t>
  </si>
  <si>
    <t>SWTU-1500</t>
  </si>
  <si>
    <t>SSS-1900</t>
  </si>
  <si>
    <t>SSF-1900</t>
  </si>
  <si>
    <t>HEFA-20B</t>
  </si>
  <si>
    <t>HSF-10K</t>
  </si>
  <si>
    <t>SS-2015AZ</t>
  </si>
  <si>
    <t>SGT-5000</t>
  </si>
  <si>
    <t>SSA-2537ZR</t>
  </si>
  <si>
    <t>PU-50FB</t>
  </si>
  <si>
    <t>PU-18FB</t>
  </si>
  <si>
    <t>PSN-4450</t>
  </si>
  <si>
    <t>PRACHA-SP-10W</t>
  </si>
  <si>
    <t>SW-2522</t>
  </si>
  <si>
    <t>SS-339A</t>
  </si>
  <si>
    <t>SP-B90 F50-AS</t>
  </si>
  <si>
    <t>SP-B90 F10-AS</t>
  </si>
  <si>
    <t>WWC-AT 40 m3/day</t>
  </si>
  <si>
    <t>กันกระเพื่อม</t>
  </si>
  <si>
    <t>CP-18000A</t>
  </si>
  <si>
    <t>PS-2340A</t>
  </si>
  <si>
    <t>OASIS-80ZU</t>
  </si>
  <si>
    <t>SSA-2025Z</t>
  </si>
  <si>
    <t>SSA-2026Z</t>
  </si>
  <si>
    <t>SGT-3000</t>
  </si>
  <si>
    <t>PSP-35-A</t>
  </si>
  <si>
    <t>PSP-25-A</t>
  </si>
  <si>
    <t>PS-30W</t>
  </si>
  <si>
    <t>PS-3440</t>
  </si>
  <si>
    <t>BCM-25100E</t>
  </si>
  <si>
    <t>WWTG-2000</t>
  </si>
  <si>
    <t>SS-2020K</t>
  </si>
  <si>
    <t>WWTA-2500</t>
  </si>
  <si>
    <t>WS-2525</t>
  </si>
  <si>
    <t>WSA-2525Z</t>
  </si>
  <si>
    <t>WT-TAT-50F</t>
  </si>
  <si>
    <t>WT-TAT-70F</t>
  </si>
  <si>
    <t>SW-2032</t>
  </si>
  <si>
    <t>PS-20-WO</t>
  </si>
  <si>
    <t>SS-7121</t>
  </si>
  <si>
    <t>SS-363A</t>
  </si>
  <si>
    <t>SS-7105</t>
  </si>
  <si>
    <t>SW-2550</t>
  </si>
  <si>
    <t>WSN-317</t>
  </si>
  <si>
    <t>SA-70800Z</t>
  </si>
  <si>
    <t>OASIS-30Z</t>
  </si>
  <si>
    <t>CFSS-4000L</t>
  </si>
  <si>
    <t>CFSF-4000L</t>
  </si>
  <si>
    <t>ปรับปรุงระบบบำบัดน้ำเสียจุดห้องน้ำลูกค้า</t>
  </si>
  <si>
    <t>รจ.ชั่วคราวโคกมะตูม อ.นางรอง จ.บุรีรัมย์</t>
  </si>
  <si>
    <t>SA-140800Z</t>
  </si>
  <si>
    <t>SP-250B90</t>
  </si>
  <si>
    <t>แผ่นกันกระเพื่อม</t>
  </si>
  <si>
    <t>SWTA-5000</t>
  </si>
  <si>
    <t>PS-10500</t>
  </si>
  <si>
    <t>WT-TAT 60F</t>
  </si>
  <si>
    <t>PSN-3440</t>
  </si>
  <si>
    <t>PS-1250A</t>
  </si>
  <si>
    <t>SWTG-3000</t>
  </si>
  <si>
    <t>SWO-3560</t>
  </si>
  <si>
    <t>PSN-6470</t>
  </si>
  <si>
    <t>SP-F80A</t>
  </si>
  <si>
    <t>SSA-2010Z</t>
  </si>
  <si>
    <t>SS-775AZ</t>
  </si>
  <si>
    <t>SS-739A</t>
  </si>
  <si>
    <t>SS-763A</t>
  </si>
  <si>
    <t>SS-527AZ</t>
  </si>
  <si>
    <t>SS-315A</t>
  </si>
  <si>
    <t>SWO-2029</t>
  </si>
  <si>
    <t>SGT-S120</t>
  </si>
  <si>
    <t>CFRBSAT-12</t>
  </si>
  <si>
    <t>PSP-12-A</t>
  </si>
  <si>
    <t>HGSF-15K</t>
  </si>
  <si>
    <t>SA-70720Z</t>
  </si>
  <si>
    <t>SWO-3060</t>
  </si>
  <si>
    <t>SSA-2540Z</t>
  </si>
  <si>
    <t>PSN-1400</t>
  </si>
  <si>
    <t>SGT-S30N</t>
  </si>
  <si>
    <t>SC-336A</t>
  </si>
  <si>
    <t>WT-LTAT65F</t>
  </si>
  <si>
    <t>SA-90D3MBR27</t>
  </si>
  <si>
    <t>SWO-35UV</t>
  </si>
  <si>
    <t>SS-551AZ</t>
  </si>
  <si>
    <t>WT-TUT100Q</t>
  </si>
  <si>
    <t>PRACHA-12A</t>
  </si>
  <si>
    <t>PrACHA-18A</t>
  </si>
  <si>
    <t>PRACHA-1600</t>
  </si>
  <si>
    <t>PU-2500FB</t>
  </si>
  <si>
    <t>PO-4000FB</t>
  </si>
  <si>
    <t>CFS-4000L</t>
  </si>
  <si>
    <t>Due Date</t>
  </si>
  <si>
    <t>พี่ต๋องไปรับเช็ค 17/10/18</t>
  </si>
  <si>
    <t>ใบส่งของ</t>
  </si>
  <si>
    <t>วันที่</t>
  </si>
  <si>
    <t>จ่าย</t>
  </si>
  <si>
    <t>ไม่ครบ</t>
  </si>
  <si>
    <t>x</t>
  </si>
  <si>
    <t>อ.ศรีราชา 10-17 จ.ชลบุรี</t>
  </si>
  <si>
    <t>ยังไม่จ่าย</t>
  </si>
  <si>
    <t>remark</t>
  </si>
  <si>
    <t>วางบิลแล้ว</t>
  </si>
  <si>
    <t>HFF-9A</t>
  </si>
  <si>
    <t>WT-TPT 20Q</t>
  </si>
  <si>
    <t>PRACHA-SP-6-AS</t>
  </si>
  <si>
    <t>SS-797</t>
  </si>
  <si>
    <t>SSFA-2015Z</t>
  </si>
  <si>
    <t>PS-5460</t>
  </si>
  <si>
    <t>SW-165</t>
  </si>
  <si>
    <t>SSA-25800Z</t>
  </si>
  <si>
    <t>SGT-7000</t>
  </si>
  <si>
    <t>SWTU-2500</t>
  </si>
  <si>
    <t>PS-6470GT</t>
  </si>
  <si>
    <t>CFRBSAT-14Q</t>
  </si>
  <si>
    <t>WWTV-2010</t>
  </si>
  <si>
    <t>HAS-25B</t>
  </si>
  <si>
    <t>HRU</t>
  </si>
  <si>
    <t>PO-20FB</t>
  </si>
  <si>
    <t>PS-2340</t>
  </si>
  <si>
    <t>PT-23(S)1</t>
  </si>
  <si>
    <t>PT-23(S)1 (แผ่นกั้น)</t>
  </si>
  <si>
    <t>OC-15000</t>
  </si>
  <si>
    <t>บันไดพร้อมราวกันตก</t>
  </si>
  <si>
    <t>PS-15500A</t>
  </si>
  <si>
    <t>SW-2026</t>
  </si>
  <si>
    <t>HFF-250J</t>
  </si>
  <si>
    <t>CFCF-2000</t>
  </si>
  <si>
    <t>PRACHA-4Q</t>
  </si>
  <si>
    <t>GPSP-F3-A</t>
  </si>
  <si>
    <t>PS-8</t>
  </si>
  <si>
    <t>RV61030029</t>
  </si>
  <si>
    <t>RV61030028</t>
  </si>
  <si>
    <t>RV61030026</t>
  </si>
  <si>
    <t>RV61030025</t>
  </si>
  <si>
    <t>RV61030023</t>
  </si>
  <si>
    <t>RV61030022</t>
  </si>
  <si>
    <t>RV61030021</t>
  </si>
  <si>
    <t>RV61030019</t>
  </si>
  <si>
    <t>RV61030017</t>
  </si>
  <si>
    <t>RV61030015</t>
  </si>
  <si>
    <t>RV61030013</t>
  </si>
  <si>
    <t>RV610312.3</t>
  </si>
  <si>
    <t>RV610312.2</t>
  </si>
  <si>
    <t>RV61030012</t>
  </si>
  <si>
    <t>RV61030011</t>
  </si>
  <si>
    <t>RV61030010</t>
  </si>
  <si>
    <t>RV61030009</t>
  </si>
  <si>
    <t>RV61030008</t>
  </si>
  <si>
    <t>RV61030007</t>
  </si>
  <si>
    <t>RV61030006</t>
  </si>
  <si>
    <t>RV61030002</t>
  </si>
  <si>
    <t>RV61030001</t>
  </si>
  <si>
    <t>RV61020028</t>
  </si>
  <si>
    <t>RV61020026</t>
  </si>
  <si>
    <t>RV61020025</t>
  </si>
  <si>
    <t>RV61020020</t>
  </si>
  <si>
    <t>RV61020017</t>
  </si>
  <si>
    <t>RV61020015</t>
  </si>
  <si>
    <t>RV61020012</t>
  </si>
  <si>
    <t>RV61020009</t>
  </si>
  <si>
    <t>RV610208.1</t>
  </si>
  <si>
    <t>RV61020008</t>
  </si>
  <si>
    <t>RV61020007</t>
  </si>
  <si>
    <t>RV61020006</t>
  </si>
  <si>
    <t>RV61020005</t>
  </si>
  <si>
    <t>RV61020001</t>
  </si>
  <si>
    <t>RV61010025</t>
  </si>
  <si>
    <t>RV61010015</t>
  </si>
  <si>
    <t>RV61010013</t>
  </si>
  <si>
    <t>RV61010011</t>
  </si>
  <si>
    <t>RV61010004</t>
  </si>
  <si>
    <t>RV61060021</t>
  </si>
  <si>
    <t>RV61060020</t>
  </si>
  <si>
    <t>RV61060019</t>
  </si>
  <si>
    <t>RV61060018 [down pay 30%]</t>
  </si>
  <si>
    <t>RV61060017</t>
  </si>
  <si>
    <t>RV61060016 [หักdown pay 20%]</t>
  </si>
  <si>
    <t>RV61060015</t>
  </si>
  <si>
    <t>RV61060013</t>
  </si>
  <si>
    <t>RV61060012 [down pay 20%]</t>
  </si>
  <si>
    <t>RV61060011</t>
  </si>
  <si>
    <t>RV61060010</t>
  </si>
  <si>
    <t>RV61060009</t>
  </si>
  <si>
    <t>บจก. เอส.ดี. วุฒิชัย วิศวกรรม</t>
  </si>
  <si>
    <t>ถังบำบัดน้ำเสีย จ.สมุทรปราการ</t>
  </si>
  <si>
    <t>บจก. แอตแลนต้า แมดดิแคร์</t>
  </si>
  <si>
    <t>น้ำเสียจากห้อง Lab</t>
  </si>
  <si>
    <t>180713GR</t>
  </si>
  <si>
    <t>RV61060008</t>
  </si>
  <si>
    <t>RV61060008 [down pay 30%]</t>
  </si>
  <si>
    <t>RV61060007</t>
  </si>
  <si>
    <t>RV610606.5</t>
  </si>
  <si>
    <t>RV610606.4</t>
  </si>
  <si>
    <t>180108L</t>
  </si>
  <si>
    <t>180108L-1</t>
  </si>
  <si>
    <t>RV610606.3</t>
  </si>
  <si>
    <t>RV610606.1</t>
  </si>
  <si>
    <t>RV61060004</t>
  </si>
  <si>
    <t>RV61060003</t>
  </si>
  <si>
    <t>RV61060002</t>
  </si>
  <si>
    <t>RV61060001</t>
  </si>
  <si>
    <t>RV61050021</t>
  </si>
  <si>
    <t>RV61050020 [down pay 30%]</t>
  </si>
  <si>
    <t>RV61050020</t>
  </si>
  <si>
    <t>RV61050018</t>
  </si>
  <si>
    <t>RV61050015</t>
  </si>
  <si>
    <t>RV61050014</t>
  </si>
  <si>
    <t>RV61050013</t>
  </si>
  <si>
    <t>RV61050012 [down pay 30%]</t>
  </si>
  <si>
    <t>RV61050011 [หัก down pay 30%]</t>
  </si>
  <si>
    <t>RV61050011 [down pay 30%]</t>
  </si>
  <si>
    <t>RV61050010</t>
  </si>
  <si>
    <t>RV6105008</t>
  </si>
  <si>
    <t>RV61050008</t>
  </si>
  <si>
    <t>RV61050007</t>
  </si>
  <si>
    <t>RV61050006</t>
  </si>
  <si>
    <t>RV61050005</t>
  </si>
  <si>
    <t>RV61050004</t>
  </si>
  <si>
    <t>RV61050003 [down pay 30%]</t>
  </si>
  <si>
    <t>RV61050003 [หัก down pay 30%]</t>
  </si>
  <si>
    <t>RV61050002</t>
  </si>
  <si>
    <t>RV61050001</t>
  </si>
  <si>
    <t>RV61040030</t>
  </si>
  <si>
    <t>RV61040029</t>
  </si>
  <si>
    <t>RV61040027 [หัก down pay 30%]</t>
  </si>
  <si>
    <t>RV61040026</t>
  </si>
  <si>
    <t>RV61040025 [down pay 30%]</t>
  </si>
  <si>
    <t>RV61040024</t>
  </si>
  <si>
    <t>RV61040023 [หัก down pay 30%]</t>
  </si>
  <si>
    <t>RV61040022 [หัก down pay 30%]</t>
  </si>
  <si>
    <t>RV61040020</t>
  </si>
  <si>
    <t>RV61040019</t>
  </si>
  <si>
    <t>RV61040018</t>
  </si>
  <si>
    <t>RV610417.2</t>
  </si>
  <si>
    <t>RV610417.1</t>
  </si>
  <si>
    <t>RV61040017</t>
  </si>
  <si>
    <t>RV61040016 [down pay 30%]</t>
  </si>
  <si>
    <t>RV61040014</t>
  </si>
  <si>
    <t>RV61040013</t>
  </si>
  <si>
    <t>BU36L</t>
  </si>
  <si>
    <t>RV61040011</t>
  </si>
  <si>
    <t>RV61040010</t>
  </si>
  <si>
    <t>RV61040009</t>
  </si>
  <si>
    <t>RV61040008</t>
  </si>
  <si>
    <t>RV61040007</t>
  </si>
  <si>
    <t>RV61040005</t>
  </si>
  <si>
    <t>RV61040004</t>
  </si>
  <si>
    <t>RV61040003</t>
  </si>
  <si>
    <t>RV61040002</t>
  </si>
  <si>
    <t>RV61040001</t>
  </si>
  <si>
    <t>งวด3</t>
  </si>
  <si>
    <t>18100413-1</t>
  </si>
  <si>
    <t>18100413-2</t>
  </si>
  <si>
    <t>งวด1</t>
  </si>
  <si>
    <t>RV61090035</t>
  </si>
  <si>
    <t>RV61090034</t>
  </si>
  <si>
    <t>RV61090033</t>
  </si>
  <si>
    <t>RV61090032</t>
  </si>
  <si>
    <t>RV61090030</t>
  </si>
  <si>
    <t>RV61090029</t>
  </si>
  <si>
    <t>RV61090028</t>
  </si>
  <si>
    <t>RV610900027</t>
  </si>
  <si>
    <t>RV61090026</t>
  </si>
  <si>
    <t>RV61090024 [จ่าย 95%]</t>
  </si>
  <si>
    <t>RV61090023</t>
  </si>
  <si>
    <t>RV61090022 [หัก down pay 30%]</t>
  </si>
  <si>
    <t>RV61090020</t>
  </si>
  <si>
    <t>RV61090021 [down pay 30%]</t>
  </si>
  <si>
    <t>RV61090018</t>
  </si>
  <si>
    <t>RV61090017 [down pay 30%]</t>
  </si>
  <si>
    <t>RV61090016</t>
  </si>
  <si>
    <t>RV61090015</t>
  </si>
  <si>
    <t>RV61090014</t>
  </si>
  <si>
    <t>RV61090013</t>
  </si>
  <si>
    <t>RV61090012</t>
  </si>
  <si>
    <t>RV61090012 [หัก down pay 30%]</t>
  </si>
  <si>
    <t>RV61090012 [down pay 30%]</t>
  </si>
  <si>
    <t>RV61090011</t>
  </si>
  <si>
    <t>RV61090010</t>
  </si>
  <si>
    <t>RV61090008</t>
  </si>
  <si>
    <t>RV61090006</t>
  </si>
  <si>
    <t>RV610905.1</t>
  </si>
  <si>
    <t>RV61090005</t>
  </si>
  <si>
    <t>RV61090002 [จ่าย 90%]</t>
  </si>
  <si>
    <t>RV61090001</t>
  </si>
  <si>
    <t>RV61080025</t>
  </si>
  <si>
    <t>RV61080024</t>
  </si>
  <si>
    <t>RV61080022</t>
  </si>
  <si>
    <t>RV61080021</t>
  </si>
  <si>
    <t>RV61080020</t>
  </si>
  <si>
    <t>RV61080019</t>
  </si>
  <si>
    <t>RV61080018</t>
  </si>
  <si>
    <t>RV61080017</t>
  </si>
  <si>
    <t>RV61080016</t>
  </si>
  <si>
    <t>RV61080015</t>
  </si>
  <si>
    <t>RV61080014</t>
  </si>
  <si>
    <t>RV61080013 [หัก down pay 30%]</t>
  </si>
  <si>
    <t>RV51080012</t>
  </si>
  <si>
    <t>RV61080010</t>
  </si>
  <si>
    <t>RV61080009 [down pay 30%]</t>
  </si>
  <si>
    <t>RV61080008</t>
  </si>
  <si>
    <t>RV61080007</t>
  </si>
  <si>
    <t>RV61080006</t>
  </si>
  <si>
    <t>RV610805.2</t>
  </si>
  <si>
    <t>RV610805.1</t>
  </si>
  <si>
    <t>RV61080005</t>
  </si>
  <si>
    <t>RV61080004</t>
  </si>
  <si>
    <t>RV61080003 [หัก down pay 30%]</t>
  </si>
  <si>
    <t>RV61080001</t>
  </si>
  <si>
    <t>RV61070024 [จ่าย 60%]</t>
  </si>
  <si>
    <t>RV61070022</t>
  </si>
  <si>
    <t>RV61070021</t>
  </si>
  <si>
    <t>RV61070020</t>
  </si>
  <si>
    <t>RV61070019</t>
  </si>
  <si>
    <t>RV61070018 [ชำระบางส่วน]</t>
  </si>
  <si>
    <t>RV61070017</t>
  </si>
  <si>
    <t>RV61070016</t>
  </si>
  <si>
    <t>RV61070015</t>
  </si>
  <si>
    <t>RV61070014</t>
  </si>
  <si>
    <t>RV61070013</t>
  </si>
  <si>
    <t>RV61070012</t>
  </si>
  <si>
    <t>RV61070011 [จ่าย 70%]</t>
  </si>
  <si>
    <t>RV61070011</t>
  </si>
  <si>
    <t>RV61070010 [ชำระบางส่วน]</t>
  </si>
  <si>
    <t>RV61070009</t>
  </si>
  <si>
    <t>RV61070008</t>
  </si>
  <si>
    <t>RV61070007</t>
  </si>
  <si>
    <t>RV61070006</t>
  </si>
  <si>
    <t>RV61070005</t>
  </si>
  <si>
    <t>RV51070005</t>
  </si>
  <si>
    <t>RV61070004 [down pay 30%]</t>
  </si>
  <si>
    <t>RV61070004 [หัก down pay 30%]</t>
  </si>
  <si>
    <t>RV61070004</t>
  </si>
  <si>
    <t>RV61070003</t>
  </si>
  <si>
    <t>RV61070002</t>
  </si>
  <si>
    <t>RV61070001</t>
  </si>
  <si>
    <t>NO VAT</t>
  </si>
  <si>
    <t>ปั๊ม PTT LNG มาบตาพุต</t>
  </si>
  <si>
    <t>อาคารพักสัญญาบัตร SOQ อู่ราชนาวี</t>
  </si>
  <si>
    <t>อาคารพักสัญญาบัตร 80 ครอบครัว อู่ราชนาวี</t>
  </si>
  <si>
    <t>อาคารพักประทวน 64 ครอบครัว 2 หลัง อู่ราชนาวี</t>
  </si>
  <si>
    <t>SCN-2</t>
  </si>
  <si>
    <t>โรงเก็บอากาศยาน สนามบินอู่ตะเภา</t>
  </si>
  <si>
    <t>บจก. กู๊ด แทงค์ เทรดดิ้ง</t>
  </si>
  <si>
    <t>อาคารสำนักงาน สภ.แสวงหา</t>
  </si>
  <si>
    <t>บจก. ฟอร์ คอน</t>
  </si>
  <si>
    <t>งานวิเคราะห์น้ำทิ้งจากอาคาร</t>
  </si>
  <si>
    <t>ถังบำบัดน้ำเสีย HFF-75A</t>
  </si>
  <si>
    <t>เรวัติ</t>
  </si>
  <si>
    <t>บจก. เมกา โฮม เซ็นเตอร์ (สาขานครราชสีมา)</t>
  </si>
  <si>
    <t>บจก. เมกา โฮม เซ็นเตอร์ (สาขาหนองคาย)</t>
  </si>
  <si>
    <t>บจก. โกลเดน ไลน์ คอนสตรัคชั่น</t>
  </si>
  <si>
    <t>อาคารที่ทำการ สภ.แสนภูดาษ จ.ฉะเชิงเทรา</t>
  </si>
  <si>
    <t>PPS-15500</t>
  </si>
  <si>
    <t>PSS-725</t>
  </si>
  <si>
    <t>บจก. ณษา</t>
  </si>
  <si>
    <t>งานเก็บและวิเคราะห์น้ำทิ้ง Lotus ราชบุรี</t>
  </si>
  <si>
    <t>180807AW</t>
  </si>
  <si>
    <t>Transfer fee (Grand Park Hotel Project)</t>
  </si>
  <si>
    <t>Tailor-MS</t>
  </si>
  <si>
    <t>ถังบำบัดน้ำเสีย WSA-375</t>
  </si>
  <si>
    <t>WSA-375</t>
  </si>
  <si>
    <t>ถังบำบัด อ.บุคลากร ม.พะเยา</t>
  </si>
  <si>
    <t>CK-25020-B</t>
  </si>
  <si>
    <t>181018AW</t>
  </si>
  <si>
    <t>HFF-75A</t>
  </si>
  <si>
    <t>MHNMPM18</t>
  </si>
  <si>
    <t>MHNKPM18</t>
  </si>
  <si>
    <t>รับ PDC 6/11/18</t>
  </si>
  <si>
    <t>TRT-20K</t>
  </si>
  <si>
    <t>FS-1600</t>
  </si>
  <si>
    <t>18110981R1</t>
  </si>
  <si>
    <t>หจก. แสวงฟ้าก่อสร้าง</t>
  </si>
  <si>
    <t>ก่อสร้างที่พักอาศัย 10 ครอบครัว จ.สุรินทร์</t>
  </si>
  <si>
    <t>สุนันท์ เชาว์สุวรรณวิไล</t>
  </si>
  <si>
    <t>People Park อ่อนนุช (Flex 8")</t>
  </si>
  <si>
    <t>F-8</t>
  </si>
  <si>
    <t>หจก. ดับบลิว แอนด์ ดีดี คอนสตรัคชั่น</t>
  </si>
  <si>
    <t>ถังเก็บน้ำดาดฟ้าแฟลตทางหลวง จ.ชลบุรี</t>
  </si>
  <si>
    <t>SWTV-209</t>
  </si>
  <si>
    <t>งานสั่งซื้อเครื่องเติมอากาศ</t>
  </si>
  <si>
    <t>180920LA</t>
  </si>
  <si>
    <t>แฟลต 5 ชั้น บางเขน</t>
  </si>
  <si>
    <t>บจก. ศรีรัตนการช่าง</t>
  </si>
  <si>
    <t>ปรับปรุงร้านอาหารโรงไฟฟ้าวังน้อย</t>
  </si>
  <si>
    <t>SGT-S60</t>
  </si>
  <si>
    <t>SS-787A</t>
  </si>
  <si>
    <t>SKA-5.6Z</t>
  </si>
  <si>
    <t>บจก. เซีย คอนสตรั๊คชั่น แอนด์ แมเนจเมนท์</t>
  </si>
  <si>
    <t>กลุ่มบ้านพักคุณอัญชลิน ถ.รามอินทรา ซ.14</t>
  </si>
  <si>
    <t>PS-7500</t>
  </si>
  <si>
    <t>Homepro สาขาพัทยาเหนือ</t>
  </si>
  <si>
    <t>180731MS</t>
  </si>
  <si>
    <t>RV61110005</t>
  </si>
  <si>
    <t>RV611104.1</t>
  </si>
  <si>
    <t>RV61110004</t>
  </si>
  <si>
    <t>RV61110003</t>
  </si>
  <si>
    <t>RV61110002</t>
  </si>
  <si>
    <t>RV61100022 [down pay30%]</t>
  </si>
  <si>
    <t>RV61100022 [หักdown pay30%]</t>
  </si>
  <si>
    <t>RV61100021</t>
  </si>
  <si>
    <t>RV61100019</t>
  </si>
  <si>
    <t>RV61100018</t>
  </si>
  <si>
    <t>RV61100017</t>
  </si>
  <si>
    <t>RV61100016</t>
  </si>
  <si>
    <t>18110419-4</t>
  </si>
  <si>
    <t>RV61100015</t>
  </si>
  <si>
    <t>RV61100014</t>
  </si>
  <si>
    <t>บจก. อินดี้เฮ้าส์ดีไซน์แอนด์คอนสตรัคชั่น</t>
  </si>
  <si>
    <t>ก่อสร้างสถานบริการปั๊มน้ำมัน</t>
  </si>
  <si>
    <t>RV61110011</t>
  </si>
  <si>
    <t xml:space="preserve">RV61110010 down pay 30% </t>
  </si>
  <si>
    <t xml:space="preserve">RV61110008 down pay 30% </t>
  </si>
  <si>
    <t>RV61100013</t>
  </si>
  <si>
    <t>RV61100012</t>
  </si>
  <si>
    <t>RV61100011</t>
  </si>
  <si>
    <t>RV61100010</t>
  </si>
  <si>
    <t>RV61100009</t>
  </si>
  <si>
    <t>RV61100008</t>
  </si>
  <si>
    <t>RV6110006</t>
  </si>
  <si>
    <t>RV6110005</t>
  </si>
  <si>
    <t>RV6110004</t>
  </si>
  <si>
    <t>RV6110003</t>
  </si>
  <si>
    <t>RV6110002</t>
  </si>
  <si>
    <t>ประมวล ไชยะ</t>
  </si>
  <si>
    <t>จักรพงษ์</t>
  </si>
  <si>
    <t>พ.ต.อ.กอปร เปรมฤทัย</t>
  </si>
  <si>
    <t>CK25040-B</t>
  </si>
  <si>
    <t>บจก. เฮ้าส์ แอนด์ สเปซ</t>
  </si>
  <si>
    <t>โรงแรมหลังตลาดจันทร์เจริญ สมุทรปราการ</t>
  </si>
  <si>
    <t>ปตท.กับบ้านพักอาศัย 2 ชั้น P77R</t>
  </si>
  <si>
    <t>SC-521A</t>
  </si>
  <si>
    <t>ธนพล อัญฤๅชัย</t>
  </si>
  <si>
    <t>X</t>
  </si>
  <si>
    <t>งวด2</t>
  </si>
  <si>
    <t>อาคารสำนักงาน สภ.แสวงหา (ค่าขนส่ง)</t>
  </si>
  <si>
    <t>โรงเรียนบ้านหนองเขิน (อินทรวิชัยบำรุง)</t>
  </si>
  <si>
    <t>อุปกรณ์ประกอบถังบำบัดน้ำเสีย</t>
  </si>
  <si>
    <t>อุปกรณ์</t>
  </si>
  <si>
    <t>บมจ. โฮม โปรดักส์ เซ็นเตอร์ (สาขาพิษณุโลก)</t>
  </si>
  <si>
    <t>สั่งซื้อ AirBlower</t>
  </si>
  <si>
    <t>สถานบริการปั๊มน้ำมัน</t>
  </si>
  <si>
    <t>180723NA</t>
  </si>
  <si>
    <t>MHMRPM1811</t>
  </si>
  <si>
    <t>SW-2011</t>
  </si>
  <si>
    <t>สำนักงานขายคอนโดรามคำแหง</t>
  </si>
  <si>
    <t>รร.สมุทรปราการ</t>
  </si>
  <si>
    <t>PS-10-T</t>
  </si>
  <si>
    <t>PS-10-TFF</t>
  </si>
  <si>
    <t>บจก. วิบูลธรรม</t>
  </si>
  <si>
    <t>โคราช 23</t>
  </si>
  <si>
    <t>บจก. เวิลด์ เดสคอน</t>
  </si>
  <si>
    <t>อาคารที่ทำการ สภ.ปทุมวัน</t>
  </si>
  <si>
    <t>PPS-8500</t>
  </si>
  <si>
    <t>PSS-7160A</t>
  </si>
  <si>
    <t>บจก. เพิ่มพูลทรัพย์ดีเวลลอปเม้นท์แอนด์คอนสตรัคชั่น</t>
  </si>
  <si>
    <t>กสอ. โรงเรียนบ้านหนองซ้ำซาก อ.บ้านบึง</t>
  </si>
  <si>
    <t>ถังน้ำอาคารคลังสินค้า&amp;สำนักงานและที่พัก2</t>
  </si>
  <si>
    <t>SWO-2525</t>
  </si>
  <si>
    <t>บจก. เอ็นเค.เอ็นจิเนียริ่ง แอนด์ โปรเจ็คท์</t>
  </si>
  <si>
    <t>ถังน้ำอาคารคลังสินค้า&amp;สำนักงานและที่พัก</t>
  </si>
  <si>
    <t>People Park อ่อนนุช ถ.สุขุมวิท 77</t>
  </si>
  <si>
    <t>หจก. ควนมะพร้าวการก่อสร้าง</t>
  </si>
  <si>
    <t>ถังบำบัดน้ำเสียขนาด 9500 ลิตร</t>
  </si>
  <si>
    <t>พต.อ.ณัฐเดช พงศ์วรินทร์</t>
  </si>
  <si>
    <t>เชนทร์ ทรงแก้ว</t>
  </si>
  <si>
    <t>งานปรับปรุงระบบบำบัดจุดห้องน้ำ พนง.</t>
  </si>
  <si>
    <t>180731RP</t>
  </si>
  <si>
    <t>บจก. เมกา โฮม เซ็นเตอร์ (สาขาแม่สอด)</t>
  </si>
  <si>
    <t>MHMSPM18</t>
  </si>
  <si>
    <t>HomePro สาขาพระราม 3 สั่งซื้อปั๊มบ่อสูบ</t>
  </si>
  <si>
    <t>181005MP</t>
  </si>
  <si>
    <t>รับโอน 26-11-18</t>
  </si>
  <si>
    <t>สวนอุตสาหกรรมมังกรทอง (B1-B7)</t>
  </si>
  <si>
    <t>SSA-2030K</t>
  </si>
  <si>
    <t>18110998R1</t>
  </si>
  <si>
    <t>อาคารที่ทำการ สภ.หนองน้อย จ.ชัยนาท</t>
  </si>
  <si>
    <t>PPS-4450</t>
  </si>
  <si>
    <t>PPS-6470</t>
  </si>
  <si>
    <t>อ.บางปะกง 3</t>
  </si>
  <si>
    <t>PT-10FB</t>
  </si>
  <si>
    <t>แฟลต 5 ชั้น 30 ครอบครัว สภ.แม่แจ่ม จ.เชียงใหม่</t>
  </si>
  <si>
    <t>ธีรยุทธ</t>
  </si>
  <si>
    <t>RV61120003 [PDC 23-12-18]</t>
  </si>
  <si>
    <t>RV61120002 [PDC 12-12-18]</t>
  </si>
  <si>
    <t>RV61120001 [PDC 9-12-18]</t>
  </si>
  <si>
    <t>RV61110032</t>
  </si>
  <si>
    <t>RV61110031</t>
  </si>
  <si>
    <t>RV61110030</t>
  </si>
  <si>
    <t>RV61110028</t>
  </si>
  <si>
    <t>RV61110027</t>
  </si>
  <si>
    <t>RV61110026</t>
  </si>
  <si>
    <t>RV61110025</t>
  </si>
  <si>
    <t>RV61110024</t>
  </si>
  <si>
    <t>RV61110023</t>
  </si>
  <si>
    <t>RV61110022 down pay30%</t>
  </si>
  <si>
    <t>RV61110022 หัก down pay30%</t>
  </si>
  <si>
    <t>RV61110021</t>
  </si>
  <si>
    <t>RV61110020 หัก down pay30%</t>
  </si>
  <si>
    <t>RV61110019</t>
  </si>
  <si>
    <t>RV61110017</t>
  </si>
  <si>
    <t>RV61110016</t>
  </si>
  <si>
    <t>RV61110015</t>
  </si>
  <si>
    <t>RV61110014</t>
  </si>
  <si>
    <t>RV61110013</t>
  </si>
  <si>
    <t>RV61110012 down pay30%</t>
  </si>
  <si>
    <t>บางนา กทม.</t>
  </si>
  <si>
    <t>PT-20FB</t>
  </si>
  <si>
    <t>วัดป่าเจริญราช</t>
  </si>
  <si>
    <t>ห้องน้ำวัดป่าเจริญราช</t>
  </si>
  <si>
    <t>Ps-10500A</t>
  </si>
  <si>
    <t>PEBBA</t>
  </si>
  <si>
    <t>TSQ0801GC2</t>
  </si>
  <si>
    <t>รับเช็ค 30-11-18</t>
  </si>
  <si>
    <t>ประเทือง</t>
  </si>
  <si>
    <t>Mega Home สาขารังสิต</t>
  </si>
  <si>
    <t>181127RP</t>
  </si>
  <si>
    <t>181127W</t>
  </si>
  <si>
    <t>180803RM</t>
  </si>
  <si>
    <t>รถหกล้อ กทม-ชลบุรี</t>
  </si>
  <si>
    <t>เทเลอร์ กทม-ชลบุรี</t>
  </si>
  <si>
    <t>ทัณฑสถานบำบัดพิเศษหญิงธัญบุรี</t>
  </si>
  <si>
    <t>STAR Grease Trap Tank</t>
  </si>
  <si>
    <t>SGT-8000</t>
  </si>
  <si>
    <t>อาคารซักฟอก รพ.มาบอำมฤต จ.ชุมพร</t>
  </si>
  <si>
    <t>CFSAT-5000L</t>
  </si>
  <si>
    <t>CFSAT-3000L</t>
  </si>
  <si>
    <t>รับเงิน 19-12-18</t>
  </si>
  <si>
    <t>RV61120018 [PDC 26-1-19]</t>
  </si>
  <si>
    <t>RV61120017</t>
  </si>
  <si>
    <t>RV61120016</t>
  </si>
  <si>
    <t>RV61120015</t>
  </si>
  <si>
    <t>RV61120014</t>
  </si>
  <si>
    <t>RV61120013</t>
  </si>
  <si>
    <t>RV61120012</t>
  </si>
  <si>
    <t>RV61120011</t>
  </si>
  <si>
    <t>RV61120010 งวดที่1</t>
  </si>
  <si>
    <t>RV61120005</t>
  </si>
  <si>
    <t>นาวาโทสมศักดิ์ อุนานุยา</t>
  </si>
  <si>
    <t>นิติบุคคลอาคารชุด ชาญอิสสระทาวเวอร์ II</t>
  </si>
  <si>
    <t>ปรับปรุงระบบบำบัดน้ำเสียอาคารชาญอิสสระ 2</t>
  </si>
  <si>
    <t>Charn2-rnv</t>
  </si>
  <si>
    <t>บจก. โคพลา (ประเทศไทย)</t>
  </si>
  <si>
    <t>ก่อสร้างอาคารคณะวิศวกรรม ม.ปทุมธานี</t>
  </si>
  <si>
    <t>PS-10500A</t>
  </si>
  <si>
    <t>HomePro จันทบุรี สั่งซื้อเครื่องเติมอากาศ</t>
  </si>
  <si>
    <t>180731LA</t>
  </si>
  <si>
    <t>180731W</t>
  </si>
  <si>
    <t>LONG MELLOW</t>
  </si>
  <si>
    <t>TSQ0703GA3</t>
  </si>
  <si>
    <t>ธานินทร์ ศรีสุกรี</t>
  </si>
  <si>
    <t>/62</t>
  </si>
  <si>
    <t>62/</t>
  </si>
  <si>
    <t>TRU-50 KS</t>
  </si>
  <si>
    <t>เจ.ซี.เค</t>
  </si>
  <si>
    <t>โรงเรียนธารทิพย์</t>
  </si>
  <si>
    <t>หมายเหตุ</t>
  </si>
  <si>
    <t>บริจาค</t>
  </si>
  <si>
    <t>โรงเรียนตระเวนชายแดน</t>
  </si>
  <si>
    <t>ทีอี แมค</t>
  </si>
  <si>
    <t>18100916R1</t>
  </si>
  <si>
    <t>หจก. อินชัยก่อสร้าง</t>
  </si>
  <si>
    <t>อ.ที่ทำการสถานีตำรวจสังขละบุรี กาญจนบุรี</t>
  </si>
  <si>
    <t>18080733R2</t>
  </si>
  <si>
    <t>หจก. ธนาสิทธ์พาณิชย์</t>
  </si>
  <si>
    <t>แฟลต 5 ชั้น ลาดพร้าว</t>
  </si>
  <si>
    <t>181130MT1</t>
  </si>
  <si>
    <t>181130MT2</t>
  </si>
  <si>
    <t>อ.พนมสารคาม จ.ฉะเชิงเทรา</t>
  </si>
  <si>
    <t>PT-15FB</t>
  </si>
  <si>
    <t>ค่าขนส่ง รจ.ชั่วคราวปงยางคก จ.ลำปาง</t>
  </si>
  <si>
    <t>รจ.ชั่วคราวปงยางคก จ.ลำปาง</t>
  </si>
  <si>
    <t>อนันต์ ภักดีสุขอนันต์</t>
  </si>
  <si>
    <t>19010011R1</t>
  </si>
  <si>
    <t>บจก. เฉลียวการช่างและค้าวัสดุก่อสร้าง</t>
  </si>
  <si>
    <t>แฟลต 5 ชั้น 30 ครอบครัว สภ.วังทองหลาง</t>
  </si>
  <si>
    <t>โคพลา</t>
  </si>
  <si>
    <t>ทรี สแควร์ สตูดิโอ</t>
  </si>
  <si>
    <t>เอ็ม เอ็ม จี 2012</t>
  </si>
  <si>
    <t>005</t>
  </si>
  <si>
    <t>002</t>
  </si>
  <si>
    <t>004</t>
  </si>
  <si>
    <t>001</t>
  </si>
  <si>
    <t>003</t>
  </si>
  <si>
    <t>006</t>
  </si>
  <si>
    <t>008</t>
  </si>
  <si>
    <t>010</t>
  </si>
  <si>
    <t>009</t>
  </si>
  <si>
    <t>012</t>
  </si>
  <si>
    <t>077</t>
  </si>
  <si>
    <t>007</t>
  </si>
  <si>
    <t>099</t>
  </si>
  <si>
    <t>098</t>
  </si>
  <si>
    <t>097</t>
  </si>
  <si>
    <t>096</t>
  </si>
  <si>
    <t>095</t>
  </si>
  <si>
    <t>094</t>
  </si>
  <si>
    <t>093</t>
  </si>
  <si>
    <t>092</t>
  </si>
  <si>
    <t>091</t>
  </si>
  <si>
    <t>090</t>
  </si>
  <si>
    <t>089</t>
  </si>
  <si>
    <t>088</t>
  </si>
  <si>
    <t>087</t>
  </si>
  <si>
    <t>086</t>
  </si>
  <si>
    <t>085</t>
  </si>
  <si>
    <t>084</t>
  </si>
  <si>
    <t>083</t>
  </si>
  <si>
    <t>082</t>
  </si>
  <si>
    <t>081</t>
  </si>
  <si>
    <t>080</t>
  </si>
  <si>
    <t>079</t>
  </si>
  <si>
    <t>078</t>
  </si>
  <si>
    <t>071</t>
  </si>
  <si>
    <t>070</t>
  </si>
  <si>
    <t>072</t>
  </si>
  <si>
    <t>073</t>
  </si>
  <si>
    <t>074</t>
  </si>
  <si>
    <t>075</t>
  </si>
  <si>
    <t>076</t>
  </si>
  <si>
    <t>069</t>
  </si>
  <si>
    <t>068</t>
  </si>
  <si>
    <t>067</t>
  </si>
  <si>
    <t>066</t>
  </si>
  <si>
    <t>065</t>
  </si>
  <si>
    <t>064</t>
  </si>
  <si>
    <t>063</t>
  </si>
  <si>
    <t>062</t>
  </si>
  <si>
    <t>061</t>
  </si>
  <si>
    <t>060</t>
  </si>
  <si>
    <t>059</t>
  </si>
  <si>
    <t>058</t>
  </si>
  <si>
    <t>057</t>
  </si>
  <si>
    <t>056</t>
  </si>
  <si>
    <t>055</t>
  </si>
  <si>
    <t>054</t>
  </si>
  <si>
    <t>053</t>
  </si>
  <si>
    <t>052</t>
  </si>
  <si>
    <t>051</t>
  </si>
  <si>
    <t>050</t>
  </si>
  <si>
    <t>049</t>
  </si>
  <si>
    <t>047</t>
  </si>
  <si>
    <t>048</t>
  </si>
  <si>
    <t>046</t>
  </si>
  <si>
    <t>045</t>
  </si>
  <si>
    <t>044</t>
  </si>
  <si>
    <t>043</t>
  </si>
  <si>
    <t>042</t>
  </si>
  <si>
    <t>033</t>
  </si>
  <si>
    <t>041</t>
  </si>
  <si>
    <t>039</t>
  </si>
  <si>
    <t>040</t>
  </si>
  <si>
    <t>036</t>
  </si>
  <si>
    <t>035</t>
  </si>
  <si>
    <t>034</t>
  </si>
  <si>
    <t>032</t>
  </si>
  <si>
    <t>031</t>
  </si>
  <si>
    <t>038</t>
  </si>
  <si>
    <t>037</t>
  </si>
  <si>
    <t>030</t>
  </si>
  <si>
    <t>029</t>
  </si>
  <si>
    <t>028</t>
  </si>
  <si>
    <t>027</t>
  </si>
  <si>
    <t>026</t>
  </si>
  <si>
    <t>025</t>
  </si>
  <si>
    <t>024</t>
  </si>
  <si>
    <t>023</t>
  </si>
  <si>
    <t>022</t>
  </si>
  <si>
    <t>021</t>
  </si>
  <si>
    <t>020</t>
  </si>
  <si>
    <t>018</t>
  </si>
  <si>
    <t>019</t>
  </si>
  <si>
    <t>016</t>
  </si>
  <si>
    <t>017</t>
  </si>
  <si>
    <t>015</t>
  </si>
  <si>
    <t>014</t>
  </si>
  <si>
    <t>013</t>
  </si>
  <si>
    <t>011</t>
  </si>
  <si>
    <t>สารคาม</t>
  </si>
  <si>
    <t>PS-10-WO</t>
  </si>
  <si>
    <t>เปรมดิ์ปรีชา</t>
  </si>
  <si>
    <t>289</t>
  </si>
  <si>
    <t>RV61120039</t>
  </si>
  <si>
    <t>RV61120037</t>
  </si>
  <si>
    <t>RV61120036 [down pay 20%]</t>
  </si>
  <si>
    <t>RV61120035</t>
  </si>
  <si>
    <t>เฮ้าส์ แอนด์ สเปซ</t>
  </si>
  <si>
    <t>ยังไม่ได้ตัวจริงจาก รง.</t>
  </si>
  <si>
    <t>ส่งจริง 15-1-19</t>
  </si>
  <si>
    <t>RV61120034</t>
  </si>
  <si>
    <t>RV61120033</t>
  </si>
  <si>
    <t>RV61120032</t>
  </si>
  <si>
    <t>RV61120031</t>
  </si>
  <si>
    <t>RV61120030</t>
  </si>
  <si>
    <t>RV61120029</t>
  </si>
  <si>
    <t>RV61120028</t>
  </si>
  <si>
    <t>RV61120027</t>
  </si>
  <si>
    <t>RV61120026</t>
  </si>
  <si>
    <t>RV61120025</t>
  </si>
  <si>
    <t>RV61120024</t>
  </si>
  <si>
    <t>RV61120023</t>
  </si>
  <si>
    <t>RV61120022</t>
  </si>
  <si>
    <t>RV61120021</t>
  </si>
  <si>
    <t>RV61120020</t>
  </si>
  <si>
    <t>RV61120019</t>
  </si>
  <si>
    <t>Q61/4</t>
  </si>
  <si>
    <t>Q61/3</t>
  </si>
  <si>
    <t>Q61/2</t>
  </si>
  <si>
    <t>Q61/1</t>
  </si>
  <si>
    <t>19010026R1</t>
  </si>
  <si>
    <t>บจก. เคเอสบีที เอ็นจิเนียริ่ง</t>
  </si>
  <si>
    <t>รพ.ราชทัณฑ์ คลองเปรม</t>
  </si>
  <si>
    <t>BUM-3604</t>
  </si>
  <si>
    <t>UV</t>
  </si>
  <si>
    <t>BUM-3606</t>
  </si>
  <si>
    <t>18080734R2</t>
  </si>
  <si>
    <t>แฟลต 5 ชั้น มีนบุรี 3 อาคาร</t>
  </si>
  <si>
    <t>งานน้ำทิ้ง</t>
  </si>
  <si>
    <t>ประชา สยามภัณฑ์</t>
  </si>
  <si>
    <t>อินชัยก่อสร้าง</t>
  </si>
  <si>
    <t>เวียงชัยคอนกรีต</t>
  </si>
  <si>
    <t>เฉลียวการช่าง</t>
  </si>
  <si>
    <t>ธนาสิทธิ์พาณิชย์</t>
  </si>
  <si>
    <t>อินดี้เฮ้าส์ดีไซน์</t>
  </si>
  <si>
    <t>พีโอ พร็อพเพอร์ตี้</t>
  </si>
  <si>
    <t>ฝาถัง ABS</t>
  </si>
  <si>
    <t>มีเดีย NO.102 (ใส่ถังแล้ว)</t>
  </si>
  <si>
    <t>SWTG-2500</t>
  </si>
  <si>
    <t>MELLOW สีแกรนิตดำ</t>
  </si>
  <si>
    <t>PEBBAS สีแกรนิตดำ</t>
  </si>
  <si>
    <t>Flex 6" พร้อมแหวนรัดท่อ</t>
  </si>
  <si>
    <t>สลิง</t>
  </si>
  <si>
    <t>มีเดีย PE 289 (ใส่ถังแล้ว)</t>
  </si>
  <si>
    <t>SC-100 (SC-521A)</t>
  </si>
  <si>
    <t>ฝาถัง (เหล็กหล่อ)</t>
  </si>
  <si>
    <t>Flex 4" พร้อมแหวนรัดท่อ</t>
  </si>
  <si>
    <t>มีเดีย NO.190 (ใส่ถังแล้ว)</t>
  </si>
  <si>
    <t>CK25040-B NO.1</t>
  </si>
  <si>
    <t>CK25040-B NO.3</t>
  </si>
  <si>
    <t>ฝาถัง (ABS)</t>
  </si>
  <si>
    <t>ฝาสี่เหลี่ยมไฟเบอร์</t>
  </si>
  <si>
    <t>ปั๊ม CRS-401T</t>
  </si>
  <si>
    <t>ลูกลอย (ใส่ถังแล้ว)</t>
  </si>
  <si>
    <t>ตู้ควบคุม</t>
  </si>
  <si>
    <t>ARC-65</t>
  </si>
  <si>
    <t>CK25040-B NO.2</t>
  </si>
  <si>
    <t>Ck25040-B NO.4</t>
  </si>
  <si>
    <t>มีเดีย NO.102</t>
  </si>
  <si>
    <t>OASIS โรงงานไก่ โคราช</t>
  </si>
  <si>
    <t>OASIS-50M</t>
  </si>
  <si>
    <t>อาคารพักประทวน 64 ครอบครัว (ค่าขนส่ง)</t>
  </si>
  <si>
    <t>ณัชฌาณ์ญฎา</t>
  </si>
  <si>
    <t>อาคารพักสัญญาบัตร 80 ครอบครัว (ค่าขนส่ง)</t>
  </si>
  <si>
    <t>อาคารพักสัญญาบัตร SOQ (ค่าขนส่ง)</t>
  </si>
  <si>
    <t>ถังเก็บน้ำ WWTO-1500</t>
  </si>
  <si>
    <t>WWTO-1500</t>
  </si>
  <si>
    <t>อาคารพักสัญญาบัตร SOQ</t>
  </si>
  <si>
    <t>18070603R1</t>
  </si>
  <si>
    <t>บจก. เอส.เค.จี.คอนสตรัคชั่น</t>
  </si>
  <si>
    <t>อาคารที่ทำการ ตร.คูคต</t>
  </si>
  <si>
    <t>PSS-7184A</t>
  </si>
  <si>
    <t>PPS-3440</t>
  </si>
  <si>
    <t>บมจ. โฮม โปรดักส์ เซ็นเตอร์ สาขาชลบุรี (อมตะ) สาขาที่ 00085</t>
  </si>
  <si>
    <t>Overhaul Pump</t>
  </si>
  <si>
    <t>181121RP</t>
  </si>
  <si>
    <t>Charn2rnvS</t>
  </si>
  <si>
    <t>บจก. โพไซดอนแอสโซซิเอทกรุ๊ป</t>
  </si>
  <si>
    <t>ก่อสร้างอาคารพักอาศัย</t>
  </si>
  <si>
    <t>*ยกเลิก SWTV-3500 = 8 ใบ</t>
  </si>
  <si>
    <t>ล้านเชียงโยธา</t>
  </si>
  <si>
    <t>Down Pay 20% [P'Piak ส่ง inv ให้ ล/ค แล้ว 23-1-19]</t>
  </si>
  <si>
    <t>สมุทรสาคร</t>
  </si>
  <si>
    <t>WT-TAT 120F #1</t>
  </si>
  <si>
    <t>WT-TAT 120F #2</t>
  </si>
  <si>
    <t>บจก. รัชดาแฟบริคเฮ้าท์แอนด์กรุ๊ป</t>
  </si>
  <si>
    <t>ปรับปรุงอาคาร ศพด.อร.</t>
  </si>
  <si>
    <t>คอมโพส</t>
  </si>
  <si>
    <t>เชียงใหม่เพิ่มพูนก่อสร้าง</t>
  </si>
  <si>
    <t>เอ็นเคเอ็นจิเนียริ่ง</t>
  </si>
  <si>
    <t>บจก. โฮม ดี เวลลอปเมนท์ กรุ๊ป</t>
  </si>
  <si>
    <t>The Treasure 2</t>
  </si>
  <si>
    <t>ค่าซ่อม</t>
  </si>
  <si>
    <t>ถังบำบัดน้ำเสีย WSA-351</t>
  </si>
  <si>
    <t>WSA-351</t>
  </si>
  <si>
    <t>บจก. ดีอีอีเอส</t>
  </si>
  <si>
    <t>ถังบำบัดน้ำเสีย Lotus DC วังน้อย</t>
  </si>
  <si>
    <t>SS-7100AZ</t>
  </si>
  <si>
    <t>19010008R2</t>
  </si>
  <si>
    <t>ปรับปรุงอาคารโรงแรมยะลาพาเลส</t>
  </si>
  <si>
    <t>SSA-2032Z</t>
  </si>
  <si>
    <t>บจก. สุวรรณวิศว์</t>
  </si>
  <si>
    <t>เดอะโซลรีสอร์ท (อาคาร 2 ชั้น)</t>
  </si>
  <si>
    <t>SC-776A</t>
  </si>
  <si>
    <t>LONG &amp; BABY MELLOW</t>
  </si>
  <si>
    <t>TSQ0701GA3</t>
  </si>
  <si>
    <t>TSQ0701GA2</t>
  </si>
  <si>
    <t>TSQ0701GA1</t>
  </si>
  <si>
    <t>อนุตร เปียงแก้ว</t>
  </si>
  <si>
    <t>= 1 ชุด</t>
  </si>
  <si>
    <t>1 ใบ</t>
  </si>
  <si>
    <t>5 ใบ</t>
  </si>
  <si>
    <t>10 ตัว</t>
  </si>
  <si>
    <t>3 ชุด</t>
  </si>
  <si>
    <t>2 ชุด</t>
  </si>
  <si>
    <t>21 ถุง</t>
  </si>
  <si>
    <t>2 ตัว</t>
  </si>
  <si>
    <t>5 ชุด</t>
  </si>
  <si>
    <t>2 ใบ</t>
  </si>
  <si>
    <t>1.5 คิว</t>
  </si>
  <si>
    <t>4 ใบ</t>
  </si>
  <si>
    <t>8 ชุด</t>
  </si>
  <si>
    <t>4 ชุด</t>
  </si>
  <si>
    <t>2 เส้น</t>
  </si>
  <si>
    <t>5 เส้น</t>
  </si>
  <si>
    <t>1 ชุด</t>
  </si>
  <si>
    <t>3 ลูก</t>
  </si>
  <si>
    <t>6 คิว</t>
  </si>
  <si>
    <t>15 คิว</t>
  </si>
  <si>
    <t>24 ถุง</t>
  </si>
  <si>
    <t>0.9 คิว</t>
  </si>
  <si>
    <t>15600 ตัว</t>
  </si>
  <si>
    <t>12 ถุง</t>
  </si>
  <si>
    <t>7800 ตัว</t>
  </si>
  <si>
    <t>14 ถุง</t>
  </si>
  <si>
    <t>29 ถุง</t>
  </si>
  <si>
    <t>4 เส้น</t>
  </si>
  <si>
    <t>26 ถุง</t>
  </si>
  <si>
    <t>ถังบำบัดน้ำเสีย HFF-40A</t>
  </si>
  <si>
    <t>HFF-40A</t>
  </si>
  <si>
    <t>บจก. ภูเก็ตสามมิตรธุรกิจและการโยธา</t>
  </si>
  <si>
    <t>ถังเก็บน้ำดี</t>
  </si>
  <si>
    <t>SWO-2015</t>
  </si>
  <si>
    <t>บจก. อดิศรรังสรรค์</t>
  </si>
  <si>
    <t>ปรับปรุงอาคารเช่ามิสซังโรมันคาทอริค อาคาร 2</t>
  </si>
  <si>
    <t>SWTA-2500</t>
  </si>
  <si>
    <t>SW-2020</t>
  </si>
  <si>
    <t>BCM-20E</t>
  </si>
  <si>
    <t>ปรับปรุงอาคารเช่ามิสซังโรมันคาทอริค อาคาร 1</t>
  </si>
  <si>
    <t>ลาดพร้าว 48</t>
  </si>
  <si>
    <t>PSP-F6-A</t>
  </si>
  <si>
    <t>เดอะโซลรีสอร์ท อาคารพักอาศัย 2 ชั้น (ค่าขนส่ง)</t>
  </si>
  <si>
    <t>บจก. นงนุชวิลเลจ</t>
  </si>
  <si>
    <t>โรงเรือนไม้ภายใน 43 ลบ.ม.</t>
  </si>
  <si>
    <t>SWO-2543</t>
  </si>
  <si>
    <t>แฟลต 5 ชั้น สน.บางบอน (บ.เพชรแสนเก้า)</t>
  </si>
  <si>
    <t>อาคารที่ทำการ สภ.จอมบึง จ.ราชบุรี</t>
  </si>
  <si>
    <t>อาคารตรวจคนเข้าเมือง จ.ลำปาง</t>
  </si>
  <si>
    <t>เสกสรร หงษ์แสนยาธรรม</t>
  </si>
  <si>
    <t>กิตติศักดิ์</t>
  </si>
  <si>
    <t>อาคาร 1500 ที่นั่ง</t>
  </si>
  <si>
    <t>เพิ่มพูลทรัพย์</t>
  </si>
  <si>
    <t>ดีอีอีเอส</t>
  </si>
  <si>
    <t>เวฟ โปรดักท์</t>
  </si>
  <si>
    <t>สุวรรณวิศว์</t>
  </si>
  <si>
    <t>ร้อยเดือน</t>
  </si>
  <si>
    <t>ภูเก็ตสามมิตรฯ</t>
  </si>
  <si>
    <t>เสนีย์สรรพกิจ</t>
  </si>
  <si>
    <t>18 ถุง</t>
  </si>
  <si>
    <t xml:space="preserve">SC-120 </t>
  </si>
  <si>
    <t>ฝาเหลี่ยมไฟเบอร์</t>
  </si>
  <si>
    <t>6 เส้น</t>
  </si>
  <si>
    <t>6 ชุด</t>
  </si>
  <si>
    <t>ฝาถัง STAR (ABS)</t>
  </si>
  <si>
    <t>43 ถุง</t>
  </si>
  <si>
    <t>SC-200</t>
  </si>
  <si>
    <t>28 ถุง</t>
  </si>
  <si>
    <t>RV62010035</t>
  </si>
  <si>
    <t>RV62010034</t>
  </si>
  <si>
    <t>RV62010033</t>
  </si>
  <si>
    <t>RV61110001 / RV62010032</t>
  </si>
  <si>
    <t>RV62010032</t>
  </si>
  <si>
    <t>RV62010031</t>
  </si>
  <si>
    <t>RV62010030</t>
  </si>
  <si>
    <t>RV62010029</t>
  </si>
  <si>
    <t>RV62010028</t>
  </si>
  <si>
    <t>RV62010027</t>
  </si>
  <si>
    <t>RV62010026</t>
  </si>
  <si>
    <t>RV62010025</t>
  </si>
  <si>
    <t>RV62010024 [down pay 20%]</t>
  </si>
  <si>
    <t>RV62010022</t>
  </si>
  <si>
    <t>RV62010021</t>
  </si>
  <si>
    <t>RV62010020</t>
  </si>
  <si>
    <t>RV62010019</t>
  </si>
  <si>
    <t>RV62010017</t>
  </si>
  <si>
    <t>RV62010016 [เหลือค้ำประกัน 5%]</t>
  </si>
  <si>
    <t>RV62010015</t>
  </si>
  <si>
    <t>RV62010014</t>
  </si>
  <si>
    <t>RV62010013</t>
  </si>
  <si>
    <t>RV62010012</t>
  </si>
  <si>
    <t>RV62010011</t>
  </si>
  <si>
    <t>RV62010010</t>
  </si>
  <si>
    <t>RV62010009</t>
  </si>
  <si>
    <t>RV62018.14</t>
  </si>
  <si>
    <t>RV62018.13</t>
  </si>
  <si>
    <t>RV620108.8</t>
  </si>
  <si>
    <t>RV620108.5</t>
  </si>
  <si>
    <t>RV620108.4</t>
  </si>
  <si>
    <t>RV620108.2</t>
  </si>
  <si>
    <t>RV62010007</t>
  </si>
  <si>
    <t>RV620106.2</t>
  </si>
  <si>
    <t>RV620106.1</t>
  </si>
  <si>
    <t>RV62010006</t>
  </si>
  <si>
    <t>RV62010005</t>
  </si>
  <si>
    <t>RV62010003</t>
  </si>
  <si>
    <t>RV62010002 PDC 28-02-19</t>
  </si>
  <si>
    <t>นงนุชวิลเลจ</t>
  </si>
  <si>
    <t>37 ถุง</t>
  </si>
  <si>
    <t>WSA-3085Z</t>
  </si>
  <si>
    <t>BU-BL90V</t>
  </si>
  <si>
    <t>BU36QS</t>
  </si>
  <si>
    <t>บจก. โฮม โปรดักส์ เซ็นเตอร์ สาขาสุพรรณบุรี</t>
  </si>
  <si>
    <t>1901153R</t>
  </si>
  <si>
    <t>1901153LC</t>
  </si>
  <si>
    <t>PPS-11500</t>
  </si>
  <si>
    <t>SWO-1610</t>
  </si>
  <si>
    <t>down pay 30%</t>
  </si>
  <si>
    <t>งานก่อสร้างสำนักงานตึกมดชั้น 4</t>
  </si>
  <si>
    <t>SWTV-3560</t>
  </si>
  <si>
    <t>1901222GP</t>
  </si>
  <si>
    <t>1901222LC</t>
  </si>
  <si>
    <t>บจก. แกรนด์ไดมอนด์ พร็อพเพอร์ตี้ส์ กรุ๊ป</t>
  </si>
  <si>
    <t>ปรับปรุงระบบบำบัดน้ำเสีย คสล. 2 บ่อ</t>
  </si>
  <si>
    <t>งวดที่ 1</t>
  </si>
  <si>
    <t>งวดที่ 2</t>
  </si>
  <si>
    <t>งวดที่ 3</t>
  </si>
  <si>
    <t>งวดที่ 4</t>
  </si>
  <si>
    <t>บจก. เอทีพี อะควา โซลูชั่น</t>
  </si>
  <si>
    <t>ถังเก็บน้ำทรงตั้งขนาด 8 ลบ.ม.</t>
  </si>
  <si>
    <t>นิตยา</t>
  </si>
  <si>
    <t>SWP-208V</t>
  </si>
  <si>
    <t>สุขุมวิท 48</t>
  </si>
  <si>
    <t>PS-15-WO</t>
  </si>
  <si>
    <t>เดอะโซลรีสอร์ท (อาคารพักอาศัย 3 ชั้น)</t>
  </si>
  <si>
    <t>บจก. ฟลอยด์</t>
  </si>
  <si>
    <t>FLOYD NEW BUILDING</t>
  </si>
  <si>
    <t>SSA-2524Z</t>
  </si>
  <si>
    <t>SS-539A</t>
  </si>
  <si>
    <t>แฟลต บก.อก.ภ.6 พิษณุโลก</t>
  </si>
  <si>
    <t>Resort @Koh Phangan</t>
  </si>
  <si>
    <t>Guide rail</t>
  </si>
  <si>
    <t>MHHYPM1902</t>
  </si>
  <si>
    <t>บจก. ลายลักษณ์ไทย พัฒนา</t>
  </si>
  <si>
    <r>
      <t>บจก. จีโอเนท</t>
    </r>
    <r>
      <rPr>
        <sz val="14"/>
        <color rgb="FFFF0000"/>
        <rFont val="TH Sarabun New"/>
        <family val="2"/>
      </rPr>
      <t xml:space="preserve"> (บริจาค ร.ร.บ้านขุนแม่ตื่น)</t>
    </r>
  </si>
  <si>
    <t>บมจ. โฮม โปรดักส์ เซ็นเตอร์ หาดใหญ่ (กาญจนวนิช)</t>
  </si>
  <si>
    <t>งานซ่อมหัวจ่ายอากาศ</t>
  </si>
  <si>
    <t>1902223DS</t>
  </si>
  <si>
    <t>19062223LC</t>
  </si>
  <si>
    <t>ค่าแรง</t>
  </si>
  <si>
    <t>ถังเก็บน้ำทรงตั้ง (ค่าขนส่ง)</t>
  </si>
  <si>
    <t>งานซ่อม Air Blower</t>
  </si>
  <si>
    <t>180802MA</t>
  </si>
  <si>
    <t>บมจ. โฮม โปรดักส์ เซ็นเตอร์ (สาขาราชบุรี)</t>
  </si>
  <si>
    <t>ซ่อมปั๊มพร้อมติดตั้ง</t>
  </si>
  <si>
    <t>19010035R1</t>
  </si>
  <si>
    <t>แฟลต 5 ชั้น สำหรับผู้เข้าฝึกอบรมฯ ศาลายา</t>
  </si>
  <si>
    <t>1901281RP</t>
  </si>
  <si>
    <t>1901281LC</t>
  </si>
  <si>
    <t>งานสั่งซื้ออุปกรณ์พร้อมติดตั้ง</t>
  </si>
  <si>
    <t>1901261CV</t>
  </si>
  <si>
    <t>1901261LC</t>
  </si>
  <si>
    <t>กทม. ทุ่งสองห้อง</t>
  </si>
  <si>
    <t>ถังเก็บน้ำอาคารสินค้า&amp;สำนักงานและที่พัก2</t>
  </si>
  <si>
    <t>130</t>
  </si>
  <si>
    <t>รัชดาแฟบริค</t>
  </si>
  <si>
    <t>อดิศรรังสรรค์</t>
  </si>
  <si>
    <t>สรกรรณกรุ๊ป</t>
  </si>
  <si>
    <t>กู๊ด แทงค์ เทรดดิ้ง</t>
  </si>
  <si>
    <t>ซิสเท็มส์ โปรดักส์ เซ็นเตอร์</t>
  </si>
  <si>
    <t>ลายลักษณ์ไทยพัฒนา</t>
  </si>
  <si>
    <t>HP สมุทรสงคราม</t>
  </si>
  <si>
    <t>ซ่อมขา</t>
  </si>
  <si>
    <t>Stock</t>
  </si>
  <si>
    <t>เอทีพีอะควาโซลูชั่น</t>
  </si>
  <si>
    <t>RV62020028</t>
  </si>
  <si>
    <t>RV62020027</t>
  </si>
  <si>
    <t>RV62020026</t>
  </si>
  <si>
    <t>RV62020025 down pay 30%</t>
  </si>
  <si>
    <t>RV62020024</t>
  </si>
  <si>
    <t>RV62020022 (20,000 บาท) เหลือ 80,000 บาท</t>
  </si>
  <si>
    <t xml:space="preserve">RV61090019 ขาด 100,000 </t>
  </si>
  <si>
    <t>RV62020021 [PDC 22-4-19]</t>
  </si>
  <si>
    <t xml:space="preserve">RV62020019 [PDC 13-3-19] </t>
  </si>
  <si>
    <t>RV62020018</t>
  </si>
  <si>
    <t>RV62020017</t>
  </si>
  <si>
    <t>RV62020015</t>
  </si>
  <si>
    <t>RV62020014</t>
  </si>
  <si>
    <t>RV62020013</t>
  </si>
  <si>
    <t>RV62020012 down pay 30%</t>
  </si>
  <si>
    <t>RV62020011</t>
  </si>
  <si>
    <t>RV62020010</t>
  </si>
  <si>
    <t>RV62020009</t>
  </si>
  <si>
    <t>RV62020008</t>
  </si>
  <si>
    <t>RV62020007</t>
  </si>
  <si>
    <t>RV62026.14</t>
  </si>
  <si>
    <t>บจก. วิสิเบิล เอ็นจิเนียริ่ง</t>
  </si>
  <si>
    <t>TSA-8A</t>
  </si>
  <si>
    <t>พระโขนง</t>
  </si>
  <si>
    <t>PRACHA50Q #1</t>
  </si>
  <si>
    <t>PRACHA50Q #2</t>
  </si>
  <si>
    <t>บจก. หยกเพชรทอง เอ็นจิเนียร์ อินเตอร์</t>
  </si>
  <si>
    <t>ฐานทัพเรือพังงา</t>
  </si>
  <si>
    <t>เปลี่ยนฝาเหล็ก</t>
  </si>
  <si>
    <t>Riverhouse-Villa</t>
  </si>
  <si>
    <t>ก้าวมงคล / แฟลตบางมด</t>
  </si>
  <si>
    <t>ขาถัง</t>
  </si>
  <si>
    <t>ซ่อม-เปลี่ยนขา</t>
  </si>
  <si>
    <t>อมร</t>
  </si>
  <si>
    <t>จิรัญชัย อรุณสิริยงพล</t>
  </si>
  <si>
    <t>บันได 30,000</t>
  </si>
  <si>
    <t>หัก down pay 30%</t>
  </si>
  <si>
    <t>15200 ตัว</t>
  </si>
  <si>
    <t>0.8 คิว</t>
  </si>
  <si>
    <t>SC-120</t>
  </si>
  <si>
    <t>42 ถุง</t>
  </si>
  <si>
    <t>ซ่อม/เปลี่ยนขาถัง 3500</t>
  </si>
  <si>
    <t>1 งาน</t>
  </si>
  <si>
    <t>ขาถัง 3500</t>
  </si>
  <si>
    <t>Mello (ยาว)</t>
  </si>
  <si>
    <t>5 ชิ้น</t>
  </si>
  <si>
    <t>มีเดีย NO.289 (ใส่ถังแล้ว)</t>
  </si>
  <si>
    <t>2.75 คิว</t>
  </si>
  <si>
    <t>ARS-32</t>
  </si>
  <si>
    <t>ซ่อมขาถังเก็บน้ำ</t>
  </si>
  <si>
    <t>7 ถุง</t>
  </si>
  <si>
    <t>0.34 คิว</t>
  </si>
  <si>
    <t>3 ใบ</t>
  </si>
  <si>
    <t>3 คิว</t>
  </si>
  <si>
    <t>54 ถุง</t>
  </si>
  <si>
    <t>Flex 6"</t>
  </si>
  <si>
    <t>3 เส้น</t>
  </si>
  <si>
    <t>1.7 คิว</t>
  </si>
  <si>
    <t>8.5 คิว</t>
  </si>
  <si>
    <t>RV62026.12</t>
  </si>
  <si>
    <t>RV620206.8</t>
  </si>
  <si>
    <t>RV620206.3</t>
  </si>
  <si>
    <t>RV62020005</t>
  </si>
  <si>
    <t>RV62020004</t>
  </si>
  <si>
    <t>RV62020028 / RV62020003</t>
  </si>
  <si>
    <t>RV62020002</t>
  </si>
  <si>
    <t>RV62020001</t>
  </si>
  <si>
    <t>บจก. ตรีเจริญ เอ็นจิเนียริ่ง</t>
  </si>
  <si>
    <t>สั่งซื้อและติดตั้งอุปกรณ์</t>
  </si>
  <si>
    <t>1901301PS</t>
  </si>
  <si>
    <t>1901301LC</t>
  </si>
  <si>
    <t>ก่อสร้างอาคารพักอาศัย (ค่าขนส่ง)</t>
  </si>
  <si>
    <t>สั่งซื้อและติดตั้งลูกลอย</t>
  </si>
  <si>
    <t>1901283LS</t>
  </si>
  <si>
    <t>1901283LC</t>
  </si>
  <si>
    <t>งานเปลี่ยน Guide Rail</t>
  </si>
  <si>
    <t>1901163GR</t>
  </si>
  <si>
    <t>1901163LC</t>
  </si>
  <si>
    <t>แฟลต 5 ชั้น ครอบครัวหาดใหญ่ จ.สงขลา</t>
  </si>
  <si>
    <t>18090782R2</t>
  </si>
  <si>
    <t>สวนสาธารณะสงขลาระยะ 3</t>
  </si>
  <si>
    <t>SS-317</t>
  </si>
  <si>
    <t>บจก. ไอเอสโอ เอ็นจิเนียริ่ง</t>
  </si>
  <si>
    <t>ปรับปรุงอาคารสถาบันจัดเก็บภาษีอากร</t>
  </si>
  <si>
    <t>PS-13500AZ</t>
  </si>
  <si>
    <t>CK25027-B</t>
  </si>
  <si>
    <t>SGT-4000</t>
  </si>
  <si>
    <t>K-25007-B</t>
  </si>
  <si>
    <t>C-25020-B</t>
  </si>
  <si>
    <t>PS-7500AZ</t>
  </si>
  <si>
    <t>กลุ่มบ้านพักคุณอัญชลิน บ้าน5</t>
  </si>
  <si>
    <t>กลุ่มบ้านพักคุณอัญชลิน บ้าน4</t>
  </si>
  <si>
    <t>กลุ่มบ้านพักคุณอัญชลิน บ้าน3</t>
  </si>
  <si>
    <t>กลุ่มบ้านพักคุณอัญชลิน บ้าน2</t>
  </si>
  <si>
    <t>กลุ่มบ้านพักคุณอัญชลิน บ้าน1</t>
  </si>
  <si>
    <t>เสกสรร หงษ์แสนยาธรรม / จเร</t>
  </si>
  <si>
    <t>062/</t>
  </si>
  <si>
    <t>ช.เอกเจริญชัยกรุ๊ป</t>
  </si>
  <si>
    <t>โพไซดอน</t>
  </si>
  <si>
    <t>ตรีเจริญ</t>
  </si>
  <si>
    <t>RV62030026</t>
  </si>
  <si>
    <t>RV62030025</t>
  </si>
  <si>
    <t>RV62030024</t>
  </si>
  <si>
    <t>RV62030023</t>
  </si>
  <si>
    <t>RV62030022</t>
  </si>
  <si>
    <t>RV62030021 down pay 30%</t>
  </si>
  <si>
    <t>RV62030020</t>
  </si>
  <si>
    <t>RV62030019</t>
  </si>
  <si>
    <t>RV62030018</t>
  </si>
  <si>
    <t>RV62030017</t>
  </si>
  <si>
    <t>RV62030016 down pay 30%</t>
  </si>
  <si>
    <t>RV62030016 หัก down pay 30%</t>
  </si>
  <si>
    <t>RV62020023 (ชำระ 50,000 บาท)  RV62030015 (ชำระ 150,000 บาท)</t>
  </si>
  <si>
    <t>RV62030013</t>
  </si>
  <si>
    <t>RV62030012</t>
  </si>
  <si>
    <t>RV62030011</t>
  </si>
  <si>
    <t>RV62030010</t>
  </si>
  <si>
    <t>RV620309.1</t>
  </si>
  <si>
    <t>RV62030009</t>
  </si>
  <si>
    <t>RV620308.3</t>
  </si>
  <si>
    <t xml:space="preserve">RV620308.2 งวด2 </t>
  </si>
  <si>
    <t>RV620308.1</t>
  </si>
  <si>
    <t>RV62030008 งวด4</t>
  </si>
  <si>
    <t>RV611107.1 งวด2</t>
  </si>
  <si>
    <t>RV611107.1 งวด1</t>
  </si>
  <si>
    <t>RV620108.1 งวด3</t>
  </si>
  <si>
    <t>RV62030006</t>
  </si>
  <si>
    <t>RV62030005</t>
  </si>
  <si>
    <t>RV62030004 [PDC 21-4-19]</t>
  </si>
  <si>
    <t>RV62030002 [รับ 262,150 บาท] RV32030001 PDC 25-4-19 [รับ 262,150 บาท]</t>
  </si>
  <si>
    <t>19030219-1</t>
  </si>
  <si>
    <t>หจก. เค แอนด์ ที คอนสตรัคชั่น เซอร์วิส</t>
  </si>
  <si>
    <t>โรงพยาบาลราชธานี จำกัด (มหาชน)</t>
  </si>
  <si>
    <t>พี่รงค์เอาไป 29-3-19</t>
  </si>
  <si>
    <t xml:space="preserve">บมจ. โมเดร์นฟอร์มกรุ๊ป </t>
  </si>
  <si>
    <t>ระบบบำบัดน้ำเสียโรงงาน Modernform ขนาด 5CMD</t>
  </si>
  <si>
    <t>MBR-1605</t>
  </si>
  <si>
    <t>MBR</t>
  </si>
  <si>
    <t>UPG Paint Factory / MBR</t>
  </si>
  <si>
    <t>งานสั่งซื้อ Presure Gauge</t>
  </si>
  <si>
    <t>180808Pg</t>
  </si>
  <si>
    <t>หลอดยูวี (ระบบบำบัดน้ำเสีย)</t>
  </si>
  <si>
    <t>TSF-8K</t>
  </si>
  <si>
    <t>TSF-12k</t>
  </si>
  <si>
    <t>เขื่อนรัชชประภา</t>
  </si>
  <si>
    <t>TSQ-206</t>
  </si>
  <si>
    <t>/32</t>
  </si>
  <si>
    <t>MELLOW</t>
  </si>
  <si>
    <t>TSQ0703GAX</t>
  </si>
  <si>
    <t>TSQ0702GAX</t>
  </si>
  <si>
    <t>TSQ0701GAX</t>
  </si>
  <si>
    <t>TSQ0703GA</t>
  </si>
  <si>
    <t>Q62/3</t>
  </si>
  <si>
    <t>ตู้ควบคุมปั๊ม</t>
  </si>
  <si>
    <t>CT-03</t>
  </si>
  <si>
    <t>ลูกลอย</t>
  </si>
  <si>
    <t>The one patio พัทยาเหนือ</t>
  </si>
  <si>
    <t>SC-316A</t>
  </si>
  <si>
    <t>งานตรวจวิเคราะห์คุณภาพน้ำทิ้ง</t>
  </si>
  <si>
    <t>Charn2wqA1</t>
  </si>
  <si>
    <t>Charn2wqA2</t>
  </si>
  <si>
    <t>ปั๊ม PT จ.ชลบุรี</t>
  </si>
  <si>
    <t>เขตบางกะปิ กทม.</t>
  </si>
  <si>
    <t>PO-15FB</t>
  </si>
  <si>
    <t>OASIA-i20</t>
  </si>
  <si>
    <t>OASIS-i20</t>
  </si>
  <si>
    <t xml:space="preserve">RV62030028 down pay 20% </t>
  </si>
  <si>
    <t>RV62030027</t>
  </si>
  <si>
    <t>Q62/2</t>
  </si>
  <si>
    <t xml:space="preserve">บจก. ภูเก็ตสามมิตรธุรกิจและการโยธา </t>
  </si>
  <si>
    <t>อุปกรณ์ (ตู้ควบคุมปั๊มบาดาล)</t>
  </si>
  <si>
    <t>CT-02</t>
  </si>
  <si>
    <t>Q62/1</t>
  </si>
  <si>
    <t>อุปกรณ์ (ตู้ควบคุม TRANFER PUMP)</t>
  </si>
  <si>
    <t>CT-01</t>
  </si>
  <si>
    <t>เคแอนด์ที</t>
  </si>
  <si>
    <t>บันได</t>
  </si>
  <si>
    <t>ติดตั้งบันได</t>
  </si>
  <si>
    <t>วิสิเบิล</t>
  </si>
  <si>
    <t>ฟลอยด์</t>
  </si>
  <si>
    <t>วอเตอร์ ทรีท</t>
  </si>
  <si>
    <t>วิบูลธรรม</t>
  </si>
  <si>
    <t>7600 ตัว</t>
  </si>
  <si>
    <t>540 ตัว</t>
  </si>
  <si>
    <t>ฝาถัง STAR (เหล็กหล่อ)</t>
  </si>
  <si>
    <t>35 ถุง</t>
  </si>
  <si>
    <t>10 ชุด</t>
  </si>
  <si>
    <t>20 ถุง</t>
  </si>
  <si>
    <t>HP-80</t>
  </si>
  <si>
    <t>LA-60</t>
  </si>
  <si>
    <t>WT-TAT 120F-1</t>
  </si>
  <si>
    <t>WT-TAT 120F-2</t>
  </si>
  <si>
    <t>12 คิว</t>
  </si>
  <si>
    <t>8 เส้น</t>
  </si>
  <si>
    <t>1 คิว</t>
  </si>
  <si>
    <t>19040130-1</t>
  </si>
  <si>
    <t>19040130-2</t>
  </si>
  <si>
    <t>บจก. แกรนด์ไดมอนด์ พร๊อพเพอร์ตี้ส์ กรุ๊ป</t>
  </si>
  <si>
    <t>Ballast และ Quartz สำหรับหลอดยูวี</t>
  </si>
  <si>
    <t>BU-BL40</t>
  </si>
  <si>
    <t>ปรับปรุงระบบบำบัดปริมาณน้ำเสียรวม30CMD.</t>
  </si>
  <si>
    <t xml:space="preserve">ปรับปรุงระบบ </t>
  </si>
  <si>
    <t>Project</t>
  </si>
  <si>
    <t>ถังบำบัดน้ำเสีย WSA-6000</t>
  </si>
  <si>
    <t>WSA-6000</t>
  </si>
  <si>
    <t>ถังบำบัดน้ำเสีย WSA-363</t>
  </si>
  <si>
    <t>WSA-363</t>
  </si>
  <si>
    <t>*ค่าตรวจน้ำ 13,000</t>
  </si>
  <si>
    <t>19040134-1</t>
  </si>
  <si>
    <t>19040135-1</t>
  </si>
  <si>
    <t>ร้อยเอ็ด</t>
  </si>
  <si>
    <t>PRACHA 50Q</t>
  </si>
  <si>
    <t>งานสั่งซื้อลูกลอย</t>
  </si>
  <si>
    <t>180925LC</t>
  </si>
  <si>
    <t>บจก. มีสุวรรณ ซัพพลาย</t>
  </si>
  <si>
    <t>โรงเรียนพลูตาหลวง จังหวัดชลบุรี</t>
  </si>
  <si>
    <t>UC-1</t>
  </si>
  <si>
    <t>UC-2</t>
  </si>
  <si>
    <t>CP-1</t>
  </si>
  <si>
    <t>CPA-2</t>
  </si>
  <si>
    <t>รพ.ส่งเสริมสุขภาพตำบลบ้านยางยวน</t>
  </si>
  <si>
    <t>CFS-1600L</t>
  </si>
  <si>
    <t>GEM 150</t>
  </si>
  <si>
    <t>TSQ0302IC1</t>
  </si>
  <si>
    <t>พรรณกาญจน์วิกรย์</t>
  </si>
  <si>
    <t>เซีย คอนสตรั๊คชั่น</t>
  </si>
  <si>
    <t>19040142-1</t>
  </si>
  <si>
    <t>บจก. อะเมซิ่ง เกรซ</t>
  </si>
  <si>
    <t>Soap Waste</t>
  </si>
  <si>
    <t>บจก. วงศ์พิพัฒน์ เอ็นจิเนียริ่ง</t>
  </si>
  <si>
    <t>สร้างอัฒจันทร์สนามฟุตบอลกองเรือยุทธการ</t>
  </si>
  <si>
    <t>บจก. แอดวานซ์ ซีวิล กรุ๊ป</t>
  </si>
  <si>
    <t>โกดังเก็บสินค้าเขตประเวศ</t>
  </si>
  <si>
    <t>SGT-S175U</t>
  </si>
  <si>
    <t>งานสั่งซื้ออุปกรณ์ระบบบำบัดฯพร้อมติดตั้ง</t>
  </si>
  <si>
    <t>1901041EQ</t>
  </si>
  <si>
    <t xml:space="preserve">บจก. แอตแลนต้า เมดดิคแคร์ </t>
  </si>
  <si>
    <t>ถังเก็บน้ำดี ขนาด 60,000 ลิตร</t>
  </si>
  <si>
    <t>SWTV-3030</t>
  </si>
  <si>
    <t>บจก. ยู เอ็น ไอ สตูดิโอ</t>
  </si>
  <si>
    <t>อาคารพักนายทหาร กองการบินทหารเรือ</t>
  </si>
  <si>
    <t>SWO-2522</t>
  </si>
  <si>
    <t>อ.อเนกประสงค์เทศบาลหนองใหญ่ จ.ขลบุรี</t>
  </si>
  <si>
    <t>SS-341</t>
  </si>
  <si>
    <t>หจก. ดีเอสเอสวาย เอ็นจิเนียริ่ง</t>
  </si>
  <si>
    <t>รร.ทุ่งศุขลาพิทยา แหลมฉบัง จ.ชลบุรี</t>
  </si>
  <si>
    <t>บ้านพักอัญชลิน หลังที่ 6</t>
  </si>
  <si>
    <t>C-20005-A</t>
  </si>
  <si>
    <t>ธนัช</t>
  </si>
  <si>
    <t>ส่วนต่าง</t>
  </si>
  <si>
    <t>แฟลต 5 ชั้น 30 ครอบครัว ด่านตรวจเชียงของ</t>
  </si>
  <si>
    <t>บจก. ณัฐกิจการช่าง</t>
  </si>
  <si>
    <t>แฟลต 5 ชั้น 50 ครอบครัว กองบัญชาการศึกษา</t>
  </si>
  <si>
    <t>บมจ. โฮม โปรดักส์ เซ็นเตอร์ (สำนักงานใหญ่)</t>
  </si>
  <si>
    <t>1904241FS</t>
  </si>
  <si>
    <t>1904241LC</t>
  </si>
  <si>
    <t>19050171-1</t>
  </si>
  <si>
    <t>Down pay30% (เปิดบิลในนาม บจก. เพื่อน.การช่าง)</t>
  </si>
  <si>
    <t>70% (เปิดบิลในนาม บจก. เพื่อน.การช่าง)</t>
  </si>
  <si>
    <t>19050174-1</t>
  </si>
  <si>
    <t>บมจ. โฮม โปรดักส์ เซ็นเตอร์ (สาขาลำปาง) สาขาที่ 00071</t>
  </si>
  <si>
    <t>วิเคราะห์ตัวอย่างน้ำ</t>
  </si>
  <si>
    <t>1904242AW</t>
  </si>
  <si>
    <t>งานติดตั้งเครื่องสูบน้ำชั่วคราว</t>
  </si>
  <si>
    <t>Charn2-2P</t>
  </si>
  <si>
    <t>แหลมพรหมเทพ จ.ภูเก็ต</t>
  </si>
  <si>
    <t>PO-50FB</t>
  </si>
  <si>
    <t>บจก. เพื่อน. การช่าง</t>
  </si>
  <si>
    <t>สร้างอัฒจันทร์สนามฟุตบอลกองเรือยุทธการ (ค่าขนส่ง)</t>
  </si>
  <si>
    <t>ถังเก็บน้ำ - ถังบำบัดน้ำเสีย</t>
  </si>
  <si>
    <t>WWTG-1500</t>
  </si>
  <si>
    <t>WSN-349</t>
  </si>
  <si>
    <t>62</t>
  </si>
  <si>
    <t>สนามบินกระบี่</t>
  </si>
  <si>
    <t>PO-25FB</t>
  </si>
  <si>
    <t>บจก. โอทีอาร์ วีล เอ็นจิเนียริ่ง (ไทยแลนด์)</t>
  </si>
  <si>
    <t>ระบบบำบัดน้ำเสีย OTR Wheel</t>
  </si>
  <si>
    <t>OASIS-5</t>
  </si>
  <si>
    <t>หจก. สาโรชการไฟฟ้า</t>
  </si>
  <si>
    <t>อาคารที่ทำการ สภ.ท่าพระ จ.ขอนแก่น</t>
  </si>
  <si>
    <t>PPS-9500</t>
  </si>
  <si>
    <t>PSS-7105</t>
  </si>
  <si>
    <t>Sonia Resident Pattaya</t>
  </si>
  <si>
    <t>CFCF-4500L</t>
  </si>
  <si>
    <t>CFSAT-4500L</t>
  </si>
  <si>
    <t>CFSS-2000L</t>
  </si>
  <si>
    <t>บางเขน</t>
  </si>
  <si>
    <t>SWTA-4000</t>
  </si>
  <si>
    <t>RV62030003 [PDC 14-04-19]</t>
  </si>
  <si>
    <t>RV62010001 PDC 12-02-19</t>
  </si>
  <si>
    <t>RV62040019 รับโอน 30-04-19 down pay 20%</t>
  </si>
  <si>
    <t>RV62040017</t>
  </si>
  <si>
    <t>RV620416.6 พี่อ๊อดเอาไป13-11-18</t>
  </si>
  <si>
    <t>RV620416.5</t>
  </si>
  <si>
    <t>RV620416.2 งวด5</t>
  </si>
  <si>
    <t>RV62040013</t>
  </si>
  <si>
    <t>RV62040012 งวด1 โอน 12-4-19 [หักค่าบริการ 3%]</t>
  </si>
  <si>
    <t>RV62040009</t>
  </si>
  <si>
    <t>RV62040008 down pay 30%</t>
  </si>
  <si>
    <t xml:space="preserve">RV62040007 </t>
  </si>
  <si>
    <t>RV62040006</t>
  </si>
  <si>
    <t>RV62040005 donw pay 30%</t>
  </si>
  <si>
    <t>RV62040005 down pay 30%</t>
  </si>
  <si>
    <t>RV62040004 หัก down pay 30% [PDC 13-06-19]</t>
  </si>
  <si>
    <t>RV62040003</t>
  </si>
  <si>
    <t>RV62040002</t>
  </si>
  <si>
    <t>RV62040001</t>
  </si>
  <si>
    <t>กอปร เปรมฤทัย</t>
  </si>
  <si>
    <t>พิจิตสุวรรณวิศวกร</t>
  </si>
  <si>
    <t>อะเมซิ่งเกรซ</t>
  </si>
  <si>
    <t>หยกเพชรทอง</t>
  </si>
  <si>
    <t>0.16 คิว</t>
  </si>
  <si>
    <t>ฝากลมไฟเบอร์</t>
  </si>
  <si>
    <t>มีเดีย NO.102 (ใส่ถังแล้ว</t>
  </si>
  <si>
    <t>41 ถุง</t>
  </si>
  <si>
    <t>5.5 คิว</t>
  </si>
  <si>
    <t>มีเดีย PE269 (ใส่ถังแล้ว)</t>
  </si>
  <si>
    <t>2.5 คิว</t>
  </si>
  <si>
    <t>10 เส้น</t>
  </si>
  <si>
    <t>4 ถุง</t>
  </si>
  <si>
    <t>PRACHA 50Q NO.1</t>
  </si>
  <si>
    <t>PRACHA 50Q NO.2</t>
  </si>
  <si>
    <t>1.6 คิว</t>
  </si>
  <si>
    <t>0.45 คิว</t>
  </si>
  <si>
    <t>LA-120A</t>
  </si>
  <si>
    <t>1 เครื่อง</t>
  </si>
  <si>
    <t>101</t>
  </si>
  <si>
    <t>บมจ. ฟลอยด์</t>
  </si>
  <si>
    <t>Home Pro มุกดาหาร</t>
  </si>
  <si>
    <t>SA-50MBR25</t>
  </si>
  <si>
    <t>SWO-35110</t>
  </si>
  <si>
    <t>SS-739AZ</t>
  </si>
  <si>
    <t>100</t>
  </si>
  <si>
    <t>แฟลต ตร.ศรีมหาโพธิ์ จ.ปราจีนบุรี</t>
  </si>
  <si>
    <t>แฟลต ตร.ระเบาะไผ่ จ.ปราจีนบุรี</t>
  </si>
  <si>
    <t>แฟลต ตร.กบินทร์บุรี จ.ปราจีนบุรี</t>
  </si>
  <si>
    <t>แฟลต ตร.วังขอนแดง จ.ปราจีนบุรี</t>
  </si>
  <si>
    <t>สุขุมวิท 64</t>
  </si>
  <si>
    <t>PRACHA 30Q</t>
  </si>
  <si>
    <t>บำรุงรักษาระบบบ่อบำบัดน้ำเสีย</t>
  </si>
  <si>
    <t>พระประแดง</t>
  </si>
  <si>
    <t>PRACHA 20Q</t>
  </si>
  <si>
    <t>PS-2340GT</t>
  </si>
  <si>
    <t>1903081AP</t>
  </si>
  <si>
    <t>1903081LC</t>
  </si>
  <si>
    <t>สมเกียรติ กล้วยไม้งาน</t>
  </si>
  <si>
    <t>ปั๊ม 40PU2.15</t>
  </si>
  <si>
    <t>ปั๊มฟีด</t>
  </si>
  <si>
    <t>14 ชุด</t>
  </si>
  <si>
    <t>โมเดอร์นฟอร์มกรุ๊ป</t>
  </si>
  <si>
    <t>MBR-1605 No.1</t>
  </si>
  <si>
    <t>MBR-1605 No.2</t>
  </si>
  <si>
    <t>MBR-1605 No.3</t>
  </si>
  <si>
    <t>ปั๊ม 40PU-2.15</t>
  </si>
  <si>
    <t>ปั๊ม 40PU-2.25</t>
  </si>
  <si>
    <t>8BER</t>
  </si>
  <si>
    <t>MBR-1605 No.4</t>
  </si>
  <si>
    <t>MBR-1605 No.5</t>
  </si>
  <si>
    <t>MBR-1605 No.6</t>
  </si>
  <si>
    <t>LONG MELLOW (TSQ0703GA3)</t>
  </si>
  <si>
    <t>BABY MELLOW (TSQ0701GA3)</t>
  </si>
  <si>
    <t>BABY MELLOW (TSQ0701GA2)</t>
  </si>
  <si>
    <t>BABY MELLOW (TSQ0701GA1)</t>
  </si>
  <si>
    <t>102</t>
  </si>
  <si>
    <t>ก่อสร้างบ้านคุณปรีชา</t>
  </si>
  <si>
    <t>19050181-1</t>
  </si>
  <si>
    <t>บมจ. โฮม โปรดักส์ เซ็นเตอร์ สาขาราชพฤกษ์ สาขาที่ 00024</t>
  </si>
  <si>
    <t>19030281MP</t>
  </si>
  <si>
    <t>1903281LC</t>
  </si>
  <si>
    <t>Q62/5</t>
  </si>
  <si>
    <t>103</t>
  </si>
  <si>
    <t>คุณสุรเชษฐ์ ทับทิมจรูญ</t>
  </si>
  <si>
    <t>โฮมโปร มุกดาหาร (HMH) ค่าขนส่ง</t>
  </si>
  <si>
    <t>110</t>
  </si>
  <si>
    <t>หจก. เจริญชัยชลบุรีก่อสร้าง</t>
  </si>
  <si>
    <t>แฟลต 40 ครอบครัว ตม.3 จ.ฉะเชิงเทรา</t>
  </si>
  <si>
    <t>19050409R1</t>
  </si>
  <si>
    <t>PPS-5000</t>
  </si>
  <si>
    <t>19050410R1</t>
  </si>
  <si>
    <t>109</t>
  </si>
  <si>
    <t>อ.ที่ทำการ ตม.3 จ.ฉะเชิงเทรา</t>
  </si>
  <si>
    <t>PPS-10500</t>
  </si>
  <si>
    <t>19040388R1</t>
  </si>
  <si>
    <t>108</t>
  </si>
  <si>
    <t>อ.ที่ทำการแฟลตอ่าวนาง จ.กระบี่</t>
  </si>
  <si>
    <t>107</t>
  </si>
  <si>
    <t>FLOW-D 10Q</t>
  </si>
  <si>
    <t>FLOW- 20Q</t>
  </si>
  <si>
    <t>106</t>
  </si>
  <si>
    <t>เดอะโซลรีสอร์ท (ห้องสมุด)</t>
  </si>
  <si>
    <t>SS-327A</t>
  </si>
  <si>
    <t>105</t>
  </si>
  <si>
    <t>เดอะโซลรีสอร์ท (อาคารสปา)</t>
  </si>
  <si>
    <t>SS-7172A</t>
  </si>
  <si>
    <t>104</t>
  </si>
  <si>
    <t>เดอะโซลรีสอร์ท (อค.ต้อนรับ)</t>
  </si>
  <si>
    <t>คุณสุรเชษฐ์</t>
  </si>
  <si>
    <t xml:space="preserve">พราวเอเซีย </t>
  </si>
  <si>
    <t xml:space="preserve">จะยกเลิก order รอแนบ MEMO </t>
  </si>
  <si>
    <t>116</t>
  </si>
  <si>
    <t>115</t>
  </si>
  <si>
    <t>สกลเจริญ</t>
  </si>
  <si>
    <t>เอส.เค.จี</t>
  </si>
  <si>
    <t>114</t>
  </si>
  <si>
    <t>จัดตั้งกรมทหารราบที่ 2 อค.พัก NCOQ</t>
  </si>
  <si>
    <t>PSN-7500</t>
  </si>
  <si>
    <t>113</t>
  </si>
  <si>
    <t>จัดตั้งกรมทหารราบที่ 2 อค.พักประทวน 32 ครอบครัว</t>
  </si>
  <si>
    <t>PSN-2340</t>
  </si>
  <si>
    <t>112</t>
  </si>
  <si>
    <t>จัดตั้งกรมทหารราบที่ 2 อาคารพยาบาล</t>
  </si>
  <si>
    <t>PSN-5460</t>
  </si>
  <si>
    <t>111</t>
  </si>
  <si>
    <t>จัดตั้งกรมทหารราบที่ 2 อค.ร้านค้า 10 ครอบครัว</t>
  </si>
  <si>
    <t>117</t>
  </si>
  <si>
    <t>154</t>
  </si>
  <si>
    <t>โอทีอาร์</t>
  </si>
  <si>
    <t>RV62050001</t>
  </si>
  <si>
    <t>RV62050003 4-3-19 ไข่มุกถือไปวางบิล</t>
  </si>
  <si>
    <t>RV62050004 รับโอน 03-05-19</t>
  </si>
  <si>
    <t>RV62050002 down pay30% รับโอน 03-05-19</t>
  </si>
  <si>
    <t>RV62050018 down pay15%</t>
  </si>
  <si>
    <t>RV62050017 รับ PDC 10-04-19</t>
  </si>
  <si>
    <t>RV62050015</t>
  </si>
  <si>
    <t>RV62050014 หัก down pay 30%</t>
  </si>
  <si>
    <t>RV62050016</t>
  </si>
  <si>
    <t>RV62050013 งวด2-4</t>
  </si>
  <si>
    <t>RV62050012</t>
  </si>
  <si>
    <t>RV62050010 down pay 30%</t>
  </si>
  <si>
    <t>RV62050009 หัก down pay 20%</t>
  </si>
  <si>
    <t>RV62050008 หัก down pay 20%</t>
  </si>
  <si>
    <t>RV62050020 รับโอน 07-05-19 80% ส่ง inv email 02-05-19</t>
  </si>
  <si>
    <t>RV61110007 งวด1</t>
  </si>
  <si>
    <t>RV61110007 งวด2</t>
  </si>
  <si>
    <t>RV62020006 งวด4</t>
  </si>
  <si>
    <t>RV62040016 งวด5</t>
  </si>
  <si>
    <t>RV62050007 งวด6</t>
  </si>
  <si>
    <t xml:space="preserve">RV620206.9 งวด2 </t>
  </si>
  <si>
    <t xml:space="preserve">RV611107.2 งวด1 </t>
  </si>
  <si>
    <t xml:space="preserve">RV620108.3 งวด2 </t>
  </si>
  <si>
    <t xml:space="preserve">RV62018.11 งวด2 </t>
  </si>
  <si>
    <t xml:space="preserve">RV611007.9 งวด1 </t>
  </si>
  <si>
    <t xml:space="preserve">RV620108.9 งวด2 </t>
  </si>
  <si>
    <t xml:space="preserve">RV611007.2 งวด1 </t>
  </si>
  <si>
    <t xml:space="preserve">RV620108.4 งวด2 </t>
  </si>
  <si>
    <t xml:space="preserve">RV611107.5 งวด1 </t>
  </si>
  <si>
    <t xml:space="preserve">RV62026.11 งวด2 </t>
  </si>
  <si>
    <t xml:space="preserve">RV611007.5 งวด1 </t>
  </si>
  <si>
    <t xml:space="preserve">RV620206.5 งวด2 </t>
  </si>
  <si>
    <t xml:space="preserve">RV620108.7 งวด2 </t>
  </si>
  <si>
    <t xml:space="preserve">RV611007.6 งวด1 </t>
  </si>
  <si>
    <t xml:space="preserve">RV620108.6 งวด2 </t>
  </si>
  <si>
    <t xml:space="preserve">RV61107.12 งวด1 </t>
  </si>
  <si>
    <t xml:space="preserve">RV62018.12 งวด2 </t>
  </si>
  <si>
    <t xml:space="preserve">RV61100020 งวด1 </t>
  </si>
  <si>
    <t xml:space="preserve">RV611007.3 งวด1 </t>
  </si>
  <si>
    <t xml:space="preserve">RV620206.4 งวด2 </t>
  </si>
  <si>
    <t xml:space="preserve">RV620416.4 งวด2 </t>
  </si>
  <si>
    <t xml:space="preserve">RV62026.12 งวด2 </t>
  </si>
  <si>
    <t xml:space="preserve">RV611007.7 งวด1 </t>
  </si>
  <si>
    <t xml:space="preserve">RV620206.8 งวด2 </t>
  </si>
  <si>
    <t xml:space="preserve">RV61107.10 งวด1 </t>
  </si>
  <si>
    <t xml:space="preserve">RV61107.11 งวด1 </t>
  </si>
  <si>
    <t xml:space="preserve">RV620416.6 งวด2 </t>
  </si>
  <si>
    <t xml:space="preserve">RV61107.14 งวด1 </t>
  </si>
  <si>
    <t xml:space="preserve">RV62026.15 งวด2 </t>
  </si>
  <si>
    <t xml:space="preserve">RV611007.4 งวด1 </t>
  </si>
  <si>
    <t xml:space="preserve">RV620206.7 งวด2 </t>
  </si>
  <si>
    <t xml:space="preserve">RV611107.4 งวด1 </t>
  </si>
  <si>
    <t xml:space="preserve">RV620206.6 งวด2 </t>
  </si>
  <si>
    <t xml:space="preserve">RV62026.10 งวด2 </t>
  </si>
  <si>
    <t xml:space="preserve">RV62010008 งวด3 </t>
  </si>
  <si>
    <t xml:space="preserve">RV6110007 งวด1 </t>
  </si>
  <si>
    <t xml:space="preserve">RV6110007 งวด2 </t>
  </si>
  <si>
    <t xml:space="preserve">RV620206.1 งวด4 </t>
  </si>
  <si>
    <t xml:space="preserve">RV620416.1 งวด5 </t>
  </si>
  <si>
    <t xml:space="preserve">RV61107.15 งวด1 </t>
  </si>
  <si>
    <t xml:space="preserve">RV62026.16 งวด2 </t>
  </si>
  <si>
    <t xml:space="preserve">RV620108.2 งวด3 </t>
  </si>
  <si>
    <t>RV620206.2 งวด4</t>
  </si>
  <si>
    <t xml:space="preserve">RV611007.1 งวด1 </t>
  </si>
  <si>
    <t xml:space="preserve">RV611007.1 งวด2 </t>
  </si>
  <si>
    <t xml:space="preserve">RV620416.3 งวด5 </t>
  </si>
  <si>
    <t xml:space="preserve">RV61110007 งวด1 </t>
  </si>
  <si>
    <t xml:space="preserve">RV61107.13 งวด1 </t>
  </si>
  <si>
    <t xml:space="preserve">RV62026.13 งวด2 </t>
  </si>
  <si>
    <t>RV61010006 [มัดจำ 30%]</t>
  </si>
  <si>
    <t>RV61090007 [เฉลียวการช่าง]</t>
  </si>
  <si>
    <t>RV61110006 [เฉลียวการช่าง]</t>
  </si>
  <si>
    <t>RV620507.5</t>
  </si>
  <si>
    <t>RV62050005</t>
  </si>
  <si>
    <t>RV620507.6</t>
  </si>
  <si>
    <t>RV620507.3 งวด3</t>
  </si>
  <si>
    <t>RV620507.2</t>
  </si>
  <si>
    <t>RV620507.4</t>
  </si>
  <si>
    <t>RV620507.4 งวด2</t>
  </si>
  <si>
    <t>RV620507.7 งวด2</t>
  </si>
  <si>
    <t>RV62050006</t>
  </si>
  <si>
    <t xml:space="preserve">RV62040014 หัก down pay30% </t>
  </si>
  <si>
    <t xml:space="preserve">RV62040010 down pay 30% </t>
  </si>
  <si>
    <t>LONG MELLOW (TSQ0703GA)</t>
  </si>
  <si>
    <t>ทูลถวาย ศรีทุมมา</t>
  </si>
  <si>
    <t>118</t>
  </si>
  <si>
    <t>บจก. วิศวปัญญา ก่อสร้าง</t>
  </si>
  <si>
    <t>โรงงานเรเซอร์</t>
  </si>
  <si>
    <t>SC-306A</t>
  </si>
  <si>
    <t>SS-5136A</t>
  </si>
  <si>
    <t>SC-311A</t>
  </si>
  <si>
    <t>SGT-S175</t>
  </si>
  <si>
    <t>119</t>
  </si>
  <si>
    <t>บจก. วาย.เอส.เอ็น.ไฟเบอร์กราส</t>
  </si>
  <si>
    <t>ลาดกระบัง</t>
  </si>
  <si>
    <t>C-25025-B</t>
  </si>
  <si>
    <t>โอนเงิน 31-05-19 [RV62020020 มารับ PDC คืน 11-3-19]</t>
  </si>
  <si>
    <t>33 ถุง</t>
  </si>
  <si>
    <t>ฝาเหล็ก สภ.ลาดพร้าว</t>
  </si>
  <si>
    <t>120</t>
  </si>
  <si>
    <t>มิสซังโรมันคาทอริค สามเสน</t>
  </si>
  <si>
    <t>พี่ต่ายถือไปวางบิล 17-06-19</t>
  </si>
  <si>
    <t>ค่า service 24,000</t>
  </si>
  <si>
    <t>ดีเอสเอสวาย</t>
  </si>
  <si>
    <t>ส.สุพาณิชย์</t>
  </si>
  <si>
    <t>ณัฐกิจการช่าง</t>
  </si>
  <si>
    <t>122</t>
  </si>
  <si>
    <t>PS-1250GT</t>
  </si>
  <si>
    <t>121</t>
  </si>
  <si>
    <t>IFF-340B</t>
  </si>
  <si>
    <t>บมจ. โฮม โปรดักส์ เซ็นเตอร์ (สาขาเพชรบุรี) สาขาที่ 00083</t>
  </si>
  <si>
    <t>งานซ่อมปั๊มและเดินสายไฟปั๊ม</t>
  </si>
  <si>
    <t>125</t>
  </si>
  <si>
    <t>ระบบบำบัดน้ำเสีย โฮมโปร ภูเก็ต (ฉลอง)</t>
  </si>
  <si>
    <t>สมเกียรติ กล้วยไม้งาม</t>
  </si>
  <si>
    <t>SK-14600Z</t>
  </si>
  <si>
    <t xml:space="preserve">บจก. เวฟ โปรดักท์ </t>
  </si>
  <si>
    <t>เมกาโฮม บ้านฉาง (ค่าขนส่ง)</t>
  </si>
  <si>
    <t>124</t>
  </si>
  <si>
    <t>เมกาโฮม บ้านฉาง</t>
  </si>
  <si>
    <t>SA90MBR35</t>
  </si>
  <si>
    <t>SWO-2535</t>
  </si>
  <si>
    <t>123</t>
  </si>
  <si>
    <t>อาคารอเนกประสงค์ จ.ปราจีนบุรี</t>
  </si>
  <si>
    <t>บจก. ซูปเปอร์ดี มัลติมีเดีย (ประเทศไทย)</t>
  </si>
  <si>
    <t>มหาวิทยาลัยสวนดุสิต</t>
  </si>
  <si>
    <t>งานครุภัณฑ์ระบบบำบัดน้ำเสีย</t>
  </si>
  <si>
    <t>สวนดุสิต</t>
  </si>
  <si>
    <t>project</t>
  </si>
  <si>
    <t>ปรับปรุงระบบบำบัดน้ำเสียอาคาร 10</t>
  </si>
  <si>
    <t>บจก. ทเวนตี้ โฟร์ คอน แอนด์ ซัพพลาย</t>
  </si>
  <si>
    <t>MHA-050</t>
  </si>
  <si>
    <t>ก่อสร้างบ้านคุณปรีชา (ฝาเหล็ก)</t>
  </si>
  <si>
    <t>ปตท.สีคิ้ว จ.นครราชสีมา (ฝา ABS)</t>
  </si>
  <si>
    <t>128</t>
  </si>
  <si>
    <t>วันที่ต้องการ</t>
  </si>
  <si>
    <t>บจก. คาร์โก้เคมีแอนด์ซัพพลาย</t>
  </si>
  <si>
    <t>127</t>
  </si>
  <si>
    <t>ปรับปรุง รจ.ปัตตานี</t>
  </si>
  <si>
    <t>126</t>
  </si>
  <si>
    <t>SS-325</t>
  </si>
  <si>
    <t>129</t>
  </si>
  <si>
    <t>บจก. ภูตะวัน เฮิร์บ แอนด์ คอนเมติค</t>
  </si>
  <si>
    <t>PHUTAWAN HERB ANC COSMETIC 3 CMD</t>
  </si>
  <si>
    <t>ST-PTW0519</t>
  </si>
  <si>
    <t>นิคมบางปู จ.สมุทรปราการ</t>
  </si>
  <si>
    <t>19060222-1</t>
  </si>
  <si>
    <t xml:space="preserve">RV62040015 down pay30% </t>
  </si>
  <si>
    <t>133</t>
  </si>
  <si>
    <t>สภ.หน่วยปฏิบัติการพิเศษ นปพ.อ.เมืองระยอง</t>
  </si>
  <si>
    <t>การไฟฟ้าฝ่ายผลิตแห่งประเทศไทย</t>
  </si>
  <si>
    <t>Permeate Pump_กฟผ. ไทรน้อย</t>
  </si>
  <si>
    <t>132</t>
  </si>
  <si>
    <t>หจก. ชุนหลีแปดริ้ว</t>
  </si>
  <si>
    <t>อ.ที่ทำการ สภ.ทางหลวง 5 กองกำกับการ 3</t>
  </si>
  <si>
    <t>งานตรวจสอบและซ่อมแซมระบบบำบัด</t>
  </si>
  <si>
    <t>MHRSPM191</t>
  </si>
  <si>
    <t>131</t>
  </si>
  <si>
    <t>หจก. พีบีเอสเกียรติศักดอ์เอ็นจินเยริ่งแอนด์ซัพพลาย</t>
  </si>
  <si>
    <t>ก่อสร้างโรงพยาบาลกะปงชัยพัฒน์ จ.พังงา</t>
  </si>
  <si>
    <t>C-30280C</t>
  </si>
  <si>
    <t>งาน รจ.</t>
  </si>
  <si>
    <t>ณัฐเดช พงศ์วรินทร์</t>
  </si>
  <si>
    <t>6 ใบ</t>
  </si>
  <si>
    <t>LA-120</t>
  </si>
  <si>
    <t>ปั๊ม CVS-40T</t>
  </si>
  <si>
    <t>มีเดีย PE289 (ใส่ถังแล้ว)</t>
  </si>
  <si>
    <t>7 คิว</t>
  </si>
  <si>
    <t>MBR (ใส่ถังแล้ว)</t>
  </si>
  <si>
    <t>16 ชุด</t>
  </si>
  <si>
    <t>36 ถุง</t>
  </si>
  <si>
    <t>LONG MELLOW (TSQ0703GAX)</t>
  </si>
  <si>
    <t>MELLOW (TSQ0702GAX)</t>
  </si>
  <si>
    <t>10 ชิ้น</t>
  </si>
  <si>
    <t>BABY MELLOW (TSQ0701GAX)</t>
  </si>
  <si>
    <t>TSF-12K</t>
  </si>
  <si>
    <t>2 คิว</t>
  </si>
  <si>
    <t>134</t>
  </si>
  <si>
    <t>19070235-1</t>
  </si>
  <si>
    <t>บมจ. โฮม โปรดักส์ เซ็นเตอร์ (นครศรีธรรมราช) สาขาที่ 00045</t>
  </si>
  <si>
    <t>คณะแพทยศาสตร์ มหาวิทยาลัยนเรศวร</t>
  </si>
  <si>
    <t>อาคารสิรินธร</t>
  </si>
  <si>
    <t>BU-64L</t>
  </si>
  <si>
    <t>งานซ่อมมอเตอร์</t>
  </si>
  <si>
    <t>1904171RM</t>
  </si>
  <si>
    <t>RV62060016 30% ทรายจะไปรับเช็ค 27-06-19</t>
  </si>
  <si>
    <t>RV62060015 รับ PDC เมื่อวันที่ 10-05-19</t>
  </si>
  <si>
    <t>RV62060014 ส่ง inv ทางไลน์ 25-5-19</t>
  </si>
  <si>
    <t>RV62060012</t>
  </si>
  <si>
    <t>RV62060011 งวด2 ทรายถือไปวางบิล 24-05-19</t>
  </si>
  <si>
    <t>RV62060010</t>
  </si>
  <si>
    <t>RV62060009</t>
  </si>
  <si>
    <t xml:space="preserve">RV62060008 รับ PDC 28-05-19 </t>
  </si>
  <si>
    <t>RV62060007 [70%]</t>
  </si>
  <si>
    <t>RV62060006 งวด5 ทรายไปวางบิล 30-05-19</t>
  </si>
  <si>
    <t>RV62060005 รับโอน 13-06-19</t>
  </si>
  <si>
    <t>RV62060004 [70%]</t>
  </si>
  <si>
    <t>RV620603.7 งวด3</t>
  </si>
  <si>
    <t>RV620603.6 งวด3</t>
  </si>
  <si>
    <t>RV620603.6</t>
  </si>
  <si>
    <t>RV620603.5 งวด2</t>
  </si>
  <si>
    <t>RV620603.5 งวด1</t>
  </si>
  <si>
    <t>RV620603.3 งวด2</t>
  </si>
  <si>
    <t>RV620603.3</t>
  </si>
  <si>
    <t>RV620603.2 งวด6</t>
  </si>
  <si>
    <t>RV620603.1 งวด6</t>
  </si>
  <si>
    <t>RV62060003</t>
  </si>
  <si>
    <t>RV62060002</t>
  </si>
  <si>
    <t>RV62060001 ส่งวางบิลไปรษณีย์ 26-04-19</t>
  </si>
  <si>
    <t>RV62050022 [70%]</t>
  </si>
  <si>
    <t>RV62050021 [down pay30% งวด1-3]</t>
  </si>
  <si>
    <t>RV62050019 งวด1 ทรายถือไปวางวิล 15-05-19 รับเช็ค PDC เมื่อ 21-05-19</t>
  </si>
  <si>
    <t>141</t>
  </si>
  <si>
    <t>บจก. นงนุชแลนด์สเคป แอนด์ การ์เด้นดีไซน์</t>
  </si>
  <si>
    <t>ปรับปรุงภูมิทัศน์ ป้ายทางหลวงพิเศษ หมายเลข 7 ชลบุรี</t>
  </si>
  <si>
    <t>140</t>
  </si>
  <si>
    <t>อ.ที่ทำการ สภ.วาริชภูมิ จ.สกลนคร</t>
  </si>
  <si>
    <t>139</t>
  </si>
  <si>
    <t>บ.เสนีย์สรรพกิจ / แฟลตเขาหินซ้อน จ.ฉะเชิงเทรา</t>
  </si>
  <si>
    <t>138</t>
  </si>
  <si>
    <t>บ.เสนีย์สรรพกิจ / แฟลต สภ.ปลวกแดง จ.ระยอง</t>
  </si>
  <si>
    <t>137</t>
  </si>
  <si>
    <t>บ.เสนีย์สรรพกิจ / สภ.คลองกิ่ว จ.ชลบุรี</t>
  </si>
  <si>
    <t>PPS-12500</t>
  </si>
  <si>
    <t>รอแจ้ง</t>
  </si>
  <si>
    <t>BABY MELLOW</t>
  </si>
  <si>
    <t>LONG MELLOW &amp; PEBBA</t>
  </si>
  <si>
    <t>TSQ0703GA1</t>
  </si>
  <si>
    <t>TSQ0801GA1</t>
  </si>
  <si>
    <t>TSQ0801GA2</t>
  </si>
  <si>
    <t>136</t>
  </si>
  <si>
    <t>ถังน้ำดาดฟ้า แฟลตหนองปรือ จ.ชลบุรี</t>
  </si>
  <si>
    <t>135</t>
  </si>
  <si>
    <t>ถังน้ำดาดฟ้า แฟลตหนองขาม จ.ชลบุรี</t>
  </si>
  <si>
    <t>เสกสรร หงษ์แสนตธรรม</t>
  </si>
  <si>
    <t>ธนิก</t>
  </si>
  <si>
    <t>(ส่วนต่าง)</t>
  </si>
  <si>
    <t>บจก. เมกา โฮม เซ็นเตอร์ (สาขาโรจนะ) สาขาที่ 0008</t>
  </si>
  <si>
    <t>144</t>
  </si>
  <si>
    <t>สนง.ราชการสมุทรปราการ</t>
  </si>
  <si>
    <t>เพื่อน.การช่าง</t>
  </si>
  <si>
    <t>วาย.เอส.เอ็น.</t>
  </si>
  <si>
    <t>บอริส</t>
  </si>
  <si>
    <t>เมกา โฮม (สนญ.)</t>
  </si>
  <si>
    <t>วิศวปัญญา</t>
  </si>
  <si>
    <t>พี่หนูไปทำ</t>
  </si>
  <si>
    <t>143</t>
  </si>
  <si>
    <t>จ.ภูเก็ต</t>
  </si>
  <si>
    <t>PA-50FB</t>
  </si>
  <si>
    <t>149</t>
  </si>
  <si>
    <t>งานสปา@พัทยา</t>
  </si>
  <si>
    <t>PSP-40-A</t>
  </si>
  <si>
    <t>PSP-70-A</t>
  </si>
  <si>
    <t>1 set</t>
  </si>
  <si>
    <t>PS-13.6-GT</t>
  </si>
  <si>
    <t>วัดอโศการาม จ.สมุทรปราการ (หน้าแปลน)</t>
  </si>
  <si>
    <t>หน้าแปลน</t>
  </si>
  <si>
    <t>บมจ. โฮม โปรดักส์ เซ็นเตอร์ (สาขาสุพรรณบุรี) สาขาที่ 00048</t>
  </si>
  <si>
    <t>งานปรับปรุงบ่อสูบ (Guide Rail)</t>
  </si>
  <si>
    <t>1906193GR</t>
  </si>
  <si>
    <t>1906192LC</t>
  </si>
  <si>
    <t>งานปรับปรุงบ่อสูบ (แก้ไขท่อ)</t>
  </si>
  <si>
    <t>1906192RP</t>
  </si>
  <si>
    <t>145</t>
  </si>
  <si>
    <t>วัดอโศการาม จ.สมุทรปราการ</t>
  </si>
  <si>
    <t>PU-70FB</t>
  </si>
  <si>
    <t>โฮมโปร มุกดาหาร (WALK WAY)</t>
  </si>
  <si>
    <t>WALK WAY</t>
  </si>
  <si>
    <t>งานดูแลระบบบำบัดน้ำเสีย MegaHome โรจนะ</t>
  </si>
  <si>
    <t>142</t>
  </si>
  <si>
    <t>WSN-797</t>
  </si>
  <si>
    <t>148</t>
  </si>
  <si>
    <t>อาคารที่พักบุคลากร ม.พะเยา</t>
  </si>
  <si>
    <t>147</t>
  </si>
  <si>
    <t>บจก. ไท่หงอี้</t>
  </si>
  <si>
    <t>รร.บ้านหนองใหญ่ จ.ชลบุรี</t>
  </si>
  <si>
    <t>146</t>
  </si>
  <si>
    <t xml:space="preserve">บจก. ก.อ. 19 ก่อสร้าง </t>
  </si>
  <si>
    <t>Lasalle Park Phase 1.1</t>
  </si>
  <si>
    <t>สาโรชการไฟฟ้า</t>
  </si>
  <si>
    <t>PRACHA50Q NO.1</t>
  </si>
  <si>
    <t>PRACHA50Q NO.2</t>
  </si>
  <si>
    <t>FLOW-D 20Q</t>
  </si>
  <si>
    <t>3ชุด</t>
  </si>
  <si>
    <t>9 ถุง</t>
  </si>
  <si>
    <t>HP-60</t>
  </si>
  <si>
    <t>3 ถุง</t>
  </si>
  <si>
    <t>15 ถุง</t>
  </si>
  <si>
    <t>2 ถุง</t>
  </si>
  <si>
    <t>5 ถุง</t>
  </si>
  <si>
    <t>SC-80</t>
  </si>
  <si>
    <t>SC-100</t>
  </si>
  <si>
    <t>1.2 คิว</t>
  </si>
  <si>
    <t>PRACHA 20 Q</t>
  </si>
  <si>
    <t>27 ถุง</t>
  </si>
  <si>
    <t>แก้ไขหน้าแปลน</t>
  </si>
  <si>
    <t>Flex 4" เสริมลวดยาง</t>
  </si>
  <si>
    <t>ข้อต่ออ่อนผ้าใบ 6"</t>
  </si>
  <si>
    <t>HP-200</t>
  </si>
  <si>
    <t>10 คิว</t>
  </si>
  <si>
    <t>LONG MELLOW (TSQ0703GA1)</t>
  </si>
  <si>
    <t>PEBBA S (TSQ0801GA1)</t>
  </si>
  <si>
    <t>4 ชิ้น</t>
  </si>
  <si>
    <t>PEBBA S (TSQ0801GA2)</t>
  </si>
  <si>
    <t>6 ถุง</t>
  </si>
  <si>
    <t>SC-60</t>
  </si>
  <si>
    <t>PS-1600GT</t>
  </si>
  <si>
    <t xml:space="preserve">PSN-4450 </t>
  </si>
  <si>
    <t>77 ถุง</t>
  </si>
  <si>
    <t>3800 ตัว</t>
  </si>
  <si>
    <t>ARH-65</t>
  </si>
  <si>
    <t>153</t>
  </si>
  <si>
    <t>Harmony &amp; IRPC</t>
  </si>
  <si>
    <t>SWO-2020</t>
  </si>
  <si>
    <t>152</t>
  </si>
  <si>
    <t>C-25060-B</t>
  </si>
  <si>
    <t>158</t>
  </si>
  <si>
    <t>157</t>
  </si>
  <si>
    <t>HRU-30K</t>
  </si>
  <si>
    <t>156</t>
  </si>
  <si>
    <t>อ.ปลวกแดง จ.ระยอง</t>
  </si>
  <si>
    <t>PT-42FB</t>
  </si>
  <si>
    <t>155</t>
  </si>
  <si>
    <t>รง.ปทุม</t>
  </si>
  <si>
    <t>WWW-AT30m3</t>
  </si>
  <si>
    <t>WSA-3100</t>
  </si>
  <si>
    <t>บมจ. โฮม โปรดักส์ เซ็นเตอร์ (สาขากาญจนบุรี) สาขาที่ 00063</t>
  </si>
  <si>
    <t>1906194TA</t>
  </si>
  <si>
    <t>1906194LC</t>
  </si>
  <si>
    <t>151</t>
  </si>
  <si>
    <t>PS-4-TO</t>
  </si>
  <si>
    <t>150</t>
  </si>
  <si>
    <t>ALT, New Production Facilities / WWT 10 CMD</t>
  </si>
  <si>
    <t>ST-ALT0519</t>
  </si>
  <si>
    <t>Q62/4</t>
  </si>
  <si>
    <t>ตู้ควบคุมมอเตอร์</t>
  </si>
  <si>
    <t>CT-04</t>
  </si>
  <si>
    <t>Q62/6</t>
  </si>
  <si>
    <t>ร.อ.เอกภาพ อรัณยกานนท์</t>
  </si>
  <si>
    <t>Q62/7</t>
  </si>
  <si>
    <t>164</t>
  </si>
  <si>
    <t>บจก. ว.ณรงค์ชัยค้าวัสดุ</t>
  </si>
  <si>
    <t>ถังน้ำ 2500 ลิตร</t>
  </si>
  <si>
    <t>กฤติยา</t>
  </si>
  <si>
    <t>Q62/8</t>
  </si>
  <si>
    <t>165</t>
  </si>
  <si>
    <t>คุณศณิสา บุญรัตน์</t>
  </si>
  <si>
    <t>SWO-2515</t>
  </si>
  <si>
    <t xml:space="preserve">งานวิเคราะห์ตัวอย่างน้ำและสั่งซื้อ Media </t>
  </si>
  <si>
    <t>190711AW</t>
  </si>
  <si>
    <t>190711MD</t>
  </si>
  <si>
    <t>สั่งซื้อลูกลอย</t>
  </si>
  <si>
    <t>1905292FS</t>
  </si>
  <si>
    <t>1905292CR</t>
  </si>
  <si>
    <t>งานดูแลระบบบำบัดน้ำเสีย</t>
  </si>
  <si>
    <t>บจก. เมกา โฮม เซ็นเตอร์ (สาขาโรจนะ) สาขาที่ 00008</t>
  </si>
  <si>
    <t>บจก. เมกา โฮม เซ็นเตอร์ (สาขานครราชสีมา) สาขาที่ 00010</t>
  </si>
  <si>
    <t>บจก. เมกา โฮม เซ็นเตอร์ (สาขาหนองคาย) สาขาที่ 00003</t>
  </si>
  <si>
    <t>บจก. เมกา โฮม เซ็นเตอร์ (สาขาแม่สอด) สาขาที่ 00002</t>
  </si>
  <si>
    <t>บจก. เมกา โฮม เซ็นเตอร์ (สาขากบินทร์บุรี) สาขาที่ 00005</t>
  </si>
  <si>
    <t>บจก. เมกา โฮม เซ็นเตอร์ (สาขาหาดใหญ่) สาขาที่ 00009</t>
  </si>
  <si>
    <t>บจก. เมกา โฮม เซ็นเตอร์ (สาขาบ่อวิน) สาขาที่ 00004</t>
  </si>
  <si>
    <t>บจก. เมกา โฮม เซ็นเตอร์ (สาขาอรัญประเทศ) สาขาที่ 00007</t>
  </si>
  <si>
    <t>ค่าขนส่ง WSA-3100</t>
  </si>
  <si>
    <t>ค่าขนส่ง WSN-797</t>
  </si>
  <si>
    <t>162</t>
  </si>
  <si>
    <t>/623</t>
  </si>
  <si>
    <t>The Delmar @ ฉะเชิงเทรา</t>
  </si>
  <si>
    <t>SSA-2533Z</t>
  </si>
  <si>
    <t>บจก. หลักสี่ออกแบบและวิศวกรรม</t>
  </si>
  <si>
    <t>โรงงานซ่อมถังก๊าซหุงต้ม จ.สงขลา ค่าขนส่ง</t>
  </si>
  <si>
    <t>159</t>
  </si>
  <si>
    <t>โรงงานซ่อมถังก๊าซหุงต้ม ภาคใต้ จ.สงขลา</t>
  </si>
  <si>
    <t>SS-527A</t>
  </si>
  <si>
    <t>SS-575A</t>
  </si>
  <si>
    <t>SGT-S80</t>
  </si>
  <si>
    <t>163</t>
  </si>
  <si>
    <t>อาคารพักนายทหารกองการบินทหารเรือ</t>
  </si>
  <si>
    <t>SWO-2525N</t>
  </si>
  <si>
    <t>SWO-2520N</t>
  </si>
  <si>
    <t>161</t>
  </si>
  <si>
    <t>หจก. ซุ่นเฮงก่อสร้าง</t>
  </si>
  <si>
    <t>อาคารกองบัญชาการกองเรือทุ่นระเบิด</t>
  </si>
  <si>
    <t>PSN-12500</t>
  </si>
  <si>
    <t>160</t>
  </si>
  <si>
    <t>แฟลต สน.ฉลองกรุง</t>
  </si>
  <si>
    <t>โฮมโปร จรัญสนิทสงศ์ (Defect) (HCWD)</t>
  </si>
  <si>
    <t>งานเปลี่ยน</t>
  </si>
  <si>
    <t>ภูตะวัน</t>
  </si>
  <si>
    <t>ษฎา วิศวกรรม</t>
  </si>
  <si>
    <t>โชคนคร</t>
  </si>
  <si>
    <t>โรงเรียนวัดวิจิตรังสิตาราม</t>
  </si>
  <si>
    <t>19080267-2</t>
  </si>
  <si>
    <t>19080269-1</t>
  </si>
  <si>
    <t>down pay 50%</t>
  </si>
  <si>
    <t>80% ส่งเอกสารหนังสือส่งมอบงาน kerry 16-08-19 x /แก้ไขส่งใหม่ 80% 22-08-19</t>
  </si>
  <si>
    <t>บจก. พี.อี.ซี.ซี. กรุ๊ป</t>
  </si>
  <si>
    <t>บจก. พีแอนด์เอสโฮมคอนสตรัคชั่น</t>
  </si>
  <si>
    <t>Mercure@ระยอง</t>
  </si>
  <si>
    <t>บจก. เมกา โฮม เซ็นเตอร์ (สาขาเชียงราย) สาขาที่ 00012</t>
  </si>
  <si>
    <t>MHCHRPM191</t>
  </si>
  <si>
    <t>บจก. เมกา โฮม เซ็นเตอร์ (สาขามีนบุรี) สาขาที่ 00006</t>
  </si>
  <si>
    <t>บมจ. โฮม โปรดักส์ เซ็นเตอร์ สาขาภูเก็ต (ถลาง) สาขาที่ 00079</t>
  </si>
  <si>
    <t>งานสั่งซื้อปั๊มพร้อมติดตั้ง</t>
  </si>
  <si>
    <t>190710NP</t>
  </si>
  <si>
    <t>190710LC</t>
  </si>
  <si>
    <t>167</t>
  </si>
  <si>
    <t>โรงแรมสะเหน่ โอลด์ ทาวน์</t>
  </si>
  <si>
    <t>SS-2515AZ</t>
  </si>
  <si>
    <t>174</t>
  </si>
  <si>
    <t>รร.วัดเสาธงหิน จ.นนทบุรี</t>
  </si>
  <si>
    <t>SS-333</t>
  </si>
  <si>
    <t>173</t>
  </si>
  <si>
    <t>แฟลต 5 ชั้น สภ.สำโรงใต้ จ.สมุทรปราการ</t>
  </si>
  <si>
    <t>172</t>
  </si>
  <si>
    <t>อาคารร้านค้า 10 ครอบครัว</t>
  </si>
  <si>
    <t>170</t>
  </si>
  <si>
    <t>อ.ที่ทำการ สภ.คำตากล้า จ.สกลนคร</t>
  </si>
  <si>
    <t>ขนส่ง อค.พักประทวน 32 ครอบครัว</t>
  </si>
  <si>
    <t>ขนส่ง NCOQ, 10 ครอบครัว, อค. พยาบาล</t>
  </si>
  <si>
    <t>169</t>
  </si>
  <si>
    <t>อาคารพักประทวน 32 ครอบครัว</t>
  </si>
  <si>
    <t>168</t>
  </si>
  <si>
    <t>อาคารพักประทวน โสด NCOQ</t>
  </si>
  <si>
    <t>PSN-8500</t>
  </si>
  <si>
    <t>166</t>
  </si>
  <si>
    <t>PS-1600A</t>
  </si>
  <si>
    <t>171</t>
  </si>
  <si>
    <t>แฟลต สภ.บางแก้ว จ.สมุทรปราการ</t>
  </si>
  <si>
    <t>RV62080021 รอใบส่งของก่อนวางบิล (28-5-19 ยังไม่ได้ใบส่งของ)</t>
  </si>
  <si>
    <t>RV62080022 70% รับเช็ค 16-08-19</t>
  </si>
  <si>
    <t>RV62080003</t>
  </si>
  <si>
    <t>RV62080025</t>
  </si>
  <si>
    <t>RV62080010</t>
  </si>
  <si>
    <t>RV62080024 30% รับโอน 20-08-19</t>
  </si>
  <si>
    <t>RV62080028</t>
  </si>
  <si>
    <t>RV62080029</t>
  </si>
  <si>
    <t>RV62070022</t>
  </si>
  <si>
    <t>RV62080007</t>
  </si>
  <si>
    <t>RV62080009</t>
  </si>
  <si>
    <t>ค่าเครน - ค่าขนส่ง MegaHome บางนา กม.27</t>
  </si>
  <si>
    <t>Crane-5K</t>
  </si>
  <si>
    <t>184</t>
  </si>
  <si>
    <t>ระบบบำบัดน้ำเสีย MegaHome บางนา กม.27</t>
  </si>
  <si>
    <t>183</t>
  </si>
  <si>
    <t>SA90MBR45</t>
  </si>
  <si>
    <t>SWO-2545</t>
  </si>
  <si>
    <t>SWO-35100</t>
  </si>
  <si>
    <t>นิติบุคคลอาคารชุด ชาญอิสสระทาวเวอร์ (สนญ.)</t>
  </si>
  <si>
    <t>Charn1-wA1</t>
  </si>
  <si>
    <t>เปลี่ยนปั๊มสูบน้ำระบบ MBR</t>
  </si>
  <si>
    <t>190702MB</t>
  </si>
  <si>
    <t>190702TC</t>
  </si>
  <si>
    <t>190702LC</t>
  </si>
  <si>
    <t>181</t>
  </si>
  <si>
    <t>ถังบัดน้ำเสีย WSA-712A</t>
  </si>
  <si>
    <t>WSA-7124</t>
  </si>
  <si>
    <t>189</t>
  </si>
  <si>
    <t>สุขุมวิท 15</t>
  </si>
  <si>
    <t>PSP-110-AS</t>
  </si>
  <si>
    <t>185</t>
  </si>
  <si>
    <t>WWW-AT5</t>
  </si>
  <si>
    <t>บมจ. โฮม โปรดักส์ เซ็นเตอร์ (สาขาเชียงใหม่ สันทราย) 00075</t>
  </si>
  <si>
    <t>190706RP</t>
  </si>
  <si>
    <t>190706LC</t>
  </si>
  <si>
    <t>งานซ่อมแผ่นกั้นระบบบำบัดน้ำเสีย</t>
  </si>
  <si>
    <t>190707RB</t>
  </si>
  <si>
    <t>190707LC</t>
  </si>
  <si>
    <t>192</t>
  </si>
  <si>
    <t>อาคารที่พักอาศัยข้าราชการกองทัพเรือ สาย 4</t>
  </si>
  <si>
    <t>BCM-125N</t>
  </si>
  <si>
    <t>191</t>
  </si>
  <si>
    <t>PTTLNG NONGFAP LNG RECE</t>
  </si>
  <si>
    <t>19090815R3</t>
  </si>
  <si>
    <t>190</t>
  </si>
  <si>
    <t>Garden in the Sky</t>
  </si>
  <si>
    <t>SWTV-2530</t>
  </si>
  <si>
    <t>188</t>
  </si>
  <si>
    <t>บจก. แซทคอมส์ กรุ๊ป</t>
  </si>
  <si>
    <t>ต่อเติม อค.กองบัญชาการ ขส.ทบ. กทม.</t>
  </si>
  <si>
    <t>187</t>
  </si>
  <si>
    <t>กิจการร่วมค้า เอ.เอ็น.ดี. เอ็นจิเนียริ่ง</t>
  </si>
  <si>
    <t>ศูนย์ความเป็นเลิศด้านการพิมพ์ จ.สุพรรณบุรี</t>
  </si>
  <si>
    <t>อภิญญา</t>
  </si>
  <si>
    <t>SSS-5117</t>
  </si>
  <si>
    <t>SS-5100AZ</t>
  </si>
  <si>
    <t>186</t>
  </si>
  <si>
    <t>ถังเก็บน้ำ สภ.แสนภูดาษ</t>
  </si>
  <si>
    <t>182</t>
  </si>
  <si>
    <t>พีแมกซ์ โกดัง</t>
  </si>
  <si>
    <t>FLEXXIBLE JOINT</t>
  </si>
  <si>
    <t>ปตท.สงขลา (ค่าขนส่ง)</t>
  </si>
  <si>
    <t>180</t>
  </si>
  <si>
    <t>จ.นครปฐม</t>
  </si>
  <si>
    <t>179</t>
  </si>
  <si>
    <t>178</t>
  </si>
  <si>
    <t>177</t>
  </si>
  <si>
    <t>175</t>
  </si>
  <si>
    <t>176</t>
  </si>
  <si>
    <t>อาคารพยาบาล</t>
  </si>
  <si>
    <t>ถังบำบัดน้ำเสีย WSA-315</t>
  </si>
  <si>
    <t>WSA-315</t>
  </si>
  <si>
    <t>แฟลต 5 ชั้น สภ.บ้านดู่ จ.เชียงราย</t>
  </si>
  <si>
    <t>แฟลต 5 ชั้น ภ.จว.เชียงราย หลัง 2</t>
  </si>
  <si>
    <t>194</t>
  </si>
  <si>
    <t>พลเรือตรีจำศักดิ์</t>
  </si>
  <si>
    <t>แอตแลนต้า</t>
  </si>
  <si>
    <t>ก.อ. 19 ก่อสร้าง</t>
  </si>
  <si>
    <t>พราวเอเซีย</t>
  </si>
  <si>
    <t>พี.อี.ซี.ซี. กรุ๊ป</t>
  </si>
  <si>
    <t>ซุ่นเฮงก่อสร้าง</t>
  </si>
  <si>
    <t>นงนุชแลนด์สเคป</t>
  </si>
  <si>
    <t>เอกปรานต์</t>
  </si>
  <si>
    <t>ว.ณรงค์ชัยค้าวัสดุ</t>
  </si>
  <si>
    <t>หลักสี่ออกแบบฯ</t>
  </si>
  <si>
    <t>เวียงพานทวีภัณฑ์</t>
  </si>
  <si>
    <t>พีแอนด์เอสโฮม</t>
  </si>
  <si>
    <t>ไทยทากาซาโก</t>
  </si>
  <si>
    <t>โกลเดน ไลน์</t>
  </si>
  <si>
    <t>บจก. เมกา โฮม เซ็นเตอร์ (สาขาเชียงราย) 00012</t>
  </si>
  <si>
    <t>งานซ่อม Permeate Pump</t>
  </si>
  <si>
    <t>190903PP</t>
  </si>
  <si>
    <t>บจก. เมกา โฮม เซ็นเตอร์ (สาขาหนองคาย) 00003</t>
  </si>
  <si>
    <t>190804RP</t>
  </si>
  <si>
    <t>190804LC</t>
  </si>
  <si>
    <t>195</t>
  </si>
  <si>
    <t>ถังบำบัดน้ำเสีย WSA-387</t>
  </si>
  <si>
    <t>WSA-387</t>
  </si>
  <si>
    <t>193</t>
  </si>
  <si>
    <t>/63</t>
  </si>
  <si>
    <t xml:space="preserve">พ.อ.พิเชษฐ์ </t>
  </si>
  <si>
    <t>สุทธิพงษ์</t>
  </si>
  <si>
    <t>ค่าราวบันได</t>
  </si>
  <si>
    <t>เสกสรร / ทวีวัฒน์</t>
  </si>
  <si>
    <t>คมกริบ นุตราลัย</t>
  </si>
  <si>
    <t>ปิยพร</t>
  </si>
  <si>
    <t>งวด4</t>
  </si>
  <si>
    <t>RV62080038</t>
  </si>
  <si>
    <t>RV62080038 (26,096 บาท) เหลือ 53,904 บาท</t>
  </si>
  <si>
    <t>RV62080036 รับโอน 31-08-19</t>
  </si>
  <si>
    <t>RV62080037</t>
  </si>
  <si>
    <t>RV62080034 ส่ง inv ให้คุณเจี๊ยบทางไลน์ 27-05-19</t>
  </si>
  <si>
    <t>RV62080033 ส่ง line 18-07-19</t>
  </si>
  <si>
    <t>RV62080032 งวด2 60% รับโอน 27-08-19</t>
  </si>
  <si>
    <t>RV62080031 30%</t>
  </si>
  <si>
    <t>RV62080030</t>
  </si>
  <si>
    <t>RV62080027 รับโอน 22-08-19</t>
  </si>
  <si>
    <t>RV62080026 70% รับโอน 20-08-19</t>
  </si>
  <si>
    <t>RV62080023 จะวางบิล 03-07-19</t>
  </si>
  <si>
    <t>RV62080020 30%รับโอน 17-08-19</t>
  </si>
  <si>
    <t>RV62080019 ส่ง mail ให้คุณโกมล / คุณฟ้า 24-06-19</t>
  </si>
  <si>
    <t>RV62080018 งวด3</t>
  </si>
  <si>
    <t>RV62080017 งวด1</t>
  </si>
  <si>
    <t>RV62080014 ส่ง line 09-07-19</t>
  </si>
  <si>
    <t>RV62080013 down pay 30%</t>
  </si>
  <si>
    <t>RV62080012 วางบิลหน้างาน 04-07-19</t>
  </si>
  <si>
    <t>RV62080011 รับ PDC 25-06-19</t>
  </si>
  <si>
    <t>RV62080008 down pay 30%</t>
  </si>
  <si>
    <t>RV62080006 85% ส่ง inv ให้คุณแพรวทางไลน์ 20-06-19</t>
  </si>
  <si>
    <t>RV62805.11 งวด3</t>
  </si>
  <si>
    <t>RV62805.10</t>
  </si>
  <si>
    <t>RV620805.9 งวด3</t>
  </si>
  <si>
    <t>RV620805.8 งวด3</t>
  </si>
  <si>
    <t>RV620805.7 งวด3</t>
  </si>
  <si>
    <t>RV620805.6 งวด1 [แทน 18070257]</t>
  </si>
  <si>
    <t>RV620805.6 งวด3</t>
  </si>
  <si>
    <t>RV620805.5</t>
  </si>
  <si>
    <t>RV620805.4 งวด3</t>
  </si>
  <si>
    <t>RV620805.3 งวด7</t>
  </si>
  <si>
    <t>RV620805.2 งวด7</t>
  </si>
  <si>
    <t xml:space="preserve">RV620805.1 งวด2 </t>
  </si>
  <si>
    <t>RV62080005 งวด7</t>
  </si>
  <si>
    <t>RV62080004</t>
  </si>
  <si>
    <t>RV62080004 พี่ต๋องไปวางบิล 28-06-19</t>
  </si>
  <si>
    <t>RV62080002 ส่ง line 02-07-19</t>
  </si>
  <si>
    <t>RV62080001</t>
  </si>
  <si>
    <t>RV62070020</t>
  </si>
  <si>
    <t>RV62070019</t>
  </si>
  <si>
    <t>RV62070019 รับเช็คแล้ว</t>
  </si>
  <si>
    <t>RV62070018</t>
  </si>
  <si>
    <t>RV62070017 ส่ง inv ให้คุณแพรวทางไลน์ 7-6-19</t>
  </si>
  <si>
    <t>RV62070016 30% พี่มี่ส่ง inv 09-07-19</t>
  </si>
  <si>
    <t>RV62070016 70% พี่มี่ส่ง inv 09-07-19</t>
  </si>
  <si>
    <t>RV62070015 รับโอนแล้ว 22-07-19</t>
  </si>
  <si>
    <t>RV62070014</t>
  </si>
  <si>
    <t>RV62070013 รับโอน 15-07-19</t>
  </si>
  <si>
    <t xml:space="preserve">RV62070012 รับ PDC 30% [วันที่ไป จ.กาญจนบุรี] </t>
  </si>
  <si>
    <t>RV62070010 down pay 30% รับโอน 09-07-19</t>
  </si>
  <si>
    <t>RV62070009 รับ PDC 01-07-19</t>
  </si>
  <si>
    <t>RV62070008 จะไปรับ PDC 28-05-19</t>
  </si>
  <si>
    <t>RV62707.15 งวด3</t>
  </si>
  <si>
    <t>RV62707.14 งวด3</t>
  </si>
  <si>
    <t>RV62707.13 งวด1</t>
  </si>
  <si>
    <t>RV62707.13 งวด3</t>
  </si>
  <si>
    <t>RV62707.12 งวด3</t>
  </si>
  <si>
    <t>RV62707.11 งวด3</t>
  </si>
  <si>
    <t>RV62707.10 งวด3</t>
  </si>
  <si>
    <t>RV620707.9 งวด3</t>
  </si>
  <si>
    <t>RV620707.8 งวด3</t>
  </si>
  <si>
    <t>RV620707.8</t>
  </si>
  <si>
    <t>RV620707.7 งวด3</t>
  </si>
  <si>
    <t>RV611007.8 งวด1</t>
  </si>
  <si>
    <t>RV620707.7</t>
  </si>
  <si>
    <t>RV620707.6 งวด3</t>
  </si>
  <si>
    <t>RV620707.5 งวด3</t>
  </si>
  <si>
    <t>RV620707.4 งวด3</t>
  </si>
  <si>
    <t>RV620707.3 งวด3</t>
  </si>
  <si>
    <t>RV620707.2</t>
  </si>
  <si>
    <t>RV620707.1 งวด6</t>
  </si>
  <si>
    <t>RV62070007 งวด3</t>
  </si>
  <si>
    <t>RV62070005 พี่มี่ถ่าย inv 01-07-19</t>
  </si>
  <si>
    <r>
      <t xml:space="preserve">RV62070004 ส่งไปรษณีย์วางบิล </t>
    </r>
    <r>
      <rPr>
        <sz val="12"/>
        <color rgb="FFFF0000"/>
        <rFont val="TH Sarabun New"/>
        <family val="2"/>
      </rPr>
      <t>EQ403716983TH</t>
    </r>
  </si>
  <si>
    <r>
      <t xml:space="preserve">RV62070003 down pay 30% รับโอน 02-07-19 </t>
    </r>
    <r>
      <rPr>
        <sz val="10"/>
        <color rgb="FFFF0000"/>
        <rFont val="TH Sarabun New"/>
        <family val="2"/>
      </rPr>
      <t>[บจก. ช่างไทย เอ็นจิเนียริ่ง แอนด์ แมเนจเม้นท์]</t>
    </r>
  </si>
  <si>
    <t>RV62070002 30% รับเงินแล้ว</t>
  </si>
  <si>
    <t>RV62070002 70% รับเงินแล้ว</t>
  </si>
  <si>
    <t>RV62070002 รับเงินแล้ว</t>
  </si>
  <si>
    <t>RV62070001</t>
  </si>
  <si>
    <t>196</t>
  </si>
  <si>
    <t>200</t>
  </si>
  <si>
    <t>บจก. วงศ์จันทร์</t>
  </si>
  <si>
    <t>แดนความมั่นคงสูงสุด รจ.พิษณุโลก</t>
  </si>
  <si>
    <t>197</t>
  </si>
  <si>
    <t>บจก. ออสโมเพียว</t>
  </si>
  <si>
    <t>PTT Health Care</t>
  </si>
  <si>
    <t>BU-6408</t>
  </si>
  <si>
    <t>Toyu Industries</t>
  </si>
  <si>
    <t>199</t>
  </si>
  <si>
    <t>บจก. ยะลาธนาดุล</t>
  </si>
  <si>
    <t>อ.ที่ทำการ สภ.รือเสาะ จ.นราธิวาส</t>
  </si>
  <si>
    <t>PPS-2600</t>
  </si>
  <si>
    <t>PSS-765</t>
  </si>
  <si>
    <t>198</t>
  </si>
  <si>
    <t>อ.ที่ทำการ สภ.ศรีสำโรง จ.สุโขทัย</t>
  </si>
  <si>
    <t>นภาพร จรูญรักษ์</t>
  </si>
  <si>
    <t>กรมราชทัณฑ์</t>
  </si>
  <si>
    <t>19090370-1</t>
  </si>
  <si>
    <t>บมจ. โฮม โปรดักส์ เซ็นเตอร์ (สาขาเชียงราย) 00069</t>
  </si>
  <si>
    <t>190807RP</t>
  </si>
  <si>
    <t>190807LC</t>
  </si>
  <si>
    <t>190808RP</t>
  </si>
  <si>
    <t>190808LC</t>
  </si>
  <si>
    <t>บมจ. โฮม โปรดักส์ เซ็นเตอร์ (สาขาพระราม 3) 00089</t>
  </si>
  <si>
    <t>งานแก้ไขระบบควบคุมการทำงานของปั๊ม</t>
  </si>
  <si>
    <t>1905241EQ</t>
  </si>
  <si>
    <t>1905241LC</t>
  </si>
  <si>
    <t>งานสั่งซื้อเครื่องเติมอากาศพร้อมติดตั้ง</t>
  </si>
  <si>
    <t>190709AB</t>
  </si>
  <si>
    <t>190708LC</t>
  </si>
  <si>
    <t>MU Company Ltd.</t>
  </si>
  <si>
    <t>DEMO TANK</t>
  </si>
  <si>
    <t>DEMOTANK</t>
  </si>
  <si>
    <t>201</t>
  </si>
  <si>
    <t>บจก. เลิศสามารถโยธา</t>
  </si>
  <si>
    <t>หมู่บ้านประภาทรัพย์ โครงการ 6</t>
  </si>
  <si>
    <t>SJ-372Z</t>
  </si>
  <si>
    <t>19090381-1</t>
  </si>
  <si>
    <t>บจก. นงนุชพัทยาการ์เด้น ดีไซน์</t>
  </si>
  <si>
    <t xml:space="preserve">บจก. นันตา ฟู้ด </t>
  </si>
  <si>
    <t>203</t>
  </si>
  <si>
    <t>หจก. สุนันทา-เอ็ก-สปีดก่อสร้าง</t>
  </si>
  <si>
    <t>งบประมาณภัยแล้ง จ.นครปฐม</t>
  </si>
  <si>
    <t>บำบัดน้ำเสียภายในโรงงาน</t>
  </si>
  <si>
    <t>วิเคราะห์</t>
  </si>
  <si>
    <t>19090911R1</t>
  </si>
  <si>
    <t>202</t>
  </si>
  <si>
    <t>อาคารนงนุชเทรดดิชั่น จ.ชลบุรี</t>
  </si>
  <si>
    <t>บมจ. โฮม โปรดักส์ เซ็นเตอร์ (สาขามหาชัย) 00056</t>
  </si>
  <si>
    <t>190715FS</t>
  </si>
  <si>
    <t>190715TC</t>
  </si>
  <si>
    <t>190715LC</t>
  </si>
  <si>
    <t>RV62090030</t>
  </si>
  <si>
    <t>RV62090029</t>
  </si>
  <si>
    <t>RV62090028 รับ PDC 20-08-19</t>
  </si>
  <si>
    <t>RV62090027 30% ทรายถ่ายรูปส่ง 27-09-19</t>
  </si>
  <si>
    <t>RV62090026 ส่งไปรษณีย์วางบิล 22-08-19</t>
  </si>
  <si>
    <t>RV62090025 30% รับเงินโอนแล้ว</t>
  </si>
  <si>
    <t>RV62090024 ส่ง line ให้คุณกุ๊ก 21-08-19</t>
  </si>
  <si>
    <t>RV62090023 รับโอน 24-09-19</t>
  </si>
  <si>
    <t>RV62090022</t>
  </si>
  <si>
    <t>RV62090021 พี่มี่ถ่ายรูปส่ง 17-09-19</t>
  </si>
  <si>
    <t>RV62090020 30%</t>
  </si>
  <si>
    <t>RV62090020 70%</t>
  </si>
  <si>
    <t>RV62090019 70% รับเงินโอน</t>
  </si>
  <si>
    <t xml:space="preserve">RV62090018 </t>
  </si>
  <si>
    <t>RV62090017</t>
  </si>
  <si>
    <t>RV62090016 70%</t>
  </si>
  <si>
    <t>RV62090015 20%</t>
  </si>
  <si>
    <t>RV62090014 จะวางบิล 22-7-19</t>
  </si>
  <si>
    <t>RV62090014 จะวางบิล 22-07-19</t>
  </si>
  <si>
    <t>RV62090014 ส่งวางบิล Kerry 30-07-19 [(9 จาก 10 ใบ]</t>
  </si>
  <si>
    <t>RV62090014 ส่งวางบิล Kerry 30-07-19</t>
  </si>
  <si>
    <t>RV62090013 รับโอนแล้ว</t>
  </si>
  <si>
    <t>RV62090012</t>
  </si>
  <si>
    <t>RV62090011 30% รับเงินโอน</t>
  </si>
  <si>
    <t>RV620910.2 งวด3</t>
  </si>
  <si>
    <t>RV620910.1 งวด3</t>
  </si>
  <si>
    <t>RV62090010</t>
  </si>
  <si>
    <t>RV62090009 ส่งบิลพร้อมของ 24-07-19</t>
  </si>
  <si>
    <t>RV62090008</t>
  </si>
  <si>
    <t>RV62090007</t>
  </si>
  <si>
    <t>RV62090005</t>
  </si>
  <si>
    <t>RV62010018 [ค้ำประกัน 10% RV62090003]</t>
  </si>
  <si>
    <t>RV62020016 [ค้ำประกัน 10% RV62090003]</t>
  </si>
  <si>
    <t>RV62030014 [ค้ำประกัน 10% RV62090003]</t>
  </si>
  <si>
    <t>RV62040018 [ค้ำประกัน 10% RV62090003]</t>
  </si>
  <si>
    <t>RV62090002 รับ PDC 19-07-19</t>
  </si>
  <si>
    <t>RV62090002 รับ PDC 19-7-19</t>
  </si>
  <si>
    <t>RV62090001 วางบิล 19-7-19</t>
  </si>
  <si>
    <t>205</t>
  </si>
  <si>
    <t>204</t>
  </si>
  <si>
    <t>อิตาเลียนไทย</t>
  </si>
  <si>
    <t>ไท่หงอี้</t>
  </si>
  <si>
    <t>ยะลาธนาดุล</t>
  </si>
  <si>
    <t>คุณศณิสา</t>
  </si>
  <si>
    <t>62 ถุง</t>
  </si>
  <si>
    <t>2 เครื่อง</t>
  </si>
  <si>
    <t>19 ถุง</t>
  </si>
  <si>
    <t>SW-2520</t>
  </si>
  <si>
    <t>208</t>
  </si>
  <si>
    <t>บจก. อาควา นิชิฮาร่า คอร์ปอเรชั่น</t>
  </si>
  <si>
    <t>206</t>
  </si>
  <si>
    <t>ART@ภูเก็ต</t>
  </si>
  <si>
    <t>PSP-20-A</t>
  </si>
  <si>
    <t>PSP-30-A</t>
  </si>
  <si>
    <t>อีสเทิร์นซีบอร์ด</t>
  </si>
  <si>
    <t>PS-6470A</t>
  </si>
  <si>
    <t>PS-7500A</t>
  </si>
  <si>
    <t>207</t>
  </si>
  <si>
    <t>อค.อเนกประสงค์วัดจักรวรรดิ์</t>
  </si>
  <si>
    <t>/206</t>
  </si>
  <si>
    <t>Q62/9</t>
  </si>
  <si>
    <t>บจก. ส.รุ่งเรืองไพศาล</t>
  </si>
  <si>
    <t>แฟลต สภ.นครหลวง จ.อยุธยา</t>
  </si>
  <si>
    <t>19090382-1</t>
  </si>
  <si>
    <t>19100416-1</t>
  </si>
  <si>
    <t>217</t>
  </si>
  <si>
    <t>ถังบำบัดน้ำเสีย WSA-1608Z</t>
  </si>
  <si>
    <t>WSA-1608Z</t>
  </si>
  <si>
    <t>215</t>
  </si>
  <si>
    <t>WTF-20-PTT-R1</t>
  </si>
  <si>
    <t>บจก. โฮม โปรดักส์ เซ็นเตอร์ (สาขาลำปาง) สาขาที่ 00071</t>
  </si>
  <si>
    <t>สำรวจระบบบำบัดน้ำเสีย</t>
  </si>
  <si>
    <t>190901SV</t>
  </si>
  <si>
    <t>ระบบกรองน้ำใช้จากน้ำบาดาล MegaHome บ้านฉาง</t>
  </si>
  <si>
    <t>NTT-0008</t>
  </si>
  <si>
    <t>ฝาแมนโฮล</t>
  </si>
  <si>
    <t>ฝา Medium Duty ปรับปรุงอาคาร ศพด.อร.</t>
  </si>
  <si>
    <t>19100986R1</t>
  </si>
  <si>
    <t>216</t>
  </si>
  <si>
    <t>บจก. วลัยรัตน์การโยธา</t>
  </si>
  <si>
    <t>แฟลต สภอ.นาหว้า จ.นครพนม</t>
  </si>
  <si>
    <t>213</t>
  </si>
  <si>
    <t>ปรับปรุงอาคาร สนง. ศรชล เพิ่มเติมครั้งที่ 2</t>
  </si>
  <si>
    <t>PSN-15500</t>
  </si>
  <si>
    <t>210</t>
  </si>
  <si>
    <t>ปรับปรุงอาคาร ศรชล. เพิ่มเติมครั้งที่ 2</t>
  </si>
  <si>
    <t>211</t>
  </si>
  <si>
    <t>214</t>
  </si>
  <si>
    <t>212</t>
  </si>
  <si>
    <t>ถังบำบัดน้ำเสีย WSN-581</t>
  </si>
  <si>
    <t>WSN-581</t>
  </si>
  <si>
    <t>209</t>
  </si>
  <si>
    <t>ส.รุ่งเรืองไพศาล</t>
  </si>
  <si>
    <t>ฟอร์คอน</t>
  </si>
  <si>
    <t>เวิลด์ เดสคอน</t>
  </si>
  <si>
    <t>นาวาเอกพรชัย</t>
  </si>
  <si>
    <t>เจริญชัยชลบุรีก่อสร้าง</t>
  </si>
  <si>
    <t>สุนันทา</t>
  </si>
  <si>
    <t>7 ชุด</t>
  </si>
  <si>
    <t>PSP-20A</t>
  </si>
  <si>
    <t>BCM-125N NO.4</t>
  </si>
  <si>
    <t>5 คิว</t>
  </si>
  <si>
    <t>BCM-125N NO.3</t>
  </si>
  <si>
    <t>ARC-50</t>
  </si>
  <si>
    <t>BCM-125N NO.2</t>
  </si>
  <si>
    <t>ปั๊ม CRS</t>
  </si>
  <si>
    <t>BCM-125N NO.1</t>
  </si>
  <si>
    <t>SA-90MBR45 NO.2</t>
  </si>
  <si>
    <t>Flex 6" เสริมลวดยาง</t>
  </si>
  <si>
    <t>13 คิว</t>
  </si>
  <si>
    <t>ปั๊ม CVS-40R</t>
  </si>
  <si>
    <t>SA-90MBR45 NO.1</t>
  </si>
  <si>
    <t>16 ถุง</t>
  </si>
  <si>
    <t>220</t>
  </si>
  <si>
    <t>The Delmar - ต่อคอถังบำบัด</t>
  </si>
  <si>
    <t>219</t>
  </si>
  <si>
    <t>Satori Myanmar Construction Co., Ltd.</t>
  </si>
  <si>
    <t>Mmam Satori Mandalay</t>
  </si>
  <si>
    <t>BCM-25E</t>
  </si>
  <si>
    <t>SSA-1608Z</t>
  </si>
  <si>
    <t>SGT-1604</t>
  </si>
  <si>
    <t>บจก. ก.อ. 19 ก่อสร้าง</t>
  </si>
  <si>
    <t>Lasalle Avenue Phase 2 - WWT 100 CMD</t>
  </si>
  <si>
    <t>SA-100720Z</t>
  </si>
  <si>
    <t>224</t>
  </si>
  <si>
    <t>ก่อสร้างอาคาร 5 ชั้น วัดยานนาวา</t>
  </si>
  <si>
    <t>PSN-6000</t>
  </si>
  <si>
    <t xml:space="preserve">waste </t>
  </si>
  <si>
    <t>223</t>
  </si>
  <si>
    <t>บจก. วรากิจ</t>
  </si>
  <si>
    <t>จัดตั้งพิพิธภัณฑ์ทหารเรือแห่งใหม่</t>
  </si>
  <si>
    <t>C-25050-B</t>
  </si>
  <si>
    <t>SS-763AZ</t>
  </si>
  <si>
    <t>PGT-1600</t>
  </si>
  <si>
    <t>222</t>
  </si>
  <si>
    <t>ตึกคณะวิศวกรรมศาสตร์ ม.ปทุม</t>
  </si>
  <si>
    <t>221</t>
  </si>
  <si>
    <t>โรงแรม@ภูเก็ต</t>
  </si>
  <si>
    <t>PSP-18-A</t>
  </si>
  <si>
    <t>218</t>
  </si>
  <si>
    <t>Q62/10</t>
  </si>
  <si>
    <t>คุณนภาพร</t>
  </si>
  <si>
    <t>19100927R1</t>
  </si>
  <si>
    <t>227</t>
  </si>
  <si>
    <t>09, 14, 20-11-19</t>
  </si>
  <si>
    <t>บจก. ปีกานติ</t>
  </si>
  <si>
    <t>กส.อค. รองรับการย้าย กลน.กร.บางนา</t>
  </si>
  <si>
    <t>ณัฐฌาณ์ญฎา</t>
  </si>
  <si>
    <t>19100985R1</t>
  </si>
  <si>
    <t>226</t>
  </si>
  <si>
    <t>สภ.เขาสวนกวาง จ.ขอนแก่น</t>
  </si>
  <si>
    <t>19101036R1</t>
  </si>
  <si>
    <t>225</t>
  </si>
  <si>
    <t>ต่อเติมออฟฟิศ EXCON ตึกใหม่</t>
  </si>
  <si>
    <t>อันจะกิน วิลล่า จ.เชียงใหม่</t>
  </si>
  <si>
    <t>19100441-1</t>
  </si>
  <si>
    <t>19110450-1</t>
  </si>
  <si>
    <t>230</t>
  </si>
  <si>
    <t>229</t>
  </si>
  <si>
    <t>228</t>
  </si>
  <si>
    <t>บางชัน</t>
  </si>
  <si>
    <t>บมจ. โฮม โปรดักส์ เซ็นเตอร์ สาขาชลบุรี (อมตะ) 00085</t>
  </si>
  <si>
    <t>บจก. ทรีท-วอเตอร์ เทคโนโลยี</t>
  </si>
  <si>
    <t>233</t>
  </si>
  <si>
    <t>บจก. กวงชิน คอนสตรัคชั่น</t>
  </si>
  <si>
    <t>แฟลต 30 ครอบครัว สภ.บ้านแปลง จ.จันทบุรี</t>
  </si>
  <si>
    <t>232</t>
  </si>
  <si>
    <t>ถังเก็บน้ำ สภ.เขาสวนกวาง จ.ขอนแก่น</t>
  </si>
  <si>
    <t>SW-2030</t>
  </si>
  <si>
    <t>231</t>
  </si>
  <si>
    <t>UV SYSTEM_LAMPOON</t>
  </si>
  <si>
    <t>BU-360Z</t>
  </si>
  <si>
    <t>หจก. พีบีเอสเกียรติศักดิ์เอ็นจิเนียริ่งแอนด์ซัพพลาย</t>
  </si>
  <si>
    <t>โรงพยาบาลเกาะยาวชัยพัฒน์ จ.พังงา</t>
  </si>
  <si>
    <t>ณัชณาณ์ญฎา</t>
  </si>
  <si>
    <t>C-25280C</t>
  </si>
  <si>
    <t xml:space="preserve">บจก. เอไอเอ </t>
  </si>
  <si>
    <t>UV DISINFECTION SYSTEM AIA Sathorn Tower</t>
  </si>
  <si>
    <t>BU-BL90</t>
  </si>
  <si>
    <t>Garden tn the sky</t>
  </si>
  <si>
    <t>SWTV-207</t>
  </si>
  <si>
    <t>สั่งซื้อ Permeate Pump พร้อมติดตั้ง</t>
  </si>
  <si>
    <t>190918LC</t>
  </si>
  <si>
    <t>การไฟฟ้า</t>
  </si>
  <si>
    <t>วลัยรัตน์การโยธา</t>
  </si>
  <si>
    <t>เอ็กซ์คอน</t>
  </si>
  <si>
    <t>วงศ์จันทร์</t>
  </si>
  <si>
    <t>LA-45</t>
  </si>
  <si>
    <t>13 ชุด</t>
  </si>
  <si>
    <t>1.6 ส</t>
  </si>
  <si>
    <t>3.25 คิว</t>
  </si>
  <si>
    <t>3800 คิว</t>
  </si>
  <si>
    <t>RV62100037 ส่งไลน์ให้มุก 24-10-19</t>
  </si>
  <si>
    <t>RV62100036 ส่งวางบิลไปรษณีย์ 19-09-19</t>
  </si>
  <si>
    <t>RV62100036 ส่งไปรษณีย์วางบิล 19-09-19</t>
  </si>
  <si>
    <t>RV62100036 ส่งวางบิล kerry 28-09-19</t>
  </si>
  <si>
    <t>RV62100036 ส่ง Kerry 28-09-19</t>
  </si>
  <si>
    <t>RV62100035 ส่งไปรษณีย์ 24-09-19</t>
  </si>
  <si>
    <t>RV62100034 ส่งไลน์ให้พี่มี่ 28-10-19</t>
  </si>
  <si>
    <t>RV62100032</t>
  </si>
  <si>
    <t>RV62100031 70% ส่งให้พี่มี่ในไลน์ 28-10-19</t>
  </si>
  <si>
    <t>RV62100030 ส่ง line 09-09-19</t>
  </si>
  <si>
    <t>RV62100029 รับเช็คหน้างานตอนส่งของ</t>
  </si>
  <si>
    <t>RV62100028 รับเงินโอนแล้ว</t>
  </si>
  <si>
    <t>RV62100027 70% รับโอน 22-10-19</t>
  </si>
  <si>
    <t>RV62100026 รอใบส่งของและเปิด inv อีกใบที่เหลือจึงวางบิล วางบิล 01-10-19</t>
  </si>
  <si>
    <t>RV62100026 วางบิล 01-10-19</t>
  </si>
  <si>
    <t>RV62100025 30%</t>
  </si>
  <si>
    <t>RV62100025 70%</t>
  </si>
  <si>
    <t>RV62100024 รับโอน 22-10-19</t>
  </si>
  <si>
    <t>RV62100022 30% รับโอนแล้ว</t>
  </si>
  <si>
    <t>RV62100021 ส่ง line 02-09-19</t>
  </si>
  <si>
    <t>RV62100020 ส่ง line 02-09-19</t>
  </si>
  <si>
    <t>RV62100019 รับ PDC</t>
  </si>
  <si>
    <t>RV62100018 30% ทรายถ่ายรูปส่ง 27-09-19</t>
  </si>
  <si>
    <t>RV62100017 พี่เปี๊ยกถือเอกสารไปเก็บเงิน</t>
  </si>
  <si>
    <t>RV62100015 รับโอนแล้ว</t>
  </si>
  <si>
    <t>RV62100014 30%</t>
  </si>
  <si>
    <t>RV62100013 70%</t>
  </si>
  <si>
    <t>RV62100012 รับเงิน 30% 05-07-19</t>
  </si>
  <si>
    <t>RV621011.7</t>
  </si>
  <si>
    <t>RV621011.6 งวด3</t>
  </si>
  <si>
    <t>RV621011.6</t>
  </si>
  <si>
    <t>RV621011.5</t>
  </si>
  <si>
    <t>RV621011.4</t>
  </si>
  <si>
    <t>RV621011.3 งวด7</t>
  </si>
  <si>
    <t>RV621011.2 งวด8</t>
  </si>
  <si>
    <t>RV621011.1 งวด8</t>
  </si>
  <si>
    <t>RV62100011</t>
  </si>
  <si>
    <t>RV62100010 เตรียมรับ PDC 23-08-19</t>
  </si>
  <si>
    <t>RV62100010 รับ PDC 23-08-19</t>
  </si>
  <si>
    <t>RV621008.4 งวด1</t>
  </si>
  <si>
    <t>RV621008.3 พี่อ๊อดถือไปวางบิล 18-07-19</t>
  </si>
  <si>
    <t>RV621008.2</t>
  </si>
  <si>
    <t>RV621008.2 งวด1</t>
  </si>
  <si>
    <t>RV621008.1 งวด1</t>
  </si>
  <si>
    <t>RV62100008 งวด1</t>
  </si>
  <si>
    <t>RV62100007 พี่นึกเอาใบสีเหลืองไปเดินเรื่อง ส่งงาน + ตั้งเบิก (ล/ค แจ้งไม่ต้องลงวันที่เปิด-ครบกำหนด)</t>
  </si>
  <si>
    <t>RV62100006 ส่งพร้อมเอกสารหนังส่งมอบงาน kerry 16-08-19</t>
  </si>
  <si>
    <t>RV62100005 รับเงินโอนแล้ว</t>
  </si>
  <si>
    <t>RV62100004 30% ส่ง line 12-09-19</t>
  </si>
  <si>
    <t>RV62100003 วางบิล 24-07-19</t>
  </si>
  <si>
    <t>RV62100002 วางบิล 14-08-19</t>
  </si>
  <si>
    <t>RV62100001 รับเงินโอนแล้ว</t>
  </si>
  <si>
    <t>บมจ. โฮม โปรดักส์ เซ็นเตอร์ (สาขาสุพรรณบุรี) 00048</t>
  </si>
  <si>
    <t>Pressure Gauge</t>
  </si>
  <si>
    <t>ฝา Medium Duty ปรับปรุงอาคาร ศพด.อร</t>
  </si>
  <si>
    <t>235</t>
  </si>
  <si>
    <t>บ้านธนารักษ์ จ.กาญจนบุรี</t>
  </si>
  <si>
    <t>190904P</t>
  </si>
  <si>
    <t>234</t>
  </si>
  <si>
    <t>ทยอยรับสินค้า</t>
  </si>
  <si>
    <t>ถังบัดน้ำเสีย WPF-1600</t>
  </si>
  <si>
    <t>WPF-1600</t>
  </si>
  <si>
    <t>นงนุชพัทยาการ์เด้นดีไซน์</t>
  </si>
  <si>
    <t>38 ถุง</t>
  </si>
  <si>
    <t>SBV-16032</t>
  </si>
  <si>
    <t>OASIS-8Z</t>
  </si>
  <si>
    <t>13 ถุง</t>
  </si>
  <si>
    <t>18 ชุด</t>
  </si>
  <si>
    <t>12 ชุด</t>
  </si>
  <si>
    <t>18 เส้น</t>
  </si>
  <si>
    <t>48 ถุง</t>
  </si>
  <si>
    <t>30 ถุง</t>
  </si>
  <si>
    <t>Flex 4"</t>
  </si>
  <si>
    <t>1.75 ถุง</t>
  </si>
  <si>
    <t>3 เครื่อง</t>
  </si>
  <si>
    <t>23 ถุง</t>
  </si>
  <si>
    <t>1 ถุง</t>
  </si>
  <si>
    <t>31 ถุง</t>
  </si>
  <si>
    <t>SC-50</t>
  </si>
  <si>
    <t>4.2 คิว</t>
  </si>
  <si>
    <t>4/200</t>
  </si>
  <si>
    <t>6/200</t>
  </si>
  <si>
    <t>236</t>
  </si>
  <si>
    <t>ทวีวัฒน์ อินสุข</t>
  </si>
  <si>
    <t>11 ถุง</t>
  </si>
  <si>
    <t>7.5 คิว</t>
  </si>
  <si>
    <t>SSR-65</t>
  </si>
  <si>
    <t>9 คิว</t>
  </si>
  <si>
    <t>12 เส้น</t>
  </si>
  <si>
    <t>4 คิว</t>
  </si>
  <si>
    <t>SA-70720Z NO.3</t>
  </si>
  <si>
    <t>11.25 คิว</t>
  </si>
  <si>
    <t>SA-70720Z NO.2</t>
  </si>
  <si>
    <t>Flex 6"เสริมลวดยาง</t>
  </si>
  <si>
    <t>19.75 คิว</t>
  </si>
  <si>
    <t>SA-70720Z NO.1</t>
  </si>
  <si>
    <t>1 ตู้</t>
  </si>
  <si>
    <t>ฝากขาย</t>
  </si>
  <si>
    <t>19110480-1</t>
  </si>
  <si>
    <t>238</t>
  </si>
  <si>
    <t>บจก. พาโนแลนด์</t>
  </si>
  <si>
    <t>ถังบำบัดน้ำเสีย 3000 ลิตร_บ้านพักชั่วคราว</t>
  </si>
  <si>
    <t>237</t>
  </si>
  <si>
    <t>หจก. พี.บี.เอส เกียรติศักดิ์ เอ็นจิเนียริ่งแอนด์ซัพพลาย</t>
  </si>
  <si>
    <t>โรงพยาบาลกะปงชัยพัฒน์ จ.พังงา</t>
  </si>
  <si>
    <t>19110473-1</t>
  </si>
  <si>
    <t>239</t>
  </si>
  <si>
    <t>Q62/11</t>
  </si>
  <si>
    <t>Q62/12</t>
  </si>
  <si>
    <t>สมศักดิ์ อุนานุยา</t>
  </si>
  <si>
    <t>บมจ. โฮม โปรดักส์ เซ็นเตอร์ (สาขารังสิต) 00019</t>
  </si>
  <si>
    <t>241</t>
  </si>
  <si>
    <t>อค.สำนักงานฟลอยด์</t>
  </si>
  <si>
    <t>เครื่องเติมอากาศ</t>
  </si>
  <si>
    <t>191001AP</t>
  </si>
  <si>
    <t>191001KR</t>
  </si>
  <si>
    <t>อาคารที่พัก สภ.นาโยง จ.ตรัง</t>
  </si>
  <si>
    <t>PPS-6000</t>
  </si>
  <si>
    <t>บมจ. โฮม โปรดักส์ เซ็นเตอร์ (สาขาลำลูกกา) 00043</t>
  </si>
  <si>
    <t>งานสำรวจถังบำบัดน้ำเสีย</t>
  </si>
  <si>
    <t>190810SV</t>
  </si>
  <si>
    <t>บจก. เมกา โฮม เซ็นเตอร์ (สาขากบินทร์บุรี) 00005</t>
  </si>
  <si>
    <t>งานซ่อมปั๊มพร้อมติดตั้ง</t>
  </si>
  <si>
    <t>190906RM1</t>
  </si>
  <si>
    <t>190906RM2</t>
  </si>
  <si>
    <t>190906CT</t>
  </si>
  <si>
    <t>190906LC</t>
  </si>
  <si>
    <t>บจก. เมกา โฮม เซ็นเตอร์ (สาขาบ่อวิน) 00004</t>
  </si>
  <si>
    <t>งานปรับปรุงระบบบำบัดน้ำเสียจุดห้องน้ำพนง</t>
  </si>
  <si>
    <t>190910RT</t>
  </si>
  <si>
    <t>190910LC</t>
  </si>
  <si>
    <t>บมจ.ไทยฟู้ด กรุ๊ป อ.ท่ามะกา จ.กาญจนบุรี</t>
  </si>
  <si>
    <t>GPT-60FB</t>
  </si>
  <si>
    <t xml:space="preserve">รร.บ้านโนนสวรรค์ </t>
  </si>
  <si>
    <t>Satori Myanmar</t>
  </si>
  <si>
    <t>ปีกานติ</t>
  </si>
  <si>
    <t>พี.บี.เอส.เกียรติศักดิ์</t>
  </si>
  <si>
    <t>Q62/13</t>
  </si>
  <si>
    <t>242</t>
  </si>
  <si>
    <t>ถังเก็บน้ำใต้ดินศาลาฉัตรบางเขน</t>
  </si>
  <si>
    <t>SW-2010</t>
  </si>
  <si>
    <t>240</t>
  </si>
  <si>
    <t>ก่อสร้างศาลาฉัตรบางเขน</t>
  </si>
  <si>
    <t>PGT-2000</t>
  </si>
  <si>
    <t>บมจ. โฮม โปรดักส์ เซ็นเตอร์ (สาขาบางเสร่) 00092</t>
  </si>
  <si>
    <t>Backwash Pump พร้อมติดตั้ง</t>
  </si>
  <si>
    <t>191007P</t>
  </si>
  <si>
    <t>191007L</t>
  </si>
  <si>
    <t>191009S</t>
  </si>
  <si>
    <t>191009T</t>
  </si>
  <si>
    <t>งานติดตั้งเครื่องสูบน้ำเสีย</t>
  </si>
  <si>
    <t>Charn2Pump</t>
  </si>
  <si>
    <t>งานสูบกากตะกอนบ่อบำบัด2/อาคารชาญอิสสระ2</t>
  </si>
  <si>
    <t>Charn2-DS2</t>
  </si>
  <si>
    <t>243</t>
  </si>
  <si>
    <t>ถังเก็บน้ำ 20,000 ลิตร</t>
  </si>
  <si>
    <t>WTF20PTTR1</t>
  </si>
  <si>
    <t>Q62/14</t>
  </si>
  <si>
    <t>244</t>
  </si>
  <si>
    <t>วัดดงบัง</t>
  </si>
  <si>
    <t>19110491-1</t>
  </si>
  <si>
    <t>19110491-2</t>
  </si>
  <si>
    <t>19110491-3</t>
  </si>
  <si>
    <t>251</t>
  </si>
  <si>
    <t>250</t>
  </si>
  <si>
    <t>249</t>
  </si>
  <si>
    <t>246</t>
  </si>
  <si>
    <t>245</t>
  </si>
  <si>
    <t>19121163R1</t>
  </si>
  <si>
    <t>253</t>
  </si>
  <si>
    <t>258</t>
  </si>
  <si>
    <t>หจก. วัฒนา ส.การโยธา</t>
  </si>
  <si>
    <t>โรงเรียนบ้านหนองใหญ่ จ.ชลบุรี</t>
  </si>
  <si>
    <t>257</t>
  </si>
  <si>
    <t>256</t>
  </si>
  <si>
    <t>255</t>
  </si>
  <si>
    <t>ระยอง</t>
  </si>
  <si>
    <t>PSP-45-A</t>
  </si>
  <si>
    <t>254</t>
  </si>
  <si>
    <t>252</t>
  </si>
  <si>
    <t>09, 11-13,</t>
  </si>
  <si>
    <t>17, 19-12-62</t>
  </si>
  <si>
    <t>บจก. เมกา โฮม เซ็นเตอร์ (สาขานครพนม) 00011</t>
  </si>
  <si>
    <t>191003C</t>
  </si>
  <si>
    <t>191003S</t>
  </si>
  <si>
    <t>191003T</t>
  </si>
  <si>
    <t>บจก. ไฮไลฟ์ ดีเวลลอปเม้นท์</t>
  </si>
  <si>
    <t>19120515-1</t>
  </si>
  <si>
    <t>*เปลี่ยนถัง เนื่องจากมีรอยรั่ว*</t>
  </si>
  <si>
    <t>พาโนแลนด์</t>
  </si>
  <si>
    <t>อาควา นิชิฮาร่า</t>
  </si>
  <si>
    <t>คุณประจวบ (ชลบุรี)</t>
  </si>
  <si>
    <t>วัฒนา ส.การโยธา</t>
  </si>
  <si>
    <t>เปลี่ยนถัง (รั่ว)</t>
  </si>
  <si>
    <t>260</t>
  </si>
  <si>
    <t>191111P</t>
  </si>
  <si>
    <t>191111C</t>
  </si>
  <si>
    <t>งานซ่อม Motor พร้อมติดตั้ง</t>
  </si>
  <si>
    <t>190907RM1</t>
  </si>
  <si>
    <t>190907RM2</t>
  </si>
  <si>
    <t>19090LC</t>
  </si>
  <si>
    <t>264</t>
  </si>
  <si>
    <t>Toyu - New Molding Factory</t>
  </si>
  <si>
    <t>ส่งพร้อมอีก lot</t>
  </si>
  <si>
    <t>บมจ. โฮม โปรดักส์ เซ็นเตอร์ (สาขาเพชรเกษม) 00032</t>
  </si>
  <si>
    <t>บมจ. โฮม โปรดักส์ เซ็นเตอร์ สาขาสุราษฎร์ธานี (เลี่ยงเมือง) 00062</t>
  </si>
  <si>
    <t>191005P</t>
  </si>
  <si>
    <t>263</t>
  </si>
  <si>
    <t>รามอินทรา</t>
  </si>
  <si>
    <t>MTT-AT 145</t>
  </si>
  <si>
    <t>บจก. อาควา นิชิฮาร่า คอร์ปอเรชั่น (สาขา 0003)</t>
  </si>
  <si>
    <t>ถังเก็บน้ำ (BODY)</t>
  </si>
  <si>
    <t>BODY-10</t>
  </si>
  <si>
    <t xml:space="preserve"> </t>
  </si>
  <si>
    <t>262</t>
  </si>
  <si>
    <t>PTT LNG Nong Fab J2419</t>
  </si>
  <si>
    <t>SSA-2537Z</t>
  </si>
  <si>
    <t>SSA-2526Z</t>
  </si>
  <si>
    <t>งานซ่อม Moter Brook</t>
  </si>
  <si>
    <t>191004M</t>
  </si>
  <si>
    <t>191004C</t>
  </si>
  <si>
    <t>261</t>
  </si>
  <si>
    <t>สงขลา</t>
  </si>
  <si>
    <t>WWC-AT6m3/day</t>
  </si>
  <si>
    <t>อาคารดิจิทัล</t>
  </si>
  <si>
    <t>259</t>
  </si>
  <si>
    <t>Mandalay Coffee Group</t>
  </si>
  <si>
    <t>OASIS-15M</t>
  </si>
  <si>
    <t>บจก.สยามโกลเด้นเฮ็น อ.เมือง จ.สมุทรสาคร</t>
  </si>
  <si>
    <t>PT-60FB</t>
  </si>
  <si>
    <t>ดิเอ็กตร้าโฮม อ.ปลวกแดง จ.ระยอง</t>
  </si>
  <si>
    <t>บมจ. โฮม โปรดักส์ เซ็นเตอร์ (สาขาพระราม 9) 00096</t>
  </si>
  <si>
    <t>ซ่อม Backwash Pump &amp; Return Pump</t>
  </si>
  <si>
    <t>191102b</t>
  </si>
  <si>
    <t>191102r</t>
  </si>
  <si>
    <t>191102L</t>
  </si>
  <si>
    <t>ถังบำบัดน้ำเสีย WSA-5124</t>
  </si>
  <si>
    <t>WSA-5124</t>
  </si>
  <si>
    <t>ถังบำบัดขนาด 10,000 ลิตร</t>
  </si>
  <si>
    <t>The Delmar</t>
  </si>
  <si>
    <t>ต่อคอ</t>
  </si>
  <si>
    <t>บมจ. โฮม โปรดักส์ เซ็นเตอร์ (สาขาตรัง) 00051</t>
  </si>
  <si>
    <t>191105MS</t>
  </si>
  <si>
    <t>ซ่อมหัวจ่ายอากาศ</t>
  </si>
  <si>
    <t>191107DS</t>
  </si>
  <si>
    <t>งานแก้ไข chech valve บ่อสูบ</t>
  </si>
  <si>
    <t>190712CV</t>
  </si>
  <si>
    <t>190713LC</t>
  </si>
  <si>
    <t>โซ่, สเก็น แสตนเลส</t>
  </si>
  <si>
    <t>หจก. พี.บี.เอส. เกียรติศักดิ์ เอ็นจิเนียริ่ง แอนด์ ซัพพลาย</t>
  </si>
  <si>
    <t>โรงพยาบาลตะกั่วทุ่ง</t>
  </si>
  <si>
    <t>248</t>
  </si>
  <si>
    <t>247</t>
  </si>
  <si>
    <t>ถังเก็บน้ำ 10,000 ลิตร</t>
  </si>
  <si>
    <t>WTF-10-PTT-R1</t>
  </si>
  <si>
    <t>Q62/15</t>
  </si>
  <si>
    <t>โรงซักรีด อ่าวนาง</t>
  </si>
  <si>
    <t>19120534-1</t>
  </si>
  <si>
    <t>บมจ. โฮม โปรดักส์ เซ็นเตอร์ (สาขาเพชรบุรี) 00083</t>
  </si>
  <si>
    <t>งานซ่อม Back Wash Pump</t>
  </si>
  <si>
    <t>190908RP</t>
  </si>
  <si>
    <t>190908LC</t>
  </si>
  <si>
    <t>อ.รัตนบุรี จ.สุรินทร์</t>
  </si>
  <si>
    <t>RV62120025 70% รับ PDC 70% แล้ว (ครบ 100%)</t>
  </si>
  <si>
    <t>RV62120024 70%</t>
  </si>
  <si>
    <t>RV62120023 50% วางบิลแล้ว (พี่เปี๊ยก)</t>
  </si>
  <si>
    <t>RV62120023 80% วางบิลแล้ว (พี่เปี๊ยก)</t>
  </si>
  <si>
    <t>RV62120023 20% วางบิลแล้ว (พี่เปี๊ยก)</t>
  </si>
  <si>
    <t>RV62120022 ส่ง line 29-11-19</t>
  </si>
  <si>
    <t>RV62120021</t>
  </si>
  <si>
    <t>RV62120020 70% ของ 3 รายการ รับ PDC แล้ว</t>
  </si>
  <si>
    <t>RV62120019 รับ PDC 08-11-19</t>
  </si>
  <si>
    <t>RV62120019 รอรับ PDC</t>
  </si>
  <si>
    <t>RV62120018 30% รับโอนแล้ว 17-12-19</t>
  </si>
  <si>
    <t>RV62120018 70% รับโอนแล้ว 17-12-19</t>
  </si>
  <si>
    <t>RV62120017 งวด1 รับโอนแล้ว</t>
  </si>
  <si>
    <t>RV62120015</t>
  </si>
  <si>
    <t>RV62120014 วางบิลแล้ว</t>
  </si>
  <si>
    <t>RV62120013 down pay 30% รับโอน 09-12-19</t>
  </si>
  <si>
    <t>RV62120012 50% ฝากพี่นึก 29-11-19</t>
  </si>
  <si>
    <t>RV62120011 รับโอนแล้ว 09-12-19</t>
  </si>
  <si>
    <t>RV62120010 ส่งไปรษณีย์ 28-10-19</t>
  </si>
  <si>
    <t>RV62120009 70% ส่ง line 12-09-19</t>
  </si>
  <si>
    <t>RV62128.10</t>
  </si>
  <si>
    <t>RV62128.9 งวด4</t>
  </si>
  <si>
    <t>RV621208.8</t>
  </si>
  <si>
    <t>RV621208.8 งวด4</t>
  </si>
  <si>
    <t>RV621208.7</t>
  </si>
  <si>
    <t>RV621208.6 งวด4</t>
  </si>
  <si>
    <t>RV621208.5</t>
  </si>
  <si>
    <t>RV621208.4 งวด4</t>
  </si>
  <si>
    <t>RV621208.3 งวด9</t>
  </si>
  <si>
    <t>RV621208.3</t>
  </si>
  <si>
    <t>RV621208.2 งวด8</t>
  </si>
  <si>
    <t>RV621208.1 งวด9</t>
  </si>
  <si>
    <t>RV62120008 งวด9</t>
  </si>
  <si>
    <t>RV621207.3</t>
  </si>
  <si>
    <t>RV621207.2 งวด2</t>
  </si>
  <si>
    <t>RV621207.1 งวด1</t>
  </si>
  <si>
    <t>RV62120007 งวด2</t>
  </si>
  <si>
    <t>RV62120006</t>
  </si>
  <si>
    <t>RV62120004 30%</t>
  </si>
  <si>
    <t>RV62120003</t>
  </si>
  <si>
    <t>RV62120002 ส่งไปรษณีย์วางบิล</t>
  </si>
  <si>
    <t>RV62120001 ส่วนหลอด UV 30%</t>
  </si>
  <si>
    <t>RV62110031</t>
  </si>
  <si>
    <t>RV62110030 30% ส่งเมลให้ K.ไอซ์ 19-11-19 รับเช็คแล้ว 26-11-19</t>
  </si>
  <si>
    <t>RV62110029 ฟอร์คอนเอาไปตั้งเรื่องกับแบงค์</t>
  </si>
  <si>
    <t>RV62120016 RV62110027 30% รับเช็คแล้ว</t>
  </si>
  <si>
    <t>RV62110027 70%</t>
  </si>
  <si>
    <t>RV62110026 70%</t>
  </si>
  <si>
    <t>RV62110025 รับ PDC 25-10-19</t>
  </si>
  <si>
    <t>RV62110024 30% รับโอนแล้ว</t>
  </si>
  <si>
    <t>RV62110023 30%</t>
  </si>
  <si>
    <t>RV62110022 รับโอน 19-11-19</t>
  </si>
  <si>
    <t>RV62110021 จะส่งไปรษณีย์ 19-09-19</t>
  </si>
  <si>
    <t>RV62110021 ส่งไปรษณีย์วางบิล 19-09-19</t>
  </si>
  <si>
    <t>RV62110021 ส่งไปรษณีย์ 29-09-19</t>
  </si>
  <si>
    <t>RV62110020</t>
  </si>
  <si>
    <t>RV62110019 2nd payment</t>
  </si>
  <si>
    <t>RV62110018 30%</t>
  </si>
  <si>
    <t>RV62110017 มัดจำ 30% รับโอน 13-11-19</t>
  </si>
  <si>
    <t>RV62110016 รับ PDC 01-10-19</t>
  </si>
  <si>
    <t>RV62110015 งวด1 จะวางบิล 24-10-19</t>
  </si>
  <si>
    <t>RV62110014</t>
  </si>
  <si>
    <t>RV62110012 รับโอน 30% 12-11-19</t>
  </si>
  <si>
    <t>RV62110011 ส่วนราง 40% รับโอนแล้ว</t>
  </si>
  <si>
    <t>RV62110009</t>
  </si>
  <si>
    <t>RV62110008</t>
  </si>
  <si>
    <t>RV62110007 วางบิล 16-08-19</t>
  </si>
  <si>
    <t>RV621106.4</t>
  </si>
  <si>
    <t>RV621106.3</t>
  </si>
  <si>
    <t>RV621106.2 งวด1</t>
  </si>
  <si>
    <t>RV621106.1 งวด1</t>
  </si>
  <si>
    <t>RV62110006</t>
  </si>
  <si>
    <t>RV621105.4</t>
  </si>
  <si>
    <t>RV621105.3</t>
  </si>
  <si>
    <t>RV621105.2 งวด4</t>
  </si>
  <si>
    <t>RV621105.1 งวด4</t>
  </si>
  <si>
    <t>RV62110005 งวด8</t>
  </si>
  <si>
    <t>RV62110004 ส่ง line 17-09-19</t>
  </si>
  <si>
    <t>RV62110003</t>
  </si>
  <si>
    <t>RV62110002 ส่ง line 19-09-19</t>
  </si>
  <si>
    <t>RV62110001 20% ให้มุก 29-10-19</t>
  </si>
  <si>
    <t>63/</t>
  </si>
  <si>
    <t>IFF-70A</t>
  </si>
  <si>
    <t>บจก. คอมโพส เทคโน</t>
  </si>
  <si>
    <t>อาคารพักแพทย์ 20 ยูนิต แขวงการทางพัทลุง</t>
  </si>
  <si>
    <t>CFRBSAT-15Q</t>
  </si>
  <si>
    <t>Q63/1</t>
  </si>
  <si>
    <t>คุณไพรัช ฉันทศิลป์</t>
  </si>
  <si>
    <t>ถังดักไขมัน</t>
  </si>
  <si>
    <t>มหาพร</t>
  </si>
  <si>
    <t>แซทคอมส์</t>
  </si>
  <si>
    <t>ชุนหลีแปดริ้ว</t>
  </si>
  <si>
    <t>กวงชิน</t>
  </si>
  <si>
    <t>มีสุวรรณ</t>
  </si>
  <si>
    <t>พี.บี.เอส.ฯ</t>
  </si>
  <si>
    <t>รับโอนแล้ว</t>
  </si>
  <si>
    <t>20010015-1</t>
  </si>
  <si>
    <t>ไฮไลฟ์</t>
  </si>
  <si>
    <t>แอดวานซ์ ซีวิล กรุ๊ป</t>
  </si>
  <si>
    <t>รัชดาฯ</t>
  </si>
  <si>
    <t>คุณไพรัช</t>
  </si>
  <si>
    <t>C-25280C NO.1</t>
  </si>
  <si>
    <t>C-25280C NO.2</t>
  </si>
  <si>
    <t>9.5 คิว</t>
  </si>
  <si>
    <t>70 ถุง</t>
  </si>
  <si>
    <t>SSR-100</t>
  </si>
  <si>
    <t>ปั๊มคลอลีน</t>
  </si>
  <si>
    <t>C-25280C NO.5</t>
  </si>
  <si>
    <t>1.75 คิว</t>
  </si>
  <si>
    <t>4.5 คิว</t>
  </si>
  <si>
    <t>49 ถุง</t>
  </si>
  <si>
    <t>SC-150</t>
  </si>
  <si>
    <t>44 ถุง</t>
  </si>
  <si>
    <t xml:space="preserve">PSN-1400 </t>
  </si>
  <si>
    <t>1.25 คิว</t>
  </si>
  <si>
    <t>LA-200</t>
  </si>
  <si>
    <t>32 ถุง</t>
  </si>
  <si>
    <t>โรงเรียนบ้านโนนสวรรค์</t>
  </si>
  <si>
    <t>บริจาค (ถังรั่ว)</t>
  </si>
  <si>
    <r>
      <rPr>
        <strike/>
        <sz val="14"/>
        <color rgb="FFFF0000"/>
        <rFont val="TH Sarabun New"/>
        <family val="2"/>
      </rPr>
      <t>งวด2</t>
    </r>
    <r>
      <rPr>
        <sz val="14"/>
        <color rgb="FFFF0000"/>
        <rFont val="TH Sarabun New"/>
        <family val="2"/>
      </rPr>
      <t xml:space="preserve">  *ยกเลิกเหลือ 2 งวด</t>
    </r>
  </si>
  <si>
    <t>หจก. พุ่มพฤกษ์ก่อสร้าง</t>
  </si>
  <si>
    <t>แฟลตทางหลวงสิงห์บุรี</t>
  </si>
  <si>
    <t>ส่วนลด</t>
  </si>
  <si>
    <t>จิดาภา เกียรติอนวัชกุล</t>
  </si>
  <si>
    <t>ล/ค ขอส่วนต่าง</t>
  </si>
  <si>
    <t>ใบละ 15,000</t>
  </si>
  <si>
    <t>INTENSIVE</t>
  </si>
  <si>
    <t>เรวัตร</t>
  </si>
  <si>
    <t>รับเงินโอนแล้ว</t>
  </si>
  <si>
    <t>เลิศสามารถโยธา</t>
  </si>
  <si>
    <t>SJ-372Z NO.1</t>
  </si>
  <si>
    <t>19 คิว</t>
  </si>
  <si>
    <t>50 U-21.5</t>
  </si>
  <si>
    <t>15 BER</t>
  </si>
  <si>
    <t>SJ-372Z NO.2</t>
  </si>
  <si>
    <t>เปิดครบ</t>
  </si>
  <si>
    <t>O</t>
  </si>
  <si>
    <t>ถ้า ล/ค ไม่จ่ายค่าขนส่ง ให้หักเงินออกจากค่าสเปค</t>
  </si>
  <si>
    <t>19080751R1</t>
  </si>
  <si>
    <t>27-03-20,
15-04-20</t>
  </si>
  <si>
    <t>บจก. เมืองศิริ</t>
  </si>
  <si>
    <t>อ.ที่พักอาศัยสูง 7 ชั้น 42 ครอบครัว</t>
  </si>
  <si>
    <t>Q63/2</t>
  </si>
  <si>
    <t>ต.ศรีษะจรเข้ใหญ่ อ.บางเสาธง จ.สมุทรปราการ</t>
  </si>
  <si>
    <t>PT-30FB</t>
  </si>
  <si>
    <t>ต่อเติมอาคารกองบัญชาการ</t>
  </si>
  <si>
    <t>PS-9500A</t>
  </si>
  <si>
    <t>ปรับปรุง อค.ศพด.อร. และ บก.อร.สนง.ศรชล</t>
  </si>
  <si>
    <t>PSN-14000</t>
  </si>
  <si>
    <t>Toyu New Molding Factory (ต่อคอ)</t>
  </si>
  <si>
    <t>PSS-2025K</t>
  </si>
  <si>
    <t xml:space="preserve">The Delmar_ต่อคอ 20CM </t>
  </si>
  <si>
    <t>Q63/3</t>
  </si>
  <si>
    <t>งานพระใหญ่ จ.ภูเก็ต</t>
  </si>
  <si>
    <t>ส่งไปรษณีย์ให้หน้างานเซ็นชุดใบกำกับ เพื่อวางบิล สนญ.</t>
  </si>
  <si>
    <t>58 ถุง</t>
  </si>
  <si>
    <t>คอมโพส เทคโน</t>
  </si>
  <si>
    <t>MTT-AT145m3/day</t>
  </si>
  <si>
    <t>ล้างระบบบำบัดน้ำเสีย</t>
  </si>
  <si>
    <t>191103K</t>
  </si>
  <si>
    <t>PTT LNG Nong Fab J2419 (ค่าขนส่ง)</t>
  </si>
  <si>
    <t>คลองขวาง ไทรน้อย</t>
  </si>
  <si>
    <t>PSP-10-A</t>
  </si>
  <si>
    <t>ณัฐเดช พงศ์วรินทร์
ณัฐณินท์ ธราราชัยประสิทธิ์</t>
  </si>
  <si>
    <t>ดร.สุธิพงษ์</t>
  </si>
  <si>
    <t>พ.อ.พิเชษฐ์</t>
  </si>
  <si>
    <t>น.ว.ท.สายันต์</t>
  </si>
  <si>
    <t xml:space="preserve">RV63010028 ออกบิลในนาม กิจการร่วมค้า ยูเวิร์ค-นีโอ และ บจก. ยูเอ็นไอ แทน </t>
  </si>
  <si>
    <t>RV63010027 วางบิลแล้ว รับเช็คหน้างานวันส่งของ 27-01-20</t>
  </si>
  <si>
    <t>RV63010026 ส่งให้ K.ชล ทางไลน์ 13-12-19</t>
  </si>
  <si>
    <t>RV63010025 ส่งให้ K.ชล ทางไลน์ 13-12-19</t>
  </si>
  <si>
    <t>RV63010024 70%</t>
  </si>
  <si>
    <t>RV63010023 วางบิลแล้ว</t>
  </si>
  <si>
    <t>RV63010022 รับ PDC แล้ว 23-12-19</t>
  </si>
  <si>
    <t>RV63010021 70%</t>
  </si>
  <si>
    <t>RV63010020 วางบิล 28-11-19</t>
  </si>
  <si>
    <t>RV63010018 พี่มี่รับเช็ค-เอาเงินเข้า 16-01-20 ส่ง line ให้พี่มี่</t>
  </si>
  <si>
    <t>RV63010018 พี่มีรับเช็ค-เอาเงินเข้า 16-01-20</t>
  </si>
  <si>
    <t>RV63010016 รับโอนแล้ว</t>
  </si>
  <si>
    <t>RV63010015 ส่งไลน์มุก 13-12-19</t>
  </si>
  <si>
    <t>RV63010014 ส่งไปรษณีย์ 19-12-19</t>
  </si>
  <si>
    <t>RV63010014 ส่งวางบิลทางไปรษณีย์แล้ว</t>
  </si>
  <si>
    <t>RV63010013 งวด3 รับโอนแล้ว</t>
  </si>
  <si>
    <t>RV63010012 งวด2 รับโอนแล้ว</t>
  </si>
  <si>
    <t>RV63010011 วางบิลแล้ว</t>
  </si>
  <si>
    <t>RV63110.18 งวด4</t>
  </si>
  <si>
    <t>RV63110.17 งวด4</t>
  </si>
  <si>
    <t>RV63110.16 งวด4</t>
  </si>
  <si>
    <t>RV63110.15 งวด4</t>
  </si>
  <si>
    <t>190918PP</t>
  </si>
  <si>
    <t>RV63110.15</t>
  </si>
  <si>
    <t>RV63110.14 งวด4</t>
  </si>
  <si>
    <t>RV63110.13 งวด4</t>
  </si>
  <si>
    <t>RV63110.12 งวด4</t>
  </si>
  <si>
    <t>RV63110.11</t>
  </si>
  <si>
    <t>RV63110.10 งวด4</t>
  </si>
  <si>
    <t>RV630110.9 งวด4</t>
  </si>
  <si>
    <t>RV630110.8 งวด4</t>
  </si>
  <si>
    <t>RV630110.7 งวด4</t>
  </si>
  <si>
    <t>RV630110.6 งวด4</t>
  </si>
  <si>
    <t>RV630110.4 งวด4</t>
  </si>
  <si>
    <t xml:space="preserve">RV630110.4 </t>
  </si>
  <si>
    <t>RV630110.3 งวด4</t>
  </si>
  <si>
    <t>RV630110.2 งวด9</t>
  </si>
  <si>
    <t>RV630110.1 งวด4</t>
  </si>
  <si>
    <t>RV63010010</t>
  </si>
  <si>
    <t>RV63010009</t>
  </si>
  <si>
    <t>RV63010008 วางบิลทางระบบแล้ว</t>
  </si>
  <si>
    <t>RV63010007 ส่งไลน์พี่มี่ 06-12-19</t>
  </si>
  <si>
    <t>RV630106.4 งวด2</t>
  </si>
  <si>
    <t>RV630106.3 งวด2</t>
  </si>
  <si>
    <t>RV630106.2 งวด2</t>
  </si>
  <si>
    <t>RV630106.1</t>
  </si>
  <si>
    <t>RV63010006 งวด2</t>
  </si>
  <si>
    <t>RV63010005 ส่งให้พี่มี่ 06-12-19</t>
  </si>
  <si>
    <t>RV63010004 ส่งไลน์พี่มี่ 03-01-20</t>
  </si>
  <si>
    <t>RV63010003 รับ PDC 70% แล้ว (ครบ 100%)</t>
  </si>
  <si>
    <t>RV63010002 รอรับ PDC 22-11-19</t>
  </si>
  <si>
    <t>RV63010001 รับโอนแล้ว</t>
  </si>
  <si>
    <t>เพื่อน. การช่าง</t>
  </si>
  <si>
    <t>ช่างไทย</t>
  </si>
  <si>
    <t>25 ถุง</t>
  </si>
  <si>
    <t>WWO-1615</t>
  </si>
  <si>
    <t>190912AP</t>
  </si>
  <si>
    <t>190912CT</t>
  </si>
  <si>
    <t>190912LC</t>
  </si>
  <si>
    <t>1.4 คิว</t>
  </si>
  <si>
    <t>Flex 6" พร้อมหวนรัดท่อ</t>
  </si>
  <si>
    <t>2.1 คิว</t>
  </si>
  <si>
    <t>ARS-40</t>
  </si>
  <si>
    <t>2.25 คิว</t>
  </si>
  <si>
    <t>20020076R1</t>
  </si>
  <si>
    <t>บจก. เรซซิ่ง กรุ๊ป</t>
  </si>
  <si>
    <t>รร.บ้านโปร่ง (อนิวัตต์ราษฎร์สามัคคีชลบุรี)</t>
  </si>
  <si>
    <t>SS-1610K</t>
  </si>
  <si>
    <t>PS-14-TO</t>
  </si>
  <si>
    <t>ปลวกแดง</t>
  </si>
  <si>
    <t>191205G</t>
  </si>
  <si>
    <t>191205O</t>
  </si>
  <si>
    <t>191205L</t>
  </si>
  <si>
    <t>แซทคอมส์ กรุ๊ป</t>
  </si>
  <si>
    <t>คาร์โก้ เคมีคัล</t>
  </si>
  <si>
    <t>พุ่มพฤกษ์ก่อสร้าง</t>
  </si>
  <si>
    <t>งานเปลี่ยน Check Valve</t>
  </si>
  <si>
    <t>200107CV</t>
  </si>
  <si>
    <t xml:space="preserve">แบริ่งซอย 3 </t>
  </si>
  <si>
    <t>บจก. พลาสแมท</t>
  </si>
  <si>
    <t>ศูนย์พึ่งพิงสุนัข</t>
  </si>
  <si>
    <t>บจก. สยามไฮโดรทรีทเมนท์</t>
  </si>
  <si>
    <t>BU-3604</t>
  </si>
  <si>
    <t>20020097R1</t>
  </si>
  <si>
    <t>บจก. กิมกลอรีอินเตอร์แอสเซตส์ กรุ๊ป</t>
  </si>
  <si>
    <t>โรงเรียนอนุบาลวัดโคกท่าเจริญ จ.ชลบุรี</t>
  </si>
  <si>
    <t>SS-2016K</t>
  </si>
  <si>
    <t>คลอง 7</t>
  </si>
  <si>
    <t>PS-50-WU</t>
  </si>
  <si>
    <t>ก่อสร้าง อค.กองกิจการพิเศษฐานทัพเรือพังงา</t>
  </si>
  <si>
    <t>หจก. หยกเพชรทอง เอ็นจิเนียร์ อินเตอร์</t>
  </si>
  <si>
    <t>PSN-2600</t>
  </si>
  <si>
    <t>SWO-2025</t>
  </si>
  <si>
    <t>ก่อสร้างานทัพเรือพังงา</t>
  </si>
  <si>
    <t>SSS-2530N</t>
  </si>
  <si>
    <t>SSF-2520N</t>
  </si>
  <si>
    <t>บมจ. โฮม โปรดักส์ เซ็นเตอร์ (สาขาราชพฤกษ์) 00024</t>
  </si>
  <si>
    <t>เปลี่ยน Guide Rail Stainless บ่อสูบ</t>
  </si>
  <si>
    <t>19092GR</t>
  </si>
  <si>
    <t>190922LC</t>
  </si>
  <si>
    <t>บจก. โรลลิ่ง คอนเซปต์ อินโนเวชั่น</t>
  </si>
  <si>
    <t>สวนพฤกษศาสตร์ป่าชายเลนนานาชาติ ร.9 จ.จันทบุรี</t>
  </si>
  <si>
    <t>SA-2544Z</t>
  </si>
  <si>
    <t>/630</t>
  </si>
  <si>
    <t>บันได 48000</t>
  </si>
  <si>
    <t>ปรับปรุง อค.สหกรณ์ อร.เดิมเป็น ฐท.กท. (ฝา)</t>
  </si>
  <si>
    <t>ซ่อมปรับปรุง อค.สหกรณ์ อร.เดิมเป็น ฐท.กท.</t>
  </si>
  <si>
    <t>PSN-8400</t>
  </si>
  <si>
    <t>ต.บางปู จ.สมุทรปราการ</t>
  </si>
  <si>
    <t>20020044-1</t>
  </si>
  <si>
    <t>บจก. ทีม สี่หนึ่ง</t>
  </si>
  <si>
    <t>Rest Go Tiwanont_อาคาร D</t>
  </si>
  <si>
    <t>Rest Go Tiwanont_อาคาร B</t>
  </si>
  <si>
    <t>Rest Go Tiwanont_อาคาร A</t>
  </si>
  <si>
    <t>อ.สนับสนุนปฏิบัติหน้าที่กองปราบ (บนดิน)</t>
  </si>
  <si>
    <t>SWO-2010</t>
  </si>
  <si>
    <t>อ.สนับสนุนปฏิบัติหน้าที่กองปราบ (ใต้ดิน)</t>
  </si>
  <si>
    <t>PSS-781</t>
  </si>
  <si>
    <t>SW-3060</t>
  </si>
  <si>
    <t>EQ TANK</t>
  </si>
  <si>
    <t>ANAEROBIC</t>
  </si>
  <si>
    <t>AERATION</t>
  </si>
  <si>
    <t>EFFLUENT</t>
  </si>
  <si>
    <t>ศูนย์กำจัดขยะนนทบุรี</t>
  </si>
  <si>
    <t>PS-1300Z</t>
  </si>
  <si>
    <t>Q63/4</t>
  </si>
  <si>
    <t>TOYU ฝาถังบำบัด</t>
  </si>
  <si>
    <t>20020056-1</t>
  </si>
  <si>
    <t>20030058-1</t>
  </si>
  <si>
    <t>20030058-2</t>
  </si>
  <si>
    <t>พล.ร.ต.ศรินาท</t>
  </si>
  <si>
    <t>ฝาถัง</t>
  </si>
  <si>
    <t>เซียฯ</t>
  </si>
  <si>
    <t>ยกเลิก SW-2538</t>
  </si>
  <si>
    <t>190913AP</t>
  </si>
  <si>
    <t>190903CT</t>
  </si>
  <si>
    <t>190913LC</t>
  </si>
  <si>
    <t>อาคารพักพยาบาล 32 ห้อง รพ.เกาะลันตา จ.กระบี่</t>
  </si>
  <si>
    <t>CFRBSAT-10Q</t>
  </si>
  <si>
    <t>CFS-3000</t>
  </si>
  <si>
    <t>CFRBUT-10Q</t>
  </si>
  <si>
    <t>อาคารอพาร์ทเม้นท์ 3 หลังที่ 2</t>
  </si>
  <si>
    <t>ถังเก็บน้ำสำหรับรดน้ำต้นไม้ ตม.ฉะเชิงเทรา</t>
  </si>
  <si>
    <t>SWTV-165</t>
  </si>
  <si>
    <t>Rest Go Tiwanont_อาคาร C</t>
  </si>
  <si>
    <t>SA-052000</t>
  </si>
  <si>
    <t>กาญจนบุรี</t>
  </si>
  <si>
    <t>EQ-AT-SED</t>
  </si>
  <si>
    <t>RV63020018 30% ทรายส่งให้ ล/ค 24-02-2020</t>
  </si>
  <si>
    <t>RV63020017 ส่งไลน์ให้ K.Kook แล้ว</t>
  </si>
  <si>
    <t>RV63020016 30% ทรายส่งให้ ล/ค 24-02-2020</t>
  </si>
  <si>
    <t>RV63020015 ส่งเมลให้คุณฉลอม</t>
  </si>
  <si>
    <t>RV63020014 ทรายส่งให้ ล/ค</t>
  </si>
  <si>
    <t xml:space="preserve">RV63020013 รับเงินโอนแล้ว แต่ไม่ครบ คงค้าง 4,938.15 บาท </t>
  </si>
  <si>
    <t>RV63020012 ส่งไลน์มุก 13-12-19</t>
  </si>
  <si>
    <t>RV62110010 [80%] วางบิล 20% สุดท้าย 28-11-19 RV63020011 [20%]</t>
  </si>
  <si>
    <t>RV63020011 วางบิล 28-11-19</t>
  </si>
  <si>
    <t>RV63020010 มุกส่งให้ ล/ค 17-01-20</t>
  </si>
  <si>
    <t>RV63020009 ส่งวางบิลทางไปรษณีย์แล้ว (ออกบิลในนาม บจก.เซีย คอนสตรั๊คชั่นฯ)</t>
  </si>
  <si>
    <t>RV630208.5</t>
  </si>
  <si>
    <t>RV630208.5 งวด3</t>
  </si>
  <si>
    <t>RV630208.4 งวด4</t>
  </si>
  <si>
    <t xml:space="preserve">RV630208.3 </t>
  </si>
  <si>
    <t>RV630208.2 งวด4</t>
  </si>
  <si>
    <t>RV630208.1 งวด4</t>
  </si>
  <si>
    <t>RV63020008</t>
  </si>
  <si>
    <t>RV63020007 ส่งไปรษณีย์ 29-11-19</t>
  </si>
  <si>
    <t>RV63020007 วางบิลแล้ว</t>
  </si>
  <si>
    <t>RV63020007 ส่งไปรษณีย์วางบิล 19-12-19</t>
  </si>
  <si>
    <t>RV63010017 ((55,875.50) 50% เนื่องจากส่งถังครึ่งนึง) RV63020006</t>
  </si>
  <si>
    <t>RV63020005 มุกส่งให้ ล/ค แล้ว</t>
  </si>
  <si>
    <t>RV630204.6</t>
  </si>
  <si>
    <t>RV630204.5 งวด3</t>
  </si>
  <si>
    <t>RV630204.4 งวด3</t>
  </si>
  <si>
    <t>RV630204.3 งวด2</t>
  </si>
  <si>
    <t>RV630204.2 งวด3</t>
  </si>
  <si>
    <t>RV630204.1งวด3</t>
  </si>
  <si>
    <t>RV63020004 งวด1</t>
  </si>
  <si>
    <t>RV63020003 รอวางบิล 25-12-19 (รับวางบิลทุกวันพุธ)</t>
  </si>
  <si>
    <t>RV63020002</t>
  </si>
  <si>
    <t>RV63020001 จะรับ PDC 20-12-19</t>
  </si>
  <si>
    <t>11 ชุด</t>
  </si>
  <si>
    <t>9 ชุด</t>
  </si>
  <si>
    <t>14 เส้น</t>
  </si>
  <si>
    <t>ซ่อมถังบำบัดน้ำเสีย</t>
  </si>
  <si>
    <t>60 คิว</t>
  </si>
  <si>
    <t>ถังเก็บน้ำ SWO-2520N</t>
  </si>
  <si>
    <t>PRACHA PS-50-WU</t>
  </si>
  <si>
    <t>ทวีวัฒน์ ชินสุข</t>
  </si>
  <si>
    <t>ระบุภายหลัง</t>
  </si>
  <si>
    <t>o</t>
  </si>
  <si>
    <t>โลตัส บางกะดี จังหวัดปทุมธานี</t>
  </si>
  <si>
    <t>พลอยไพลิน</t>
  </si>
  <si>
    <t>SA-65800E</t>
  </si>
  <si>
    <t>SWO-3585</t>
  </si>
  <si>
    <t>Submersible Pump</t>
  </si>
  <si>
    <t>200204SP</t>
  </si>
  <si>
    <t>200204LC</t>
  </si>
  <si>
    <t>โลตัส สมุทรปราการ</t>
  </si>
  <si>
    <t>อรวรรณ</t>
  </si>
  <si>
    <t>SA-100800E</t>
  </si>
  <si>
    <t>SSA-2015Z</t>
  </si>
  <si>
    <t>บมจ. โฮม โปรดักส์ เซ็นเตอร์ (สาขาพัทยาเหนือ) 00089</t>
  </si>
  <si>
    <t>191203P1</t>
  </si>
  <si>
    <t>191203P2</t>
  </si>
  <si>
    <t>191203CT</t>
  </si>
  <si>
    <t>191203LC</t>
  </si>
  <si>
    <t>บจก. พัทยาเซ็นเตอร์พ้อยท์</t>
  </si>
  <si>
    <t>ระบบบำบัดตลาดรัตนากร 250 ลบ.ม./วัน</t>
  </si>
  <si>
    <t>20020133R1</t>
  </si>
  <si>
    <t>โรงเรียนบ้านคลองมือไทรฯ จ.ชลบุรี</t>
  </si>
  <si>
    <t xml:space="preserve">water </t>
  </si>
  <si>
    <t>พิพิธภัณฑ์ รร.สตรีสมุทรปราการ</t>
  </si>
  <si>
    <t>SSS-7117</t>
  </si>
  <si>
    <t>SSFA-7159</t>
  </si>
  <si>
    <t>ระบบบำบัดน้ำเสีย Home Pro สุขสวัสดิ์</t>
  </si>
  <si>
    <t>SA-120MBR36</t>
  </si>
  <si>
    <t>SW-3035UV</t>
  </si>
  <si>
    <t>บจก. ก่อแก้ว ชลบุรี</t>
  </si>
  <si>
    <t>กส.อค.เรียน รร.บ้านทับร้าง อ.บ่อทอง จ.ชลบุรี</t>
  </si>
  <si>
    <t>SW-165Z</t>
  </si>
  <si>
    <t>ตลาดนางรำ_บ้านพักพนักงาน</t>
  </si>
  <si>
    <t>PS-1900</t>
  </si>
  <si>
    <t>หจก. ยโสธรร่มเย็น</t>
  </si>
  <si>
    <t>ถังเก็บน้ำใต้ดิน 20 ลบ.ม. สภ.ยโสธร</t>
  </si>
  <si>
    <t>งานเปลี่ยนมีเดีย Home Pro จรัญฯ (รอบ 2)</t>
  </si>
  <si>
    <t>HPCN-MDC</t>
  </si>
  <si>
    <t>อค.โรงเลี้ยง สอ.รฝ.สัตหีบ</t>
  </si>
  <si>
    <t>PSN-11200</t>
  </si>
  <si>
    <t>บมจ. โฮม โปรดักส์ เซ็นเตอร์ (สาขาจันทบุรี) 00059</t>
  </si>
  <si>
    <t>งานซ่อมปั๊มสูบน้ำ</t>
  </si>
  <si>
    <t>200206MP</t>
  </si>
  <si>
    <t>200206TP</t>
  </si>
  <si>
    <t>200206LC</t>
  </si>
  <si>
    <t>200103RP</t>
  </si>
  <si>
    <t>200103LC</t>
  </si>
  <si>
    <t>โรงเรียนบ้านหุบบอน จ.ชลบุรี</t>
  </si>
  <si>
    <t>Q63/5</t>
  </si>
  <si>
    <t>ศูนย์โวลโว่ จังหวัดเชียงใหม่</t>
  </si>
  <si>
    <t xml:space="preserve">บจก. เสร็จสรรพ </t>
  </si>
  <si>
    <t>RV63030015 รับโอนแล้ว</t>
  </si>
  <si>
    <t xml:space="preserve">RV63030014 ส่งให้คุณชลแล้ว </t>
  </si>
  <si>
    <t>RV63030013</t>
  </si>
  <si>
    <t>RV63030012 รับโอนแล้ว (โอน 70,035 เกิน 28,840 ส่วนเกินให้หักจากยอดอื่น)</t>
  </si>
  <si>
    <t>RV63030011 30% รับโอนแล้ว</t>
  </si>
  <si>
    <t>RV63030010 25% รับโอนแล้ว</t>
  </si>
  <si>
    <t>RV63030009 5% รับโอนแล้ว</t>
  </si>
  <si>
    <t>RV63030008 ส่งไลน์ให้คุณแพรว</t>
  </si>
  <si>
    <t>RV63030007 วางบิล 19-12-19</t>
  </si>
  <si>
    <t>RV63030006 ทรายส่งให้ ล/ค</t>
  </si>
  <si>
    <t>RV630305.3</t>
  </si>
  <si>
    <t>RV630305.2</t>
  </si>
  <si>
    <t>RV630305.1</t>
  </si>
  <si>
    <t>RV630304.3 งวด3</t>
  </si>
  <si>
    <t>RV630304.2</t>
  </si>
  <si>
    <t>RV630304.1 งวด3</t>
  </si>
  <si>
    <t>RV63030004</t>
  </si>
  <si>
    <t>RV63020005 วางบิลแล้ว [ชำระค่าฝาเกิน ให้หักลบกับบิลนี้ คงเหลือ 13,589], RV63030002 [13,589]</t>
  </si>
  <si>
    <t>RV63030001 รับเงินโอนแล้ว</t>
  </si>
  <si>
    <t>PS-3440A</t>
  </si>
  <si>
    <t>(เปลี่ยนถัง)</t>
  </si>
  <si>
    <t>29-04-20,
12-05-20</t>
  </si>
  <si>
    <t>อ.ชะอำ จ.เพชรบุรี</t>
  </si>
  <si>
    <t>บจก. ส.นภา (ประเทศไทย)</t>
  </si>
  <si>
    <t>ก่อสร้างระบบ Recycle Water</t>
  </si>
  <si>
    <t>SWVC-2520</t>
  </si>
  <si>
    <t>ถังเก็บน้ำดีขนาด 20,000 ลิตร</t>
  </si>
  <si>
    <t>โรงพิมพ์ทหารสารบรรณ กรุงเทพฯ</t>
  </si>
  <si>
    <t>บจก. เมกา โฮม เซ็นเตอร์ (สาขาแม่สอด) 00002</t>
  </si>
  <si>
    <t>งานซ่อมเครื่องเติมอากาศ</t>
  </si>
  <si>
    <t>200205AP</t>
  </si>
  <si>
    <t>200205LC</t>
  </si>
  <si>
    <t>บมจ. โฮม โปรดักส์ เซ็นเตอร์ (สาขาศรีราชา) 00077</t>
  </si>
  <si>
    <t>งานปรับปรุงระบบบำบัดฯ จุดห้องน้ำลูกค้า</t>
  </si>
  <si>
    <t>200117F</t>
  </si>
  <si>
    <t>200117M</t>
  </si>
  <si>
    <t>20020092R1</t>
  </si>
  <si>
    <t>อาคารที่ทำการ สภ.เวฬุ จ.ขอนแก่น</t>
  </si>
  <si>
    <t>PPS-13500A</t>
  </si>
  <si>
    <t>SW-2025</t>
  </si>
  <si>
    <t>นาวาโท ทูลถวาย</t>
  </si>
  <si>
    <t>ดร.สุทธิพงษ์</t>
  </si>
  <si>
    <t>ขายจริง</t>
  </si>
  <si>
    <t>เปลี่ยนถัง</t>
  </si>
  <si>
    <t>เจริญชัยชลบุรีฯ</t>
  </si>
  <si>
    <t>วรากิจ</t>
  </si>
  <si>
    <t>ทีม สี่หนึ่ง</t>
  </si>
  <si>
    <t>เอ.เอ็น.ดี.</t>
  </si>
  <si>
    <t>ไอริช</t>
  </si>
  <si>
    <t>พีโอ</t>
  </si>
  <si>
    <t>เสร็จสรรพ</t>
  </si>
  <si>
    <t>โรลลิ่งฯ</t>
  </si>
  <si>
    <t>ษฎา</t>
  </si>
  <si>
    <t>ยโสธรร่มเย็น</t>
  </si>
  <si>
    <t>3.5 คิว</t>
  </si>
  <si>
    <t>SS-5100A</t>
  </si>
  <si>
    <t>180 ตัว</t>
  </si>
  <si>
    <t>15 ชุด</t>
  </si>
  <si>
    <t>เอา ABS กลับ</t>
  </si>
  <si>
    <t>SA-052000 NO.2</t>
  </si>
  <si>
    <t>7.8 คิว</t>
  </si>
  <si>
    <t>20040099-1</t>
  </si>
  <si>
    <t>20040100-1</t>
  </si>
  <si>
    <t>งวด4 (ออกใหม่)</t>
  </si>
  <si>
    <t>200201AP</t>
  </si>
  <si>
    <t>200201KR</t>
  </si>
  <si>
    <t>ต่อเติมอาคารกองบัญชาการ ขส.ทบ.</t>
  </si>
  <si>
    <t>20040102-1</t>
  </si>
  <si>
    <t>หลิง</t>
  </si>
  <si>
    <t>ขวัญใจ แสนเตปิน 5%</t>
  </si>
  <si>
    <t>จัดซื้อ 5%</t>
  </si>
  <si>
    <t>บจก. เอ็มพี เมดกรุ๊ป</t>
  </si>
  <si>
    <t>บจก. มายา เชียงใหม่</t>
  </si>
  <si>
    <t>วิทยาลัยพละ กระบี่ เกาะลันตา</t>
  </si>
  <si>
    <t>AIA Sathorn Tower</t>
  </si>
  <si>
    <t>CABLE</t>
  </si>
  <si>
    <t>ถังเก็บน้ำดีขนาด 60,000 ลิตร</t>
  </si>
  <si>
    <t>เปลี่ยน Check Valve บ่อสูบ</t>
  </si>
  <si>
    <t>200306CV</t>
  </si>
  <si>
    <t>อาคาร สนง. 7 ชั้น</t>
  </si>
  <si>
    <t xml:space="preserve">ตรวจน้ำ </t>
  </si>
  <si>
    <t>ส่งไลน์ให้มุก 15-04-2020</t>
  </si>
  <si>
    <t>ถังแตก</t>
  </si>
  <si>
    <t>อค.บ้านพักอาศัย</t>
  </si>
  <si>
    <t>Q63/7</t>
  </si>
  <si>
    <t>Q63/6</t>
  </si>
  <si>
    <t>คุณจุ้ย</t>
  </si>
  <si>
    <t>SWTG-4000</t>
  </si>
  <si>
    <t>คุณปานจิตร มาฆะวงศ์</t>
  </si>
  <si>
    <t>NALADA จ.นนทบุรี</t>
  </si>
  <si>
    <t>รับโอนแล้ว 02-05-2020</t>
  </si>
  <si>
    <t>RV63040029 ส่งเมลให้คุณฉลอม</t>
  </si>
  <si>
    <t>RV63040028 ส่งให้พี่มี่ 23-03-20</t>
  </si>
  <si>
    <t>RV63040027</t>
  </si>
  <si>
    <t>RV63040026</t>
  </si>
  <si>
    <t>RV63040022 70%</t>
  </si>
  <si>
    <t>RV63040021 70%</t>
  </si>
  <si>
    <t>RV63040020 ส่งไปรษณีย์วางบิลแล้ว</t>
  </si>
  <si>
    <t>RV63040019 ส่ง line ให้ทราย 21-04-2020</t>
  </si>
  <si>
    <t>RV63040017 รับโอนแล้ว</t>
  </si>
  <si>
    <t>RV63040016 ส่งให้คุณแพรว 06-03-2020</t>
  </si>
  <si>
    <t>RV6300015 ส่งให้ K.Kook 10-03-2020</t>
  </si>
  <si>
    <t>RV63040014 ส่งให้ K.เจี๊ยบ แล้ว (ไปรับ PDC เมื่อ 09-03-2020)</t>
  </si>
  <si>
    <t>RV63040013 รับโอนแล้ว 14-04-2020</t>
  </si>
  <si>
    <t>RV63040012</t>
  </si>
  <si>
    <t>RV63040012 ส่งไปรษณีย์วางบิล 13-02-2020</t>
  </si>
  <si>
    <t>RV63040011</t>
  </si>
  <si>
    <t>RV63040010 งวด1 รับโอน 13-04-2020</t>
  </si>
  <si>
    <t>RV63040010 งวด2 รับโอน 13-04-2020</t>
  </si>
  <si>
    <t>RV63040009 จะรับ PDC 14-02-20</t>
  </si>
  <si>
    <t>RV63040009 จะไปรับ PDC 14-02-2020</t>
  </si>
  <si>
    <t>RV63040009 จะไปรับ PDC 20-02-20</t>
  </si>
  <si>
    <t>RV630408.5</t>
  </si>
  <si>
    <t xml:space="preserve">RV630408.4 </t>
  </si>
  <si>
    <t>RV630408.3</t>
  </si>
  <si>
    <t>RV630408.2</t>
  </si>
  <si>
    <t>RV630408.1 งวด4</t>
  </si>
  <si>
    <t>RV63040008</t>
  </si>
  <si>
    <t>RV63040007 รอที่อยู่ส่ง invoice หน้างานจากทราย 13-02-2020</t>
  </si>
  <si>
    <t>RV63040006ส่ง line แล้ว</t>
  </si>
  <si>
    <t>RV63040005 70%</t>
  </si>
  <si>
    <t>RV63040005 30%</t>
  </si>
  <si>
    <t>RV63040004 รับโอนแล้ว</t>
  </si>
  <si>
    <t>RV63040003</t>
  </si>
  <si>
    <t>RV63040002 พี่มี่ส่งให้ ล/ค 12-02-2020</t>
  </si>
  <si>
    <t>RV63040001 รับโอนแล้ว</t>
  </si>
  <si>
    <t xml:space="preserve">073
</t>
  </si>
  <si>
    <t xml:space="preserve">63/
</t>
  </si>
  <si>
    <t>ตลาดนางรำ</t>
  </si>
  <si>
    <t>รอเอกสารรับประกันจากทรายก่อนส่งวางบิล</t>
  </si>
  <si>
    <t>*เปลี่ยนถัง ถังลอย แตก คาดลูกค้าไม่ได้เติมน้ำ*</t>
  </si>
  <si>
    <t>บจก. วี.อาร์.เค เจริญทรัพย์</t>
  </si>
  <si>
    <t>โรงเรียนกีฬา จ.ชลบุรี</t>
  </si>
  <si>
    <t>SW-1610</t>
  </si>
  <si>
    <t>งานซ่อม</t>
  </si>
  <si>
    <t>073/</t>
  </si>
  <si>
    <t>63</t>
  </si>
  <si>
    <t>ปรับปรุงภูมิทัศน์มอเตอร์เวย์สาย 7 แหลมฉบัง</t>
  </si>
  <si>
    <t>ค่าเดินทาง จ.ภูเก็ต</t>
  </si>
  <si>
    <t>ค่าเดินทาง</t>
  </si>
  <si>
    <t>072/</t>
  </si>
  <si>
    <t>ATG-10Q</t>
  </si>
  <si>
    <t>071/</t>
  </si>
  <si>
    <t>อ.เมือง จ.สมุทรสาคร</t>
  </si>
  <si>
    <t>PO-10FB</t>
  </si>
  <si>
    <t>ทินกฤต ชัยวิริยกุล</t>
  </si>
  <si>
    <t>พลาสแมท</t>
  </si>
  <si>
    <t>คุณปานจิตร</t>
  </si>
  <si>
    <t>มายา เชียงใหม่</t>
  </si>
  <si>
    <t>1 เส้น</t>
  </si>
  <si>
    <t>60 ตัว</t>
  </si>
  <si>
    <t>WSA-1610Z</t>
  </si>
  <si>
    <t>ส่งให้ K.แพรว ทางไลน์ (ยังฝากถังไว้ก่อน)</t>
  </si>
  <si>
    <t>ฝากกลับออฟฟิศ</t>
  </si>
  <si>
    <t>โฮมโปร พระราม 9 (Renovate)</t>
  </si>
  <si>
    <t>บจก. เค โอ พี ซีวิล บิวล์ดิ้ง</t>
  </si>
  <si>
    <t>โรงแรม 3 My Ozone เขาใหญ่</t>
  </si>
  <si>
    <t>ส่ง line พี่นะ 21-05-2020</t>
  </si>
  <si>
    <t>20020096R1</t>
  </si>
  <si>
    <t>โรงเรียนบ้านพันเสด็จใน จ.ชลบุรี</t>
  </si>
  <si>
    <t>เจาะท่อ</t>
  </si>
  <si>
    <t>บจก. พลอยภัค</t>
  </si>
  <si>
    <t>รพ.หริภุญชัย ราม จ.ลำพูน</t>
  </si>
  <si>
    <t>UV-3606</t>
  </si>
  <si>
    <t>20050381R3</t>
  </si>
  <si>
    <t>บจก. เน็กซ์พลัส เอ็นจิเนียริ่ง</t>
  </si>
  <si>
    <t>Truck Rest Area</t>
  </si>
  <si>
    <t>CP-20000</t>
  </si>
  <si>
    <t>CF-2A</t>
  </si>
  <si>
    <t>GC-1</t>
  </si>
  <si>
    <t>GC-2</t>
  </si>
  <si>
    <t>ปรับปรุงห้องน้ำธัญบุรี</t>
  </si>
  <si>
    <t>PS-12500</t>
  </si>
  <si>
    <t>WSA-2018Z</t>
  </si>
  <si>
    <t>The Serene Resort (President Villas)</t>
  </si>
  <si>
    <t>The Serene Resort (Villas 2 Bed)</t>
  </si>
  <si>
    <t>The Serene Resort (GYM)</t>
  </si>
  <si>
    <t>SS-775A</t>
  </si>
  <si>
    <t>The Serene Resort (Twin Villas)</t>
  </si>
  <si>
    <t>ระบบ Recycle Water</t>
  </si>
  <si>
    <t>SWC-2015</t>
  </si>
  <si>
    <t>ซ่อมถัง TOYU</t>
  </si>
  <si>
    <t>The Serene Resort (Villas 1 Bed)</t>
  </si>
  <si>
    <t>The Serene Resort (Pool &amp; Restaurant)</t>
  </si>
  <si>
    <t>.</t>
  </si>
  <si>
    <t>ค่าขนส่ง ถัง recycle water 20 cum</t>
  </si>
  <si>
    <t>แบริ่ง ซอย 3</t>
  </si>
  <si>
    <t>SWTO-4000</t>
  </si>
  <si>
    <t>บมจ. โฮม โปรดักส์ เซ็นเตอร์ (สาขาลำปาง) 00071</t>
  </si>
  <si>
    <t>ซ่อม AirBlower</t>
  </si>
  <si>
    <t>200401RA</t>
  </si>
  <si>
    <t>200401TC</t>
  </si>
  <si>
    <t>ซ่อมท่อจ่ายอากาศ</t>
  </si>
  <si>
    <t>200403ฤ</t>
  </si>
  <si>
    <t>ค่าขนส่ง The Serene</t>
  </si>
  <si>
    <t>โรงงานชลบุรี</t>
  </si>
  <si>
    <t>ATK-20Q</t>
  </si>
  <si>
    <t>ภูเก็ต</t>
  </si>
  <si>
    <t>PSP-F60B250-AS</t>
  </si>
  <si>
    <t>ถังเก็บน้ำดี ขนาด 10,000 ลิตร</t>
  </si>
  <si>
    <t>ค่าขนส่งถังบำบัดโรงเรียนทับร้าง จ.ชลบุรี</t>
  </si>
  <si>
    <t>กระเพื่อม</t>
  </si>
  <si>
    <t>ส่งไปรษณีย์วางบิล</t>
  </si>
  <si>
    <t>20060155-1</t>
  </si>
  <si>
    <t>งานปรับอาคารข้างเคียงรอบรับการย้าย อาคาร 5</t>
  </si>
  <si>
    <t>SSS-7166</t>
  </si>
  <si>
    <t>SSF-784</t>
  </si>
  <si>
    <t>งานปรับอาคารข้างเคียงรอบรับการย้าย อาคาร 1, 2</t>
  </si>
  <si>
    <t>ปรับปรุงต่อเติมอาคาร ท.115</t>
  </si>
  <si>
    <t>SGT-S60U</t>
  </si>
  <si>
    <t>บจก. ไฟร์โปร โซลูชั่น</t>
  </si>
  <si>
    <t>ถังบำบัดน้ำเสีย ขนาด 10,000 ลิตร</t>
  </si>
  <si>
    <t>UV lamp</t>
  </si>
  <si>
    <t>200304U</t>
  </si>
  <si>
    <t>200502PM</t>
  </si>
  <si>
    <t>20060167-1</t>
  </si>
  <si>
    <t>ถังเก็บน้ำใต้ดิน ขนาด 60,000 ลิตร</t>
  </si>
  <si>
    <t>รร.บ้านในถุ้ง จ.นครศรีธรรมราช</t>
  </si>
  <si>
    <t>CFS-1250L</t>
  </si>
  <si>
    <t>ถังเก็บน้ำบนดิน รร.บ้านสวนจันทร์</t>
  </si>
  <si>
    <t>บจก. เมกา โฮม เซ็นเตอร์ (สาขามีนบุรี) 00006</t>
  </si>
  <si>
    <t>สั่งซื้อปั๊มพร้อมติดตั้ง</t>
  </si>
  <si>
    <t>200503CN</t>
  </si>
  <si>
    <t>200503LC</t>
  </si>
  <si>
    <t>ถังบำบัดใต้ดิน</t>
  </si>
  <si>
    <t>TSFA-60#SEPTIC</t>
  </si>
  <si>
    <t>TSFA-60K#AERATION</t>
  </si>
  <si>
    <t>TSFA-80K#SEPTIC</t>
  </si>
  <si>
    <t>TSFA-80K#AERATION</t>
  </si>
  <si>
    <t>การปรับอาคารข้างเคียงรองรับการย้าย</t>
  </si>
  <si>
    <t>SWTV-2520</t>
  </si>
  <si>
    <t xml:space="preserve">บจก. โปร เทคโน เซอร์วิส </t>
  </si>
  <si>
    <t>20060173-1</t>
  </si>
  <si>
    <t>ห้องน้ำ วิทยาลัยอาชีวศึกษาฐานวิทยาศาสตร์</t>
  </si>
  <si>
    <t>ปรับปรุงอาคารเพาะเลี้ยงเนื้อเยื่อพืช</t>
  </si>
  <si>
    <t>PS-8500</t>
  </si>
  <si>
    <t>Q63/8</t>
  </si>
  <si>
    <t>Q63/9</t>
  </si>
  <si>
    <t>ศีรษะจรเข้ จ.สมุทรปราการ</t>
  </si>
  <si>
    <t>PO-70FB</t>
  </si>
  <si>
    <t>นาราดา</t>
  </si>
  <si>
    <t>ทินกฤต</t>
  </si>
  <si>
    <t>รอราคาตั้ง</t>
  </si>
  <si>
    <t>รอชื่อจริง</t>
  </si>
  <si>
    <t>น.ท.สมศักดิ์ อุนานุยา/น.ต.พลากร</t>
  </si>
  <si>
    <t>น.ท.สมศักดิ์ อุนานุยา</t>
  </si>
  <si>
    <t>20060177-1</t>
  </si>
  <si>
    <t>ถังเก็บน้ำใต้ดิน 60 ลบ.ม. กองปราบปราม</t>
  </si>
  <si>
    <t>กส.อค.กองกิจการพิเศษฐานทัพเรือพังงา</t>
  </si>
  <si>
    <t>20060185-1</t>
  </si>
  <si>
    <t>20060529R1</t>
  </si>
  <si>
    <t>หจก. น.เทพนวล</t>
  </si>
  <si>
    <t>สวนสาธารณะเฉลิมพระเกียรติ ฯลฯ จ.สระแก้ว</t>
  </si>
  <si>
    <t>SS-309</t>
  </si>
  <si>
    <t>ปรับปรุงภูมิทัศน์ชายฝั่งทะเลสัตหีบ เทศบาลเมืองสัตหีบ จ.ชลบุรี</t>
  </si>
  <si>
    <t>15-07-20,
27-07-20</t>
  </si>
  <si>
    <t xml:space="preserve">บจก. พี เค 17 คอนสตรัคชั่น </t>
  </si>
  <si>
    <t>เรือนนอน 4 ชั้น เรือนจำกลางนครราชสีมา</t>
  </si>
  <si>
    <t>เมกา โฮม</t>
  </si>
  <si>
    <t>บจก. แอตแลนด้า เมดดิคแคร์</t>
  </si>
  <si>
    <t>ค่าสี</t>
  </si>
  <si>
    <t>EXP-014</t>
  </si>
  <si>
    <t>บจก. ศุภลักษณ์ ก่อสร้าง</t>
  </si>
  <si>
    <t>ปรับปรุงห้องน้ำอาคารเรียน 2 รร.เทศบาลมาบตาพุด</t>
  </si>
  <si>
    <t>บจก. พงศธร เอ็นจิเนียริ่ง</t>
  </si>
  <si>
    <t>ก่อสร้างปรับปรุงห้องน้ำอาคารเรียน 3</t>
  </si>
  <si>
    <t>20060531R1</t>
  </si>
  <si>
    <t>บจก. ชลบุรี บี.เอส.การโยธา</t>
  </si>
  <si>
    <t>สวนหลวง จ.ชลบุรี</t>
  </si>
  <si>
    <t>Truck Rest Area (ขนส่ง ส่วนต่าง)</t>
  </si>
  <si>
    <t>สุราษฎร์ธานี</t>
  </si>
  <si>
    <t>วี.อาร์.เค เจริญทรัพย์</t>
  </si>
  <si>
    <t>ส.นภา</t>
  </si>
  <si>
    <t>เค โอ พีฯ</t>
  </si>
  <si>
    <t>stock</t>
  </si>
  <si>
    <t>คุณสมเจตน์</t>
  </si>
  <si>
    <t>อนุเคราะห์</t>
  </si>
  <si>
    <t>นงนุชแลนด์สเคปฯ</t>
  </si>
  <si>
    <t>ก่อแก้ว ชลบุรี</t>
  </si>
  <si>
    <t>กิมกลอรี</t>
  </si>
  <si>
    <t>ไฟร์โปร โซลูชั่น</t>
  </si>
  <si>
    <t>ซิสเท็มส์ โปรดักส์ฯ</t>
  </si>
  <si>
    <t>ซี.ซี.บี.ฯ</t>
  </si>
  <si>
    <t>สหมิตรกิจการ</t>
  </si>
  <si>
    <t>โปร เทคโน เซอร์วิสฯ</t>
  </si>
  <si>
    <t>พี.เค 17ฯ</t>
  </si>
  <si>
    <t>เน็กซ์พลัส</t>
  </si>
  <si>
    <t>PO-10FB (บันได+ห่วง)</t>
  </si>
  <si>
    <t>22 ถุง</t>
  </si>
  <si>
    <t>SA-100800E NO.4</t>
  </si>
  <si>
    <t>RV63060030 30% รับโอนแล้ว</t>
  </si>
  <si>
    <t>RV63060029 รับโอน 3 ใบ 26-06-2020</t>
  </si>
  <si>
    <t>RV63060027 งวด2-3 รับโอน 26-06-20</t>
  </si>
  <si>
    <t>RV63060026 รับโอน 20,000 บาท เหลือ 33,904</t>
  </si>
  <si>
    <t>RV63060025 ส่ง line K.เจี๊ยบ 14-05-2020</t>
  </si>
  <si>
    <t>RV63060024 รับโอน 24-06-2020</t>
  </si>
  <si>
    <t>RV63060023 วางบิลทางไปรษณีย์</t>
  </si>
  <si>
    <t>RV63060022 งวด1 โอน 23-06-2020</t>
  </si>
  <si>
    <t>RV63060021 70% (ขาด 1 รายการ)</t>
  </si>
  <si>
    <t>RV63060021 70% (ที่ขาด 1 รายการ)</t>
  </si>
  <si>
    <t>RV63060020 ส่ง line K.ปลา 18-05-2020 (รับโอน 23-06-2020)</t>
  </si>
  <si>
    <t>RV63060018 เงินค้ำประกันผลงาน (ได้รับแล้ว)</t>
  </si>
  <si>
    <t>RV63060018 รอเอกสารรับประกันจากทรายก่อนส่งวางบิล</t>
  </si>
  <si>
    <t>RV63060017 ส่ง line K.แพรว</t>
  </si>
  <si>
    <t>RV63060016 งวด1 รับโอน 18-06-2020</t>
  </si>
  <si>
    <t>RV63060015 30%</t>
  </si>
  <si>
    <t>RV63060013 ส่งให้คุณเจี๊ยบ 23-03-2020</t>
  </si>
  <si>
    <t>RV63060012 ส่งไลน์พี่มี่ 09-06-2020</t>
  </si>
  <si>
    <t>RV63060011 รับโอน 11-06-2020</t>
  </si>
  <si>
    <t>RV63060010</t>
  </si>
  <si>
    <t xml:space="preserve">RV63060010 </t>
  </si>
  <si>
    <t>RV63060009 ส่ง fax + ส่งวางบิลทางไปรษณีย์แล้ว</t>
  </si>
  <si>
    <t>RV63060008 ส่งไปรษณีย์ 27-04-2020</t>
  </si>
  <si>
    <t>RV63060007 วางบิลในระบบแล้ว</t>
  </si>
  <si>
    <t>RV63060006 งวด1 รับโอนแล้ว</t>
  </si>
  <si>
    <t xml:space="preserve">RV63060005 </t>
  </si>
  <si>
    <t xml:space="preserve">RV63060004 </t>
  </si>
  <si>
    <t>RV63060004 วางบิลแล้ว</t>
  </si>
  <si>
    <t>RV63060003</t>
  </si>
  <si>
    <t xml:space="preserve">RV63060003 </t>
  </si>
  <si>
    <t>RV63060002 ส่งไปรษณีย์วางบิล 20-04-20 (หน้างาน Toyu คุณสุขสันต์)</t>
  </si>
  <si>
    <t xml:space="preserve">RV63060001 </t>
  </si>
  <si>
    <t>RV63050029 30%</t>
  </si>
  <si>
    <t>RV63050029 รับโอนแล้ว</t>
  </si>
  <si>
    <t xml:space="preserve">RV63050026 </t>
  </si>
  <si>
    <t>RV63050025 ส่ง line K.อ้อ 20-05-2020</t>
  </si>
  <si>
    <t>RV63050024</t>
  </si>
  <si>
    <t>RV63050023 รับโอนแล้ว</t>
  </si>
  <si>
    <t xml:space="preserve">RV63050022 </t>
  </si>
  <si>
    <t>RV63050021 งวด3</t>
  </si>
  <si>
    <t>RV63050020</t>
  </si>
  <si>
    <t>RV63050019 วางบิลแล้ว 14-04-2020</t>
  </si>
  <si>
    <t>RV63050018 วางบิลแล้ว</t>
  </si>
  <si>
    <t>RV63050017 พี่ต๋องรับเช็ค 13-05-2020</t>
  </si>
  <si>
    <t>RV63050016 งวด2-3 จ่ายแล้ว เงินเข้า 14-05-2020</t>
  </si>
  <si>
    <t>RV63040018 งวด1 รับโอนแล้ว</t>
  </si>
  <si>
    <t>RV63050015 รับโอนแล้ว</t>
  </si>
  <si>
    <t>RV63030012 (ยอดส่วนเกิน 28,840 จาก INV:20030070), RV63050014 (ยอด 172,187.32)</t>
  </si>
  <si>
    <t>RV63050012 รับ cashier check แล้ว 06-05-2020</t>
  </si>
  <si>
    <t xml:space="preserve">RV63050011 </t>
  </si>
  <si>
    <t xml:space="preserve">RV63050010 </t>
  </si>
  <si>
    <t>RV63050009 งวด3 วางบิลแล้ว</t>
  </si>
  <si>
    <t>RV63050008 ส่งไลน์ให้ทราย 14-04-2020</t>
  </si>
  <si>
    <t>RV63050007 จะรับ PDC 07-04-2020</t>
  </si>
  <si>
    <t>RV63050006 งวด3</t>
  </si>
  <si>
    <t xml:space="preserve">RV63050005 </t>
  </si>
  <si>
    <t>RV63050004 รอที่อยู่ส่งไปหน้างานจากทราย 24-02-20</t>
  </si>
  <si>
    <t>RV63050004 รอที่อยู่วางบิลหน้างานจากทราย 24-02-20</t>
  </si>
  <si>
    <t>RV63050003 มุกส่งให้ ล/ค 13-02-2020</t>
  </si>
  <si>
    <t>RV63050002 รับโอนแล้ว</t>
  </si>
  <si>
    <t xml:space="preserve">Flex 6" พร้อมแหวนรัดท่อ </t>
  </si>
  <si>
    <t>PRACHA PS-14-TO</t>
  </si>
  <si>
    <t>0.4 คิว</t>
  </si>
  <si>
    <t>SA-100800E NO.3</t>
  </si>
  <si>
    <t>22 คิว</t>
  </si>
  <si>
    <t>JA372N</t>
  </si>
  <si>
    <t>SA-100800E NO.2</t>
  </si>
  <si>
    <t>SA-100800E NO.1</t>
  </si>
  <si>
    <t>1.8 คิว</t>
  </si>
  <si>
    <t>SA-120MBR36 NO.2</t>
  </si>
  <si>
    <t>20 คิว</t>
  </si>
  <si>
    <t>ปั๊ม CVS-40</t>
  </si>
  <si>
    <t xml:space="preserve">MBR </t>
  </si>
  <si>
    <t>24 ชุด</t>
  </si>
  <si>
    <t>7 เส้น</t>
  </si>
  <si>
    <t>SA-120MBR36 NO.1</t>
  </si>
  <si>
    <t>ปั๊ม CVS</t>
  </si>
  <si>
    <t>EA-AT-SED</t>
  </si>
  <si>
    <t>TOS-37BER</t>
  </si>
  <si>
    <t>20070196-1</t>
  </si>
  <si>
    <t>บจก. อีเทอร์นิตี้ คอนสตรัคชั่น</t>
  </si>
  <si>
    <t>กราบทหารกองร้อยเครื่องยิงลูกระเบิดหนัก</t>
  </si>
  <si>
    <t>SSP-2520N</t>
  </si>
  <si>
    <t>หจก. เอ.อาร์.เอ. วิศวกรรมและพานิช</t>
  </si>
  <si>
    <t>ก่อสร้างอาหารบ้านพักทหาร พล.ปตอ.</t>
  </si>
  <si>
    <t>30-9-20,
15-9-20</t>
  </si>
  <si>
    <t>บจก. คิง สเปรย์ ดรายอิ้ง เทคโนโลยี</t>
  </si>
  <si>
    <t>Office 2 class - Factory &amp; Storage Building</t>
  </si>
  <si>
    <t>SWV-2525</t>
  </si>
  <si>
    <t>COFFEE-KS 
(ST-CFS-20Z)</t>
  </si>
  <si>
    <t>พระนครเหนือ</t>
  </si>
  <si>
    <t>PSP-8-A</t>
  </si>
  <si>
    <t>20070566R1</t>
  </si>
  <si>
    <t>รร.ชุมชนเขาไม้แก้ว จ.ชลบุรี</t>
  </si>
  <si>
    <t>20070585R1</t>
  </si>
  <si>
    <t>30-9-20,
15-12-20</t>
  </si>
  <si>
    <t>แฟลตทางหลวง 2 จ.ชลบุรี</t>
  </si>
  <si>
    <t>PSS-5000</t>
  </si>
  <si>
    <t>SWO-2538</t>
  </si>
  <si>
    <t>โรงเรียนชากพุดชา</t>
  </si>
  <si>
    <t>20070565R1</t>
  </si>
  <si>
    <t>รร.หนองปรือ อ.ศรีราชา จ.ชลบุรี</t>
  </si>
  <si>
    <t>20070592R1</t>
  </si>
  <si>
    <t>SW-2530</t>
  </si>
  <si>
    <t>งานซ่อมเครื่องเติมอากาศและปั๊มสูบน้ำ</t>
  </si>
  <si>
    <t>200628AP</t>
  </si>
  <si>
    <t>งานปรับปรุงระบบบำบัดฯ จุดห้องน้ำ พนง.</t>
  </si>
  <si>
    <t>200608RS</t>
  </si>
  <si>
    <t>RV63070026 70%</t>
  </si>
  <si>
    <t>RV63070025 10%</t>
  </si>
  <si>
    <t>RV63070024</t>
  </si>
  <si>
    <t>RV63070023</t>
  </si>
  <si>
    <t>RV63070022 30% ส่ง line ให้แอล 17-07-2020</t>
  </si>
  <si>
    <t>RV63070021 รับโอน 20-07-2020</t>
  </si>
  <si>
    <t>RV63070020 30% pay in 17-07-2020</t>
  </si>
  <si>
    <t>RV63070019 งวด2</t>
  </si>
  <si>
    <t>RV63070018 ส่ง line K.เป๊ก 14-05-2020</t>
  </si>
  <si>
    <t>RV63070016 ส่งไปรษณีย์วางบิล</t>
  </si>
  <si>
    <t>RV63070014 รุ่น ATK-20Q รับโอน 10-07-2020</t>
  </si>
  <si>
    <t>RV63070013 ส่งไลน์พี่มี่ 09-06-2020</t>
  </si>
  <si>
    <t>RV63070012 30% รับโอน 10-07-20</t>
  </si>
  <si>
    <t>RV63070011 30%</t>
  </si>
  <si>
    <t>RV63070010</t>
  </si>
  <si>
    <t>RV630709.4</t>
  </si>
  <si>
    <t>RV630709.3</t>
  </si>
  <si>
    <t>RV630709.2</t>
  </si>
  <si>
    <t>RV630709.1 ออกบิลใหม่</t>
  </si>
  <si>
    <t>RV63070009</t>
  </si>
  <si>
    <t>RV63070008 งวด2</t>
  </si>
  <si>
    <t>RV63070008 งวด3</t>
  </si>
  <si>
    <t>RV63070007 ส่งไปรษณีย์ K.สุขสันต์</t>
  </si>
  <si>
    <t>RV63070006 30%</t>
  </si>
  <si>
    <t>RV63070005 30% รับโอน 02-07-2020</t>
  </si>
  <si>
    <t>RV63070004</t>
  </si>
  <si>
    <t xml:space="preserve">RV63070004 </t>
  </si>
  <si>
    <t>RV63060028 รับโอน งวด2 (67,196 บาท) 26-06-2020 RV63070003 งวด3 (16,799 บาท)</t>
  </si>
  <si>
    <t>RV63070002</t>
  </si>
  <si>
    <t>RV63070001 จะวางบิล+ส่งเอกสารส่งมอบงานที่หน้างาน HP พระราม 9 25-05-2020</t>
  </si>
  <si>
    <t>รอแจ้งชื่อ</t>
  </si>
  <si>
    <t>น.ท.ธรีทัศน์ กงทอง</t>
  </si>
  <si>
    <t>ไพศาล</t>
  </si>
  <si>
    <t>พ.อ.กวีวัชน์</t>
  </si>
  <si>
    <t>(-หน้าแปลน 10,000)</t>
  </si>
  <si>
    <t>บจก. ซี.ซี.บี. อีเล็คทริค แอนด์ เอ็นจิเนียริ่ง</t>
  </si>
  <si>
    <t>บมจ. โฮม โปรดักส์ เซ็นเตอร์ (สาขาเขาใหญ่) 00040</t>
  </si>
  <si>
    <t>ยกเลิก เนื่องจากลูกค้าเปิด PO ไม่ตรงกับ SO</t>
  </si>
  <si>
    <t>20070590R1</t>
  </si>
  <si>
    <t>บจก. เวิลด์ กรุ๊ป เอ็นจิเนียริ่ง</t>
  </si>
  <si>
    <t>รร.วัดราษฎ์ศรัทธา ต.แสนสุข จ.ชลบุรี</t>
  </si>
  <si>
    <t>SS-741</t>
  </si>
  <si>
    <t>ทยอยรับ</t>
  </si>
  <si>
    <t>PEBBA - MELLOW</t>
  </si>
  <si>
    <t>TSQ0801GAX</t>
  </si>
  <si>
    <t>รับสินค้าแล้ว</t>
  </si>
  <si>
    <t>PEBBA - GEM150</t>
  </si>
  <si>
    <t>TSQ0803GAX</t>
  </si>
  <si>
    <t>TSQ0804GAX</t>
  </si>
  <si>
    <t>TSQ0302ICX</t>
  </si>
  <si>
    <t>11, 21-08-20</t>
  </si>
  <si>
    <t>MOTOR</t>
  </si>
  <si>
    <t>200506M</t>
  </si>
  <si>
    <t>200506L</t>
  </si>
  <si>
    <t>200711R</t>
  </si>
  <si>
    <t>Filter</t>
  </si>
  <si>
    <t>เอ.อาร์.เอฯ</t>
  </si>
  <si>
    <t>ฝาเหล็กพร้อมแหวนรอง 50 CM</t>
  </si>
  <si>
    <t>12 ฝา</t>
  </si>
  <si>
    <t>1 Set</t>
  </si>
  <si>
    <t>13 ชิ้น</t>
  </si>
  <si>
    <t>PEBBA L</t>
  </si>
  <si>
    <t>PEBBA XL</t>
  </si>
  <si>
    <t>1 ชิ้น</t>
  </si>
  <si>
    <t>PEBBA S</t>
  </si>
  <si>
    <t>2 ชิ้น</t>
  </si>
  <si>
    <t>ค่าขนส่ง รร.เทศบาลมาบตาพุด</t>
  </si>
  <si>
    <t>ส่ง line ให้พี่มี่ 13-08-2020</t>
  </si>
  <si>
    <t>20080224-1</t>
  </si>
  <si>
    <t>ส่งให้พี่มี่ 14-08-2020</t>
  </si>
  <si>
    <t>บจก. ประสงค์ดี การค้า</t>
  </si>
  <si>
    <t>ถังบำบัด 1600 ลิตร</t>
  </si>
  <si>
    <t>พีเค 17</t>
  </si>
  <si>
    <t>หยกเพชร</t>
  </si>
  <si>
    <t>ประสงค์ดีการค้า</t>
  </si>
  <si>
    <t>กรมช่างโยธาทหารเรือ</t>
  </si>
  <si>
    <t>หอพักวิทยาลัยพยาบาล ทหารเรือ</t>
  </si>
  <si>
    <t>SSA-2528Z</t>
  </si>
  <si>
    <t>งานติดตั้ง Pump Submersible บ่อ UV / AIA รัชดา</t>
  </si>
  <si>
    <t>UBSP-IN</t>
  </si>
  <si>
    <t>UV Disinfection System / AIA รัชดา</t>
  </si>
  <si>
    <t>ค่าขนส่ง อค.โรงเลี้ยง สอ.รฝ</t>
  </si>
  <si>
    <t>อค.ที่ทำการสถานีสมุทรศาสตร์ จ.พังงา</t>
  </si>
  <si>
    <t>ฝาเหล็ก อค.โรงเลี้ยง สอ.รฝ</t>
  </si>
  <si>
    <t>น.ท.ทูลถวาย</t>
  </si>
  <si>
    <t>PSN-4000</t>
  </si>
  <si>
    <t>ส่งไปรษณีย์วางบิล 24-08-2020</t>
  </si>
  <si>
    <t>ส่ง line ให้มุก 13-08-2020 (ส่งไปรษณีย์วางบิล พร้อมบิลอื่น 24-08-2020) Memo แก้ไขเป็นเครดิต 30 วัน</t>
  </si>
  <si>
    <t>24 เส้น</t>
  </si>
  <si>
    <t xml:space="preserve">ฝาถัง STAR </t>
  </si>
  <si>
    <t>บจก. อดิตยา เบอร์ล่า เคมีคัลส์ (ประเทศไทย) (ฟอสเฟตดีวิชั่น) 00008</t>
  </si>
  <si>
    <t>200601P</t>
  </si>
  <si>
    <t xml:space="preserve">บจก. บีพี ซีฟู้ดส์ </t>
  </si>
  <si>
    <t>ถังเก็บน้ำขนาด 50 ลบ.ม._บีพี ซีฟู้ดส์ เฟส 2</t>
  </si>
  <si>
    <t>SWTV-3550</t>
  </si>
  <si>
    <t>อ.สนับสนุนฯ ปราบปราม (ถังบำบัด)</t>
  </si>
  <si>
    <t>(มียกเลิกถังบำบัดฯ)</t>
  </si>
  <si>
    <t>SS-2526K</t>
  </si>
  <si>
    <t>CP-25000A</t>
  </si>
  <si>
    <t>CP-80000A</t>
  </si>
  <si>
    <t>CP-20000A</t>
  </si>
  <si>
    <t>บจก. เอเออี เอ็นจิเนียริ่ง</t>
  </si>
  <si>
    <t>โรงพยาบาลนวเวชอินเตอร์_UV</t>
  </si>
  <si>
    <t>BU-6424</t>
  </si>
  <si>
    <t>บ้านพักคุณอัญชลิน รามอินทรา 14 แยก 17</t>
  </si>
  <si>
    <t>SWTU-1000</t>
  </si>
  <si>
    <t>20, 25-11-20</t>
  </si>
  <si>
    <t>อค.พักนายทหารประทวนโสด (NCOQ) 2 หลัง</t>
  </si>
  <si>
    <t>หจก. จินทนาพร</t>
  </si>
  <si>
    <t>ศูนย์สุขภาพชุมชนบ้านเมืองงาม จ.เชียงใหม่</t>
  </si>
  <si>
    <t>PS-SWTG-1000</t>
  </si>
  <si>
    <t>PS-SWTG-1500</t>
  </si>
  <si>
    <t>เซ็นหน้างาน (หน้างานดึงใบกำกับตัวจริง) 27-08-2020</t>
  </si>
  <si>
    <t>รอวางบิล 20-25 ของเดือนถัดไป</t>
  </si>
  <si>
    <t>บจก. ศิริบูรพา ไอที แอนด์ คอนสตรัคชั่น</t>
  </si>
  <si>
    <t>เข้าตรวจสอบ AIR BLOWER</t>
  </si>
  <si>
    <t>ถังบำบัดน้ำเสีย 10 ลบ.ม.</t>
  </si>
  <si>
    <t>WSN-1610</t>
  </si>
  <si>
    <t>(รอแจ้ง) จนท.เทศบาลเชียงใหม่</t>
  </si>
  <si>
    <t>น.ท.ธีรทัศน์ กงทอง</t>
  </si>
  <si>
    <t>ก่อเกียรติ มีทิพย์</t>
  </si>
  <si>
    <t>(รอแจ้ง)</t>
  </si>
  <si>
    <t>งานประปาภายนอกอาคาร ตำหนักพิมานมาศ</t>
  </si>
  <si>
    <t>บมจ. โฮม โปรดักส์ เซ็นเตอร์ (สาขานครศรีธรรมราช) 00045</t>
  </si>
  <si>
    <t>200710FS</t>
  </si>
  <si>
    <t>AIR BLOWER</t>
  </si>
  <si>
    <t>กส.อาคารสระว่ายน้ำ 50 เมตร จ.ชลบุรี</t>
  </si>
  <si>
    <t>SS-765 (ผลิต PS-8500)</t>
  </si>
  <si>
    <t>20070606R1</t>
  </si>
  <si>
    <t>กส.อาคารพลศึกษา รร.หัวถนน อ.พนัสนิคม จ.ชลบุรี</t>
  </si>
  <si>
    <t>SS-7105 (ผลิต PS-13500)</t>
  </si>
  <si>
    <t>SW-167</t>
  </si>
  <si>
    <t>บมจ. โฮม โปรดักส์ เซ็นเตอร์ (สาขาพิษณุโลก) 00028</t>
  </si>
  <si>
    <t>ลูกลอยไฟฟ้า</t>
  </si>
  <si>
    <t>200501F</t>
  </si>
  <si>
    <t>200501T</t>
  </si>
  <si>
    <t>บจก. ซีอาร์วี เอ็นจิเนียริ่ง</t>
  </si>
  <si>
    <t>กส.โรงเก็บของ ชย.ทร. พื้นที่ อร.เดิม</t>
  </si>
  <si>
    <t>ค่าขนสง งานระบบประปา</t>
  </si>
  <si>
    <t>แชวงดอกไม้ เขตประเวศ กทม.</t>
  </si>
  <si>
    <t>รอทรายทำหนังสือรับรอง 14-09-2020</t>
  </si>
  <si>
    <t>ค่าขนส่ง จ.ลำพูน</t>
  </si>
  <si>
    <t>20090244-1</t>
  </si>
  <si>
    <t xml:space="preserve">บมจ. อิตาเลียนไทย ดีเวล๊อปเมนต์ </t>
  </si>
  <si>
    <t>ปรับปรุง อค.ศพด.อร. และ บก.อร.สนง.ศรชล (ฝา)</t>
  </si>
  <si>
    <t>แก้ไขอุปกรณ์ระบบบำบัดน้ำเสีย</t>
  </si>
  <si>
    <t>200802RP</t>
  </si>
  <si>
    <t>200802RV</t>
  </si>
  <si>
    <t>สั่งซื้อพร้อมติดตั้ง Guide Rail</t>
  </si>
  <si>
    <t>200803GR</t>
  </si>
  <si>
    <t>Rest Go Tiwanon_2 CUM</t>
  </si>
  <si>
    <t>SS-327AZ</t>
  </si>
  <si>
    <t>บ้านคุณพิชิต พุทธมณฑลสาย 2</t>
  </si>
  <si>
    <t>กส.อาคารรองรับการย้าย กลน.กร. บางนา</t>
  </si>
  <si>
    <t>บมจ. โฮม โปรดักส์ เซ็นเตอร์ (สาขาชัยพฤกษ์) 00086</t>
  </si>
  <si>
    <t>Guide Rail</t>
  </si>
  <si>
    <t>200402GR</t>
  </si>
  <si>
    <t>ท่อจ่ายอากาศสำหรับ Membrane</t>
  </si>
  <si>
    <t>200610AT</t>
  </si>
  <si>
    <t>สวนสาธารณะชายหาดบางพระ จ.ชลบุรี</t>
  </si>
  <si>
    <r>
      <t xml:space="preserve">ส่ง line ให้มุก 13-08-2020 </t>
    </r>
    <r>
      <rPr>
        <sz val="14"/>
        <color rgb="FFFF0000"/>
        <rFont val="TH Sarabun New"/>
        <family val="2"/>
      </rPr>
      <t>(ไป SO : 20096669)</t>
    </r>
  </si>
  <si>
    <t>Q63/10</t>
  </si>
  <si>
    <t>หจก. มอมิวตั้น คอนสตรัคชั่น</t>
  </si>
  <si>
    <t>อพาร์ทเม้นท์ ชลบุรี</t>
  </si>
  <si>
    <t>นางพัชรี อาจหาญ</t>
  </si>
  <si>
    <t>ถังบำบัดน้ำเสีย+ถังเก็บน้ำ ขนาด 10 ลบ.ม.</t>
  </si>
  <si>
    <t>PS-10500AZ</t>
  </si>
  <si>
    <t>WWU-166</t>
  </si>
  <si>
    <t>ศุภลักษณ์ก่อสร้าง</t>
  </si>
  <si>
    <t>ชลบุรี บี.เอส.ฯ</t>
  </si>
  <si>
    <t>พงศธรฯ</t>
  </si>
  <si>
    <t>พ.ท.เชษฐา</t>
  </si>
  <si>
    <t>ซีอาร์วี</t>
  </si>
  <si>
    <t>ส่งถังใช้ชั่วคราว</t>
  </si>
  <si>
    <t>นีโอเวชั่น</t>
  </si>
  <si>
    <t>โฮม โปรดักส์ฯ</t>
  </si>
  <si>
    <t>ขาถัง 18 คู่</t>
  </si>
  <si>
    <t>คุณพัชรี</t>
  </si>
  <si>
    <t>มอมิวตั้นฯ</t>
  </si>
  <si>
    <t>8.75 คิว</t>
  </si>
  <si>
    <t>บจก. เจมินี เทค</t>
  </si>
  <si>
    <t>รจ.สุราษฎร์ธานี_ถังบำบัดน้ำเสีย</t>
  </si>
  <si>
    <t>SGT-2020</t>
  </si>
  <si>
    <t>PGT-1250</t>
  </si>
  <si>
    <t>PGT-2340</t>
  </si>
  <si>
    <t>Beach House Two Story</t>
  </si>
  <si>
    <t>SWTU-2340</t>
  </si>
  <si>
    <t>SWTU-3440</t>
  </si>
  <si>
    <t>โรงเรียนชุมชนเขาไม้แก้ว จ.ชลบุรี</t>
  </si>
  <si>
    <t>รร.บ้านเขาดิน ต.หนองขาม จ.ชลบุรี</t>
  </si>
  <si>
    <t>จัดตั้ง พัน ร.6 กรม ร.2 จ.ตราด (บก.พัน)</t>
  </si>
  <si>
    <t>PSN-1350</t>
  </si>
  <si>
    <t>จัดตั้ง พัน ร.6 กรม ร.2 จ.ตราด (อค.โรงเลี้ยง)</t>
  </si>
  <si>
    <t>จัดตั้ง พัน ร.6 กรม ร.2 จ.ตราด (กราบทหาร)</t>
  </si>
  <si>
    <t>PSP-F20-A</t>
  </si>
  <si>
    <t>20090237-1</t>
  </si>
  <si>
    <t>20090238-1</t>
  </si>
  <si>
    <t>วางบิลทางไปรษณีย์</t>
  </si>
  <si>
    <t>ส่ง line ให้คุณชล 30-09-2020</t>
  </si>
  <si>
    <t>20090260-1</t>
  </si>
  <si>
    <t>30% ส่งไลน์พี่มี่ 30-09-2020</t>
  </si>
  <si>
    <t>20090261-1</t>
  </si>
  <si>
    <t>20090261-2</t>
  </si>
  <si>
    <t>20090261-3</t>
  </si>
  <si>
    <t>20090261-4</t>
  </si>
  <si>
    <t>30% ส่งไลน์ให้ทราย 30-09-2020</t>
  </si>
  <si>
    <t>พี่อ๊อดถือไปวางบิล 05-10-2020</t>
  </si>
  <si>
    <t xml:space="preserve">ระบบข้ามเลขนี้ </t>
  </si>
  <si>
    <t>รับโอน 08-10-20</t>
  </si>
  <si>
    <t>ส่งไลน์ให้มุก 08-10-2020 + ส่งวางบิลไปรษณีย์</t>
  </si>
  <si>
    <t>วางบิลไปรษณีย์</t>
  </si>
  <si>
    <t>20030081-1</t>
  </si>
  <si>
    <t>รับเงินโอนแล้ว 07-10-2020</t>
  </si>
  <si>
    <t>07-10-2020 แก้ไขแค่ชื่อเป็น เพื่อน.การช่าง ส่งไลน์มุก 07-10-2020</t>
  </si>
  <si>
    <t>ส่ง line ให้มุก 13-08-2020 (08-10-2020 แก้ไขแค่ชื่อเป็น เพื่อน. การช่าง) 07-10-2020 ส่งไลน์ให้มุก</t>
  </si>
  <si>
    <t>70% (มุกต้องถือไปวางบิล)</t>
  </si>
  <si>
    <t>30% (มุกต้องถือไปวางบิล)</t>
  </si>
  <si>
    <t>RV63090017 70%</t>
  </si>
  <si>
    <t>RV63090017</t>
  </si>
  <si>
    <t>RV63090016</t>
  </si>
  <si>
    <t>RV63090015 งวด2</t>
  </si>
  <si>
    <t>RV63090015 งวด3</t>
  </si>
  <si>
    <t>RV63090014</t>
  </si>
  <si>
    <t>RV63090013</t>
  </si>
  <si>
    <t>RV63090012</t>
  </si>
  <si>
    <t>RV63090011 70% ส่งให้คุณอ้อทางไลน์ 14-09-2020</t>
  </si>
  <si>
    <t>RV63090011 ส่งให้คุณอ้อทางไลน์ 14-09-2020</t>
  </si>
  <si>
    <t>RV63090010 ส่งไลน์ทราย 02-06-2020</t>
  </si>
  <si>
    <t>RV63090010</t>
  </si>
  <si>
    <t>RV63090010 70%</t>
  </si>
  <si>
    <t>RV63090009 งวด1</t>
  </si>
  <si>
    <t>RV63090008</t>
  </si>
  <si>
    <t>RV63090007 รอวางบิล 20-25 ของทุกเดือน</t>
  </si>
  <si>
    <t>RV63090006 30%</t>
  </si>
  <si>
    <t>RV63090005 รอไปรับ PDC</t>
  </si>
  <si>
    <t>RV63090004 70% ส่ง line ให้มุก 10-08-2020 (มาจาก SO 20066598)</t>
  </si>
  <si>
    <t>RV63090004 70% ส่ง line ให้มุก 10-08-2020 (มาจาก SO 20066597)</t>
  </si>
  <si>
    <t>RV63090003</t>
  </si>
  <si>
    <t>RV63090002</t>
  </si>
  <si>
    <t>RV63090001 รับโอน 01-09-2020</t>
  </si>
  <si>
    <t>RV63080020 รับโอนแล้ว 20-08-2020</t>
  </si>
  <si>
    <t>RV63080019 ส่ง line ให้มุก 13-08-2020 (รับโอน 28-08-2020)</t>
  </si>
  <si>
    <t>RV63080018 จะรับ PDC 14-07-2020</t>
  </si>
  <si>
    <t>RV63080017 ส่ง line ให้พี่มี่ 13-08-20</t>
  </si>
  <si>
    <t>RV63080016 ส่ง line ให้มุก 14-08-2020</t>
  </si>
  <si>
    <t>RV63080015 ส่งไปรษณีย์วางบิล</t>
  </si>
  <si>
    <t>RV63080014 รับโอนแล้ว 18-08-2020</t>
  </si>
  <si>
    <t>RV63080013 ส่ง line ให้ทราย 13-08-2020</t>
  </si>
  <si>
    <t>RV63080012 ส่งให้คุณเจี๊ยบ 02-07-2020</t>
  </si>
  <si>
    <t>RV63080011 30% ส่ง line ให้มุก 10-08-2020 (มาจาก SO 20066598)</t>
  </si>
  <si>
    <t>RV63080011 30% ส่ง line ให้มุก 10-08-2020 (มาจาก SO 20066597)</t>
  </si>
  <si>
    <t>RV63080010 70%</t>
  </si>
  <si>
    <t>RV63080009 70%</t>
  </si>
  <si>
    <t>RV63080008 วางบิลแล้ว</t>
  </si>
  <si>
    <t>RV63080007</t>
  </si>
  <si>
    <t>RV63080006 ส่งไปรษณีย์ไปเซ็นชุดใบกำกับหน้างาน เพื่อมาวางบิล สนญ.</t>
  </si>
  <si>
    <t>RV63080005 รับโอนแล้ว</t>
  </si>
  <si>
    <t>RV63080004 วางบิลแล้ว</t>
  </si>
  <si>
    <t>RV630803.2</t>
  </si>
  <si>
    <t>RV630803.1</t>
  </si>
  <si>
    <t>RV63080003</t>
  </si>
  <si>
    <t>RV630802.2</t>
  </si>
  <si>
    <t>RV630802.1</t>
  </si>
  <si>
    <t>RV63080002</t>
  </si>
  <si>
    <t>RV63080001 งวด1</t>
  </si>
  <si>
    <t>HP (MH บ้านฉาง)</t>
  </si>
  <si>
    <t>ขาถัง 25 คู่</t>
  </si>
  <si>
    <t>งานฝา บ.นีโอฯ</t>
  </si>
  <si>
    <t>RV63070017 วางบิลแล้ว (มียกเลิกถังบำบัด)</t>
  </si>
  <si>
    <t>กส.ปรับปรุง อค.รองรับการย้าย กลน.กร (ฝาเหล็ก)</t>
  </si>
  <si>
    <t>TSA-16A</t>
  </si>
  <si>
    <t>3.6 คิว</t>
  </si>
  <si>
    <t>18 คู่</t>
  </si>
  <si>
    <t>PS-1500AZ</t>
  </si>
  <si>
    <t>SSS-7177</t>
  </si>
  <si>
    <t>27 ฝา</t>
  </si>
  <si>
    <t>24 คู่</t>
  </si>
  <si>
    <t>ขาถัง 3000</t>
  </si>
  <si>
    <t>1 คู่</t>
  </si>
  <si>
    <t>บจก. พัทยา เซ็นเตอร์พ้อยท์ คอนโดมิเนียม</t>
  </si>
  <si>
    <t>โรงเรียนไตรนิธิวิทยา บ่อวิน</t>
  </si>
  <si>
    <t>PSA-2533Z</t>
  </si>
  <si>
    <t>บจก. เจเอซี เอ็นจิเนียริ่ง แอนด์ คอนซัลแตนท์</t>
  </si>
  <si>
    <t>ถังเก็บน้ำ ขนาด 20,000 ลิตร</t>
  </si>
  <si>
    <t>SWO-2020Z</t>
  </si>
  <si>
    <t>ซ่อมปั๊ม</t>
  </si>
  <si>
    <t>200910R</t>
  </si>
  <si>
    <t>*วันที่ส่งจริงไม่ตรงกับใบสั่งส่ง เพราะว่าลูกค้าขอเลื่อน)</t>
  </si>
  <si>
    <t>น.อ.วิมล</t>
  </si>
  <si>
    <t>บีพี ซีฟู้ดส์</t>
  </si>
  <si>
    <t>วิสิเบิลฯ</t>
  </si>
  <si>
    <t>ขาถัง 12 ขา</t>
  </si>
  <si>
    <t>HP</t>
  </si>
  <si>
    <t>บจก. มีอนันต์ เซลส์ แอนด์ เซอร์วิส</t>
  </si>
  <si>
    <t>ดูแลระบบบำบัดน้ำเสีย</t>
  </si>
  <si>
    <t>201005S</t>
  </si>
  <si>
    <t>201005O</t>
  </si>
  <si>
    <t>ดูแลระบบบำบัดฯ โคโคฮัท บีช รีสอร์ทฯ</t>
  </si>
  <si>
    <t>201004PM</t>
  </si>
  <si>
    <t>จัดตั้งศูนย์ถ่ายทอดเทคโนโลยีระดับสากล</t>
  </si>
  <si>
    <t>PS-4500</t>
  </si>
  <si>
    <t>บจก. แอม แอนด์ แอสโซซิเอท</t>
  </si>
  <si>
    <t>จัดตั้งศูนย์สมุททานุภาพกองทัพเรือ B7</t>
  </si>
  <si>
    <t>จัดตั้งศูนย์สมุททานุภาพกองทัพเรือ B6</t>
  </si>
  <si>
    <t>SSS-6470</t>
  </si>
  <si>
    <t>จัดตั้งศูนย์สมุททานุภาพกองทัพเรือ B5</t>
  </si>
  <si>
    <t>จัดตั้งศูนย์สมุททานุภาพกองทัพเรือ B4/2</t>
  </si>
  <si>
    <t>SSS-10500</t>
  </si>
  <si>
    <t>SSA-2520Z</t>
  </si>
  <si>
    <t>SSS-15500</t>
  </si>
  <si>
    <t>SSA-2525Z</t>
  </si>
  <si>
    <t>จัดตั้งศูนย์สมุททานุภาพกองทัพเรือ B4/1</t>
  </si>
  <si>
    <t>จัดตั้งศูนย์สมุททานุภาพกองทัพเรือ B3</t>
  </si>
  <si>
    <t>จัดตั้งศูนย์สมุททานุภาพกองทัพเรือ B2</t>
  </si>
  <si>
    <t>31-11-20</t>
  </si>
  <si>
    <t>จัดตั้งศูนย์สมุททานุภาพกองทัพเรือ B1</t>
  </si>
  <si>
    <t>SSS-2020</t>
  </si>
  <si>
    <t>SSA-2550Z</t>
  </si>
  <si>
    <t>wate</t>
  </si>
  <si>
    <t>โรงเรียนกีฬา จ.อ่างทอง</t>
  </si>
  <si>
    <t>SS-2524AZ</t>
  </si>
  <si>
    <t>เสกสรรค์ หงษ์แสนยาธรรม / ทวีวัฒน์ อินสุข</t>
  </si>
  <si>
    <t>พรชัย จ้อยจารูญ</t>
  </si>
  <si>
    <t>แก้ไขเปิดเต็ม และแก้ไขตัวเลขให้ตรงกับใบสั่งซื้อ (หน่วยงานราชการ)</t>
  </si>
  <si>
    <t>ส่งบิลวางบิลทางไปรษณีย์ให้คุณวิสาข์</t>
  </si>
  <si>
    <t>ส่งบิลวาบิลทางไปรษณีย์ให้คุณวิสาข์</t>
  </si>
  <si>
    <t xml:space="preserve">รับ PDC (จะเข้ารับ 28-10-2020 หรือ 29-10-2020) </t>
  </si>
  <si>
    <t>บจก. ยูเนี่ยน แปลน</t>
  </si>
  <si>
    <t>30% รับโอน 28-10-2020</t>
  </si>
  <si>
    <t>70% จะไปวางบิล 28-10-2020 หรือ 29-10-2020</t>
  </si>
  <si>
    <t>พี่มี่จะไปวางบิลวันที่ส่งของ 30-10-2020</t>
  </si>
  <si>
    <t>บจก. เมกา โฮม เซ็นเตอร์ (สาขานครราชสีมา) 00010</t>
  </si>
  <si>
    <t>เปลี่ยน membrane</t>
  </si>
  <si>
    <t>200908MB</t>
  </si>
  <si>
    <t>mbr</t>
  </si>
  <si>
    <t>บมจ. โฮม โปรดักส์ เซ็นเตอร์ (สาขาร้อยเอ็ด) 00047</t>
  </si>
  <si>
    <t>200302ST</t>
  </si>
  <si>
    <t>200302CT</t>
  </si>
  <si>
    <t>200302LC</t>
  </si>
  <si>
    <t>ปรับปรุงอาคาร 6 ม.ราชภัฏพระนคร</t>
  </si>
  <si>
    <t>PTT LNG Nong Fab Zone EN</t>
  </si>
  <si>
    <t>เจษฎาพร เสมา</t>
  </si>
  <si>
    <t>คิงสเปรย์ดรายอิ้ง</t>
  </si>
  <si>
    <t xml:space="preserve">HP </t>
  </si>
  <si>
    <t>ขาถัง 36 ขา</t>
  </si>
  <si>
    <t>36 ขา</t>
  </si>
  <si>
    <t>ST-CFS-20Z NO.2</t>
  </si>
  <si>
    <t>ST-CFS-20Z NO.1</t>
  </si>
  <si>
    <t>4 ลูก</t>
  </si>
  <si>
    <t>12 ขา</t>
  </si>
  <si>
    <t>ลูกลอยพร้อมติดตั้ง</t>
  </si>
  <si>
    <t>201002F</t>
  </si>
  <si>
    <t>จัดตั้งพัน ร.6 กรม ร.2 พล.นย. จ.ตราด (ประปาภายนอก)</t>
  </si>
  <si>
    <t>สวนสาธารณะสนามกีฬาศูนย์เยาวชนเมืองพัทยา</t>
  </si>
  <si>
    <t>ปรับปรุงระบบบำบัดน้ำเสีย จุดห้องน้ำ พนง.</t>
  </si>
  <si>
    <t>200301M</t>
  </si>
  <si>
    <t>บจก. ทีพีเค อินเตอร์ฟู้ดส์</t>
  </si>
  <si>
    <t>TPK Interfood Factory</t>
  </si>
  <si>
    <t>TPK-WWTP50</t>
  </si>
  <si>
    <t>Industry</t>
  </si>
  <si>
    <t>อาคารสำนักงาน BJC</t>
  </si>
  <si>
    <t>SSA-3070Z</t>
  </si>
  <si>
    <t>บจก. ยูทิลิตี้ บิสิเนส อัลลายแอนซ์</t>
  </si>
  <si>
    <t>ปรับปรุงระบบบำบัดน้ำเสีย อ.เกื้อการุณย์</t>
  </si>
  <si>
    <t>MAH-25PP</t>
  </si>
  <si>
    <t>OASIS-50Z</t>
  </si>
  <si>
    <t>TPP Healthcare Control UV BU-6408</t>
  </si>
  <si>
    <t>สวนศรีราชา จ.ชลบุรี</t>
  </si>
  <si>
    <t>SS-7160A</t>
  </si>
  <si>
    <t>อาคารกองปราบปราม (ถังบำบัด)</t>
  </si>
  <si>
    <t>SS-2026K</t>
  </si>
  <si>
    <t>ถังบำบัดน้ำเสีย TSA-3A</t>
  </si>
  <si>
    <t>TSA-3A</t>
  </si>
  <si>
    <t>บจก. โตโยต้า เค.มอเตอร์ส ผู้จำหน่ายโตโยต้า</t>
  </si>
  <si>
    <t>ปรับปรุงห้องน้ำสาขาเพชรเกษม</t>
  </si>
  <si>
    <t>ฝาเหล็ก (ม.ปทุม)</t>
  </si>
  <si>
    <t>บำรุงรักษาระบบบำบัดน้ำเสีย</t>
  </si>
  <si>
    <t>บจก. จินจงฟา อุตสาหกรรมกระดาษ</t>
  </si>
  <si>
    <t>อาคารพักอาศัยรวม 4 ชั้น</t>
  </si>
  <si>
    <t>Q63/11</t>
  </si>
  <si>
    <t>อพาร์ทเม้นท์ถังบำบัด</t>
  </si>
  <si>
    <t>รับโอน 11-11-2020</t>
  </si>
  <si>
    <t>TPP Healthcare</t>
  </si>
  <si>
    <t>BU-64QS</t>
  </si>
  <si>
    <t>20100290-1</t>
  </si>
  <si>
    <t>20110295-1</t>
  </si>
  <si>
    <t>วางบิลในระบบ 13-11-2020</t>
  </si>
  <si>
    <t xml:space="preserve">05-10-2020 ยังวางบิลไม่ได้ มีสิ่งที่ต้องทำเพิ่ม พี่รงค์บอกพี่เปี๊ยกรู้ </t>
  </si>
  <si>
    <t>รอวางบิล (รอพี่อ๊อดแจ้งว่าส่วนกลางตรวจรับงานโอเคไหม)</t>
  </si>
  <si>
    <t>รอทรายแจ้งเรื่องการวางบิล ส่ง line K.เอฟ บัญชีแล้ว 17-11-2020</t>
  </si>
  <si>
    <t>บมจ. โฮม โปรดักส์ เซ็นเตอร์ (สาขาวังน้อย) 00023</t>
  </si>
  <si>
    <t>ตรวจหาสาเหตุท่อส่งน้ำเสียอุดตัน</t>
  </si>
  <si>
    <t>201006C</t>
  </si>
  <si>
    <t>ถังเก็บน้ำ 2,000 ลิตร</t>
  </si>
  <si>
    <t>รร.กีฬา จ.อ่างทอง (ฝาเหล็ก)</t>
  </si>
  <si>
    <t>กส.บ้านพัก 8 ครอบครัว รร.ศรัทธาสมุทร</t>
  </si>
  <si>
    <t>The Rice_UV System</t>
  </si>
  <si>
    <t>BU-3606V</t>
  </si>
  <si>
    <t>บจก. กนกกรุ๊ป</t>
  </si>
  <si>
    <t>กฟผ. ท่าทุ่งนา จ.กาญจนบุรี</t>
  </si>
  <si>
    <t>PSA-168</t>
  </si>
  <si>
    <t>บมจ. โฮม โปรดักส์ เซ็นเตอร์ (สาขาเอกมัย-รามอินทรา) 00033</t>
  </si>
  <si>
    <t>ลูกลอยสำหรับปั๊มบ่อสูบพร้อมติดตั้ง</t>
  </si>
  <si>
    <t>201003P</t>
  </si>
  <si>
    <t>Q63/12</t>
  </si>
  <si>
    <t>ค่าขนส่งถังเก็บน้ำ</t>
  </si>
  <si>
    <t>ส่งไลน์คุณกุ๊กแล้ว</t>
  </si>
  <si>
    <t>ส่งไลน์ทราย 01-12-2020</t>
  </si>
  <si>
    <t>30% ส่งไลน์ทราย 02-12-2020</t>
  </si>
  <si>
    <t>ขอเลื่อน</t>
  </si>
  <si>
    <t>ยูเนี่ยน แปลน</t>
  </si>
  <si>
    <t>จินจงฟา</t>
  </si>
  <si>
    <t>จินทนาพร</t>
  </si>
  <si>
    <t>โตโยต้า เค.มอเตอร์ส</t>
  </si>
  <si>
    <t>เมืองศิริ</t>
  </si>
  <si>
    <t>รับเอง</t>
  </si>
  <si>
    <t>ฝา ABS 8 ชุด</t>
  </si>
  <si>
    <t>ฝาเหล็ก 5 ชุด</t>
  </si>
  <si>
    <t>พัทยาเซ็นเตอร์ฯ</t>
  </si>
  <si>
    <t>20110313-1</t>
  </si>
  <si>
    <t>ยกเลิกเพราะลูกค้าอยากได้บิลตามยอดที่จ่ายในแต่ละครั้งที่รับถัง</t>
  </si>
  <si>
    <t>70% รับโอน 07-12-2020</t>
  </si>
  <si>
    <t>รอวันไปเซ็นหน้างาน + ต้องรอวางบิลเดือน ม.ค. 64</t>
  </si>
  <si>
    <t>20120321-1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</si>
</sst>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</numFmts>
  <fonts count="22" x14ac:knownFonts="1">
    <font>
      <sz val="14"/>
      <name val="Angsana New"/>
      <charset val="222"/>
    </font>
    <font>
      <sz val="14"/>
      <name val="Angsana New"/>
      <family val="1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color rgb="FF0070C0"/>
      <name val="TH Sarabun New"/>
      <family val="2"/>
    </font>
    <font>
      <strike/>
      <sz val="14"/>
      <color rgb="FFFF0000"/>
      <name val="TH Sarabun New"/>
      <family val="2"/>
    </font>
    <font>
      <strike/>
      <sz val="14"/>
      <name val="TH Sarabun New"/>
      <family val="2"/>
    </font>
    <font>
      <strike/>
      <sz val="14"/>
      <color rgb="FF0070C0"/>
      <name val="TH Sarabun New"/>
      <family val="2"/>
    </font>
    <font>
      <sz val="16"/>
      <name val="TH Sarabun New"/>
      <family val="2"/>
    </font>
    <font>
      <b/>
      <sz val="14"/>
      <color theme="0"/>
      <name val="TH Sarabun New"/>
      <family val="2"/>
    </font>
    <font>
      <b/>
      <sz val="16"/>
      <name val="TH Sarabun New"/>
      <family val="2"/>
    </font>
    <font>
      <strike/>
      <sz val="16"/>
      <name val="TH Sarabun New"/>
      <family val="2"/>
    </font>
    <font>
      <sz val="12"/>
      <color rgb="FFFF0000"/>
      <name val="TH Sarabun New"/>
      <family val="2"/>
    </font>
    <font>
      <sz val="10"/>
      <color rgb="FFFF0000"/>
      <name val="TH Sarabun New"/>
      <family val="2"/>
    </font>
    <font>
      <sz val="14"/>
      <color theme="6" tint="0.79998168889431442"/>
      <name val="TH Sarabun New"/>
      <family val="2"/>
    </font>
    <font>
      <sz val="14"/>
      <color theme="0"/>
      <name val="TH Sarabun New"/>
      <family val="2"/>
    </font>
    <font>
      <sz val="12"/>
      <name val="TH Sarabun New"/>
      <family val="2"/>
    </font>
    <font>
      <sz val="16"/>
      <color rgb="FFFF0000"/>
      <name val="TH Sarabun New"/>
      <family val="2"/>
    </font>
    <font>
      <b/>
      <strike/>
      <sz val="14"/>
      <color theme="0"/>
      <name val="TH Sarabun New"/>
      <family val="2"/>
    </font>
    <font>
      <sz val="14"/>
      <color rgb="FF00B050"/>
      <name val="TH Sarabun New"/>
      <family val="2"/>
    </font>
    <font>
      <sz val="8"/>
      <name val="Angsana New"/>
      <family val="1"/>
    </font>
  </fonts>
  <fills count="2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339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B0F0"/>
      </bottom>
      <diagonal/>
    </border>
    <border>
      <left style="thin">
        <color indexed="64"/>
      </left>
      <right/>
      <top style="thin">
        <color indexed="64"/>
      </top>
      <bottom style="double">
        <color rgb="FF00B0F0"/>
      </bottom>
      <diagonal/>
    </border>
    <border>
      <left/>
      <right style="thin">
        <color indexed="64"/>
      </right>
      <top style="thin">
        <color indexed="64"/>
      </top>
      <bottom style="double">
        <color rgb="FF00B0F0"/>
      </bottom>
      <diagonal/>
    </border>
    <border>
      <left/>
      <right/>
      <top/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3CCCC"/>
      </bottom>
      <diagonal/>
    </border>
    <border>
      <left style="thin">
        <color indexed="64"/>
      </left>
      <right/>
      <top style="thin">
        <color indexed="64"/>
      </top>
      <bottom style="double">
        <color rgb="FF33CCCC"/>
      </bottom>
      <diagonal/>
    </border>
    <border>
      <left/>
      <right style="thin">
        <color indexed="64"/>
      </right>
      <top style="thin">
        <color indexed="64"/>
      </top>
      <bottom style="double">
        <color rgb="FF33CCCC"/>
      </bottom>
      <diagonal/>
    </border>
    <border>
      <left/>
      <right/>
      <top/>
      <bottom style="double">
        <color rgb="FF33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66CC"/>
      </bottom>
      <diagonal/>
    </border>
    <border>
      <left style="thin">
        <color indexed="64"/>
      </left>
      <right/>
      <top style="thin">
        <color indexed="64"/>
      </top>
      <bottom style="double">
        <color rgb="FFFF66CC"/>
      </bottom>
      <diagonal/>
    </border>
    <border>
      <left/>
      <right style="thin">
        <color indexed="64"/>
      </right>
      <top style="thin">
        <color indexed="64"/>
      </top>
      <bottom style="double">
        <color rgb="FFFF66CC"/>
      </bottom>
      <diagonal/>
    </border>
    <border>
      <left/>
      <right/>
      <top/>
      <bottom style="double">
        <color rgb="FFFF66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indexed="64"/>
      </left>
      <right/>
      <top style="thin">
        <color indexed="64"/>
      </top>
      <bottom style="double">
        <color theme="9" tint="-0.249977111117893"/>
      </bottom>
      <diagonal/>
    </border>
    <border>
      <left/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/>
      <right/>
      <top/>
      <bottom style="double">
        <color theme="9" tint="-0.249977111117893"/>
      </bottom>
      <diagonal/>
    </border>
    <border>
      <left style="thin">
        <color indexed="64"/>
      </left>
      <right/>
      <top/>
      <bottom style="double">
        <color theme="7"/>
      </bottom>
      <diagonal/>
    </border>
    <border>
      <left style="thin">
        <color indexed="64"/>
      </left>
      <right style="thin">
        <color indexed="64"/>
      </right>
      <top/>
      <bottom style="double">
        <color theme="7"/>
      </bottom>
      <diagonal/>
    </border>
    <border>
      <left/>
      <right style="thin">
        <color indexed="64"/>
      </right>
      <top/>
      <bottom style="double">
        <color theme="7"/>
      </bottom>
      <diagonal/>
    </border>
    <border>
      <left/>
      <right/>
      <top/>
      <bottom style="double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6"/>
      </bottom>
      <diagonal/>
    </border>
    <border>
      <left style="thin">
        <color indexed="64"/>
      </left>
      <right/>
      <top style="thin">
        <color indexed="64"/>
      </top>
      <bottom style="double">
        <color theme="6"/>
      </bottom>
      <diagonal/>
    </border>
    <border>
      <left/>
      <right style="thin">
        <color indexed="64"/>
      </right>
      <top style="thin">
        <color indexed="64"/>
      </top>
      <bottom style="double">
        <color theme="6"/>
      </bottom>
      <diagonal/>
    </border>
    <border>
      <left/>
      <right/>
      <top/>
      <bottom style="double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FF00"/>
      </bottom>
      <diagonal/>
    </border>
    <border>
      <left style="thin">
        <color indexed="64"/>
      </left>
      <right/>
      <top style="thin">
        <color indexed="64"/>
      </top>
      <bottom style="double">
        <color rgb="FFFFFF00"/>
      </bottom>
      <diagonal/>
    </border>
    <border>
      <left/>
      <right style="thin">
        <color indexed="64"/>
      </right>
      <top style="thin">
        <color indexed="64"/>
      </top>
      <bottom style="double">
        <color rgb="FFFFFF00"/>
      </bottom>
      <diagonal/>
    </border>
    <border>
      <left/>
      <right/>
      <top/>
      <bottom style="double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C5432"/>
      </bottom>
      <diagonal/>
    </border>
    <border>
      <left style="thin">
        <color indexed="64"/>
      </left>
      <right/>
      <top style="thin">
        <color indexed="64"/>
      </top>
      <bottom style="double">
        <color rgb="FFFC5432"/>
      </bottom>
      <diagonal/>
    </border>
    <border>
      <left/>
      <right style="thin">
        <color indexed="64"/>
      </right>
      <top style="thin">
        <color indexed="64"/>
      </top>
      <bottom style="double">
        <color rgb="FFFC5432"/>
      </bottom>
      <diagonal/>
    </border>
    <border>
      <left/>
      <right/>
      <top/>
      <bottom style="double">
        <color rgb="FFFC5432"/>
      </bottom>
      <diagonal/>
    </border>
    <border>
      <left style="thin">
        <color indexed="64"/>
      </left>
      <right style="thin">
        <color indexed="64"/>
      </right>
      <top style="double">
        <color rgb="FF00B0F0"/>
      </top>
      <bottom/>
      <diagonal/>
    </border>
    <border>
      <left/>
      <right style="thin">
        <color indexed="64"/>
      </right>
      <top style="double">
        <color rgb="FF00B0F0"/>
      </top>
      <bottom/>
      <diagonal/>
    </border>
    <border>
      <left style="thin">
        <color indexed="64"/>
      </left>
      <right/>
      <top style="double">
        <color rgb="FF00B0F0"/>
      </top>
      <bottom/>
      <diagonal/>
    </border>
    <border>
      <left style="thin">
        <color indexed="64"/>
      </left>
      <right style="thin">
        <color indexed="64"/>
      </right>
      <top style="double">
        <color rgb="FF00B0F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CC3399"/>
      </bottom>
      <diagonal/>
    </border>
    <border>
      <left style="thin">
        <color indexed="64"/>
      </left>
      <right/>
      <top style="thin">
        <color indexed="64"/>
      </top>
      <bottom style="double">
        <color rgb="FFCC3399"/>
      </bottom>
      <diagonal/>
    </border>
    <border>
      <left/>
      <right style="thin">
        <color indexed="64"/>
      </right>
      <top style="thin">
        <color indexed="64"/>
      </top>
      <bottom style="double">
        <color rgb="FFCC3399"/>
      </bottom>
      <diagonal/>
    </border>
    <border>
      <left/>
      <right/>
      <top/>
      <bottom style="double">
        <color rgb="FFCC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99CC"/>
      </bottom>
      <diagonal/>
    </border>
    <border>
      <left style="thin">
        <color indexed="64"/>
      </left>
      <right/>
      <top style="thin">
        <color indexed="64"/>
      </top>
      <bottom style="double">
        <color rgb="FFFF99CC"/>
      </bottom>
      <diagonal/>
    </border>
    <border>
      <left/>
      <right style="thin">
        <color indexed="64"/>
      </right>
      <top style="thin">
        <color indexed="64"/>
      </top>
      <bottom style="double">
        <color rgb="FFFF99CC"/>
      </bottom>
      <diagonal/>
    </border>
    <border>
      <left/>
      <right/>
      <top/>
      <bottom style="double">
        <color rgb="FFFF99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9966FF"/>
      </bottom>
      <diagonal/>
    </border>
    <border>
      <left style="thin">
        <color indexed="64"/>
      </left>
      <right/>
      <top style="thin">
        <color indexed="64"/>
      </top>
      <bottom style="double">
        <color rgb="FF9966FF"/>
      </bottom>
      <diagonal/>
    </border>
    <border>
      <left/>
      <right style="thin">
        <color indexed="64"/>
      </right>
      <top style="thin">
        <color indexed="64"/>
      </top>
      <bottom style="double">
        <color rgb="FF9966FF"/>
      </bottom>
      <diagonal/>
    </border>
    <border>
      <left/>
      <right/>
      <top/>
      <bottom style="double">
        <color rgb="FF9966FF"/>
      </bottom>
      <diagonal/>
    </border>
    <border>
      <left style="thin">
        <color indexed="64"/>
      </left>
      <right style="thin">
        <color indexed="64"/>
      </right>
      <top style="double">
        <color rgb="FF33CCCC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33CCCC"/>
      </top>
      <bottom/>
      <diagonal/>
    </border>
    <border>
      <left/>
      <right style="thin">
        <color indexed="64"/>
      </right>
      <top style="double">
        <color rgb="FF33CCCC"/>
      </top>
      <bottom/>
      <diagonal/>
    </border>
    <border>
      <left style="thin">
        <color indexed="64"/>
      </left>
      <right/>
      <top style="double">
        <color rgb="FF33CCCC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47">
    <xf numFmtId="0" fontId="0" fillId="0" borderId="0" xfId="0"/>
    <xf numFmtId="164" fontId="2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4" fontId="2" fillId="6" borderId="1" xfId="1" applyFont="1" applyFill="1" applyBorder="1" applyAlignment="1">
      <alignment horizontal="center" vertical="center"/>
    </xf>
    <xf numFmtId="164" fontId="2" fillId="6" borderId="1" xfId="1" applyNumberFormat="1" applyFont="1" applyFill="1" applyBorder="1" applyAlignment="1">
      <alignment horizontal="center" vertical="top"/>
    </xf>
    <xf numFmtId="165" fontId="2" fillId="6" borderId="1" xfId="1" applyNumberFormat="1" applyFont="1" applyFill="1" applyBorder="1" applyAlignment="1">
      <alignment vertical="center"/>
    </xf>
    <xf numFmtId="164" fontId="2" fillId="8" borderId="1" xfId="1" applyFont="1" applyFill="1" applyBorder="1" applyAlignment="1">
      <alignment horizontal="center" vertical="center"/>
    </xf>
    <xf numFmtId="165" fontId="2" fillId="8" borderId="1" xfId="1" applyNumberFormat="1" applyFont="1" applyFill="1" applyBorder="1" applyAlignment="1">
      <alignment horizontal="center" vertical="center"/>
    </xf>
    <xf numFmtId="164" fontId="2" fillId="7" borderId="1" xfId="1" applyFont="1" applyFill="1" applyBorder="1" applyAlignment="1">
      <alignment horizontal="center" vertical="center"/>
    </xf>
    <xf numFmtId="165" fontId="2" fillId="7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1" applyFont="1" applyFill="1" applyBorder="1" applyAlignment="1">
      <alignment horizontal="center" vertical="center"/>
    </xf>
    <xf numFmtId="164" fontId="2" fillId="12" borderId="1" xfId="1" applyFont="1" applyFill="1" applyBorder="1" applyAlignment="1">
      <alignment horizontal="center" vertical="center"/>
    </xf>
    <xf numFmtId="166" fontId="2" fillId="10" borderId="5" xfId="1" applyNumberFormat="1" applyFont="1" applyFill="1" applyBorder="1" applyAlignment="1">
      <alignment horizontal="center" vertical="center"/>
    </xf>
    <xf numFmtId="166" fontId="2" fillId="10" borderId="1" xfId="1" applyNumberFormat="1" applyFont="1" applyFill="1" applyBorder="1" applyAlignment="1">
      <alignment horizontal="center" vertical="center"/>
    </xf>
    <xf numFmtId="166" fontId="2" fillId="13" borderId="6" xfId="1" applyNumberFormat="1" applyFont="1" applyFill="1" applyBorder="1" applyAlignment="1">
      <alignment horizontal="center" vertical="center"/>
    </xf>
    <xf numFmtId="166" fontId="2" fillId="13" borderId="1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4" fontId="4" fillId="0" borderId="1" xfId="1" applyFont="1" applyBorder="1" applyAlignment="1">
      <alignment horizontal="center"/>
    </xf>
    <xf numFmtId="164" fontId="4" fillId="9" borderId="5" xfId="1" applyFont="1" applyFill="1" applyBorder="1"/>
    <xf numFmtId="0" fontId="4" fillId="6" borderId="1" xfId="0" applyFont="1" applyFill="1" applyBorder="1"/>
    <xf numFmtId="164" fontId="4" fillId="6" borderId="1" xfId="1" applyFont="1" applyFill="1" applyBorder="1"/>
    <xf numFmtId="164" fontId="4" fillId="6" borderId="1" xfId="1" applyNumberFormat="1" applyFont="1" applyFill="1" applyBorder="1" applyAlignment="1">
      <alignment horizontal="center" vertical="top"/>
    </xf>
    <xf numFmtId="165" fontId="4" fillId="6" borderId="1" xfId="1" applyNumberFormat="1" applyFont="1" applyFill="1" applyBorder="1" applyAlignment="1">
      <alignment horizontal="center"/>
    </xf>
    <xf numFmtId="164" fontId="4" fillId="8" borderId="1" xfId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164" fontId="4" fillId="7" borderId="1" xfId="1" applyFont="1" applyFill="1" applyBorder="1" applyAlignment="1">
      <alignment horizontal="center"/>
    </xf>
    <xf numFmtId="165" fontId="4" fillId="7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164" fontId="4" fillId="0" borderId="1" xfId="1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left" vertical="top"/>
    </xf>
    <xf numFmtId="0" fontId="4" fillId="12" borderId="1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left"/>
    </xf>
    <xf numFmtId="0" fontId="4" fillId="11" borderId="5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3" borderId="6" xfId="0" applyFont="1" applyFill="1" applyBorder="1" applyAlignment="1">
      <alignment horizontal="left"/>
    </xf>
    <xf numFmtId="0" fontId="4" fillId="13" borderId="1" xfId="0" applyFont="1" applyFill="1" applyBorder="1" applyAlignment="1">
      <alignment horizontal="left"/>
    </xf>
    <xf numFmtId="0" fontId="4" fillId="13" borderId="1" xfId="0" applyFont="1" applyFill="1" applyBorder="1" applyAlignment="1">
      <alignment horizontal="center"/>
    </xf>
    <xf numFmtId="0" fontId="4" fillId="0" borderId="0" xfId="0" applyFont="1"/>
    <xf numFmtId="43" fontId="4" fillId="0" borderId="1" xfId="0" applyNumberFormat="1" applyFont="1" applyBorder="1"/>
    <xf numFmtId="14" fontId="4" fillId="0" borderId="1" xfId="0" applyNumberFormat="1" applyFont="1" applyBorder="1" applyAlignment="1">
      <alignment horizontal="left" vertical="top"/>
    </xf>
    <xf numFmtId="0" fontId="4" fillId="1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64" fontId="4" fillId="3" borderId="5" xfId="1" applyFont="1" applyFill="1" applyBorder="1"/>
    <xf numFmtId="14" fontId="4" fillId="0" borderId="1" xfId="0" applyNumberFormat="1" applyFont="1" applyBorder="1" applyAlignment="1">
      <alignment horizontal="left"/>
    </xf>
    <xf numFmtId="164" fontId="4" fillId="0" borderId="1" xfId="1" applyFont="1" applyBorder="1"/>
    <xf numFmtId="164" fontId="4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164" fontId="7" fillId="0" borderId="1" xfId="1" applyFont="1" applyBorder="1" applyAlignment="1">
      <alignment horizontal="center"/>
    </xf>
    <xf numFmtId="164" fontId="7" fillId="9" borderId="5" xfId="1" applyFont="1" applyFill="1" applyBorder="1"/>
    <xf numFmtId="0" fontId="7" fillId="6" borderId="1" xfId="0" applyFont="1" applyFill="1" applyBorder="1"/>
    <xf numFmtId="164" fontId="7" fillId="6" borderId="1" xfId="1" applyFont="1" applyFill="1" applyBorder="1"/>
    <xf numFmtId="164" fontId="7" fillId="6" borderId="1" xfId="1" applyNumberFormat="1" applyFont="1" applyFill="1" applyBorder="1" applyAlignment="1">
      <alignment horizontal="center" vertical="top"/>
    </xf>
    <xf numFmtId="165" fontId="7" fillId="6" borderId="1" xfId="1" applyNumberFormat="1" applyFont="1" applyFill="1" applyBorder="1" applyAlignment="1">
      <alignment horizontal="center"/>
    </xf>
    <xf numFmtId="164" fontId="7" fillId="8" borderId="1" xfId="1" applyFont="1" applyFill="1" applyBorder="1" applyAlignment="1">
      <alignment horizontal="center"/>
    </xf>
    <xf numFmtId="165" fontId="7" fillId="8" borderId="1" xfId="1" applyNumberFormat="1" applyFont="1" applyFill="1" applyBorder="1" applyAlignment="1">
      <alignment horizontal="center"/>
    </xf>
    <xf numFmtId="164" fontId="7" fillId="7" borderId="1" xfId="1" applyFont="1" applyFill="1" applyBorder="1" applyAlignment="1">
      <alignment horizontal="center"/>
    </xf>
    <xf numFmtId="165" fontId="7" fillId="7" borderId="1" xfId="0" applyNumberFormat="1" applyFont="1" applyFill="1" applyBorder="1"/>
    <xf numFmtId="0" fontId="6" fillId="0" borderId="1" xfId="0" applyFont="1" applyBorder="1" applyAlignment="1">
      <alignment horizontal="center"/>
    </xf>
    <xf numFmtId="0" fontId="7" fillId="11" borderId="1" xfId="0" applyFont="1" applyFill="1" applyBorder="1" applyAlignment="1">
      <alignment horizontal="left"/>
    </xf>
    <xf numFmtId="164" fontId="7" fillId="0" borderId="1" xfId="1" applyFon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left" vertical="top"/>
    </xf>
    <xf numFmtId="0" fontId="7" fillId="12" borderId="1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left"/>
    </xf>
    <xf numFmtId="0" fontId="7" fillId="11" borderId="5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left"/>
    </xf>
    <xf numFmtId="0" fontId="7" fillId="13" borderId="1" xfId="0" applyFont="1" applyFill="1" applyBorder="1" applyAlignment="1">
      <alignment horizontal="left"/>
    </xf>
    <xf numFmtId="0" fontId="7" fillId="12" borderId="1" xfId="0" applyFont="1" applyFill="1" applyBorder="1" applyAlignment="1">
      <alignment horizontal="left"/>
    </xf>
    <xf numFmtId="0" fontId="7" fillId="0" borderId="0" xfId="0" applyFont="1"/>
    <xf numFmtId="0" fontId="4" fillId="3" borderId="1" xfId="0" applyFont="1" applyFill="1" applyBorder="1"/>
    <xf numFmtId="164" fontId="4" fillId="3" borderId="1" xfId="1" applyFont="1" applyFill="1" applyBorder="1"/>
    <xf numFmtId="164" fontId="4" fillId="3" borderId="1" xfId="1" applyNumberFormat="1" applyFont="1" applyFill="1" applyBorder="1" applyAlignment="1">
      <alignment horizontal="center" vertical="top"/>
    </xf>
    <xf numFmtId="165" fontId="4" fillId="3" borderId="1" xfId="1" applyNumberFormat="1" applyFont="1" applyFill="1" applyBorder="1" applyAlignment="1">
      <alignment horizontal="center"/>
    </xf>
    <xf numFmtId="164" fontId="4" fillId="3" borderId="1" xfId="1" applyFont="1" applyFill="1" applyBorder="1" applyAlignment="1">
      <alignment horizontal="center"/>
    </xf>
    <xf numFmtId="165" fontId="4" fillId="3" borderId="1" xfId="0" applyNumberFormat="1" applyFont="1" applyFill="1" applyBorder="1"/>
    <xf numFmtId="0" fontId="4" fillId="3" borderId="6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9" fontId="3" fillId="0" borderId="3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4" fontId="4" fillId="0" borderId="3" xfId="1" applyFont="1" applyBorder="1" applyAlignment="1">
      <alignment horizontal="center"/>
    </xf>
    <xf numFmtId="164" fontId="4" fillId="9" borderId="3" xfId="1" applyFont="1" applyFill="1" applyBorder="1"/>
    <xf numFmtId="0" fontId="4" fillId="6" borderId="3" xfId="0" applyFont="1" applyFill="1" applyBorder="1"/>
    <xf numFmtId="164" fontId="4" fillId="6" borderId="3" xfId="1" applyFont="1" applyFill="1" applyBorder="1"/>
    <xf numFmtId="164" fontId="4" fillId="6" borderId="3" xfId="1" applyNumberFormat="1" applyFont="1" applyFill="1" applyBorder="1" applyAlignment="1">
      <alignment horizontal="center" vertical="top"/>
    </xf>
    <xf numFmtId="165" fontId="4" fillId="6" borderId="3" xfId="1" applyNumberFormat="1" applyFont="1" applyFill="1" applyBorder="1" applyAlignment="1">
      <alignment horizontal="center"/>
    </xf>
    <xf numFmtId="164" fontId="4" fillId="8" borderId="3" xfId="1" applyFont="1" applyFill="1" applyBorder="1" applyAlignment="1">
      <alignment horizontal="center"/>
    </xf>
    <xf numFmtId="165" fontId="4" fillId="8" borderId="3" xfId="1" applyNumberFormat="1" applyFont="1" applyFill="1" applyBorder="1" applyAlignment="1">
      <alignment horizontal="center"/>
    </xf>
    <xf numFmtId="164" fontId="4" fillId="7" borderId="3" xfId="1" applyFont="1" applyFill="1" applyBorder="1" applyAlignment="1">
      <alignment horizontal="center"/>
    </xf>
    <xf numFmtId="165" fontId="4" fillId="7" borderId="3" xfId="0" applyNumberFormat="1" applyFont="1" applyFill="1" applyBorder="1"/>
    <xf numFmtId="0" fontId="3" fillId="0" borderId="13" xfId="0" applyFont="1" applyBorder="1" applyAlignment="1">
      <alignment horizontal="center"/>
    </xf>
    <xf numFmtId="14" fontId="4" fillId="0" borderId="3" xfId="0" applyNumberFormat="1" applyFont="1" applyBorder="1" applyAlignment="1">
      <alignment horizontal="left"/>
    </xf>
    <xf numFmtId="0" fontId="4" fillId="11" borderId="3" xfId="0" applyFont="1" applyFill="1" applyBorder="1" applyAlignment="1">
      <alignment horizontal="left"/>
    </xf>
    <xf numFmtId="164" fontId="4" fillId="0" borderId="3" xfId="1" applyFont="1" applyBorder="1" applyAlignment="1">
      <alignment horizontal="right"/>
    </xf>
    <xf numFmtId="43" fontId="4" fillId="0" borderId="3" xfId="0" applyNumberFormat="1" applyFont="1" applyBorder="1"/>
    <xf numFmtId="14" fontId="4" fillId="0" borderId="3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4" fillId="11" borderId="17" xfId="0" applyFont="1" applyFill="1" applyBorder="1" applyAlignment="1">
      <alignment horizontal="left"/>
    </xf>
    <xf numFmtId="0" fontId="4" fillId="11" borderId="17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13" borderId="9" xfId="0" applyFont="1" applyFill="1" applyBorder="1" applyAlignment="1">
      <alignment horizontal="left"/>
    </xf>
    <xf numFmtId="0" fontId="4" fillId="12" borderId="3" xfId="0" applyFont="1" applyFill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49" fontId="3" fillId="0" borderId="11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right"/>
    </xf>
    <xf numFmtId="49" fontId="3" fillId="0" borderId="11" xfId="0" applyNumberFormat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164" fontId="4" fillId="0" borderId="11" xfId="1" applyFont="1" applyBorder="1" applyAlignment="1">
      <alignment horizontal="center"/>
    </xf>
    <xf numFmtId="164" fontId="4" fillId="9" borderId="2" xfId="1" applyFont="1" applyFill="1" applyBorder="1"/>
    <xf numFmtId="0" fontId="4" fillId="6" borderId="11" xfId="0" applyFont="1" applyFill="1" applyBorder="1"/>
    <xf numFmtId="164" fontId="4" fillId="6" borderId="11" xfId="1" applyFont="1" applyFill="1" applyBorder="1"/>
    <xf numFmtId="164" fontId="4" fillId="6" borderId="11" xfId="1" applyNumberFormat="1" applyFont="1" applyFill="1" applyBorder="1" applyAlignment="1">
      <alignment horizontal="center" vertical="top"/>
    </xf>
    <xf numFmtId="165" fontId="4" fillId="6" borderId="11" xfId="1" applyNumberFormat="1" applyFont="1" applyFill="1" applyBorder="1" applyAlignment="1">
      <alignment horizontal="center"/>
    </xf>
    <xf numFmtId="164" fontId="4" fillId="8" borderId="11" xfId="1" applyFont="1" applyFill="1" applyBorder="1" applyAlignment="1">
      <alignment horizontal="center"/>
    </xf>
    <xf numFmtId="165" fontId="4" fillId="8" borderId="11" xfId="1" applyNumberFormat="1" applyFont="1" applyFill="1" applyBorder="1" applyAlignment="1">
      <alignment horizontal="center"/>
    </xf>
    <xf numFmtId="164" fontId="4" fillId="7" borderId="11" xfId="1" applyFont="1" applyFill="1" applyBorder="1" applyAlignment="1">
      <alignment horizontal="center"/>
    </xf>
    <xf numFmtId="165" fontId="4" fillId="7" borderId="11" xfId="0" applyNumberFormat="1" applyFont="1" applyFill="1" applyBorder="1"/>
    <xf numFmtId="0" fontId="3" fillId="0" borderId="11" xfId="0" applyFont="1" applyBorder="1" applyAlignment="1">
      <alignment horizontal="center"/>
    </xf>
    <xf numFmtId="14" fontId="4" fillId="0" borderId="12" xfId="0" applyNumberFormat="1" applyFont="1" applyBorder="1" applyAlignment="1">
      <alignment horizontal="left"/>
    </xf>
    <xf numFmtId="0" fontId="4" fillId="11" borderId="11" xfId="0" applyFont="1" applyFill="1" applyBorder="1" applyAlignment="1">
      <alignment horizontal="left"/>
    </xf>
    <xf numFmtId="164" fontId="4" fillId="0" borderId="11" xfId="1" applyFont="1" applyBorder="1" applyAlignment="1">
      <alignment horizontal="right"/>
    </xf>
    <xf numFmtId="43" fontId="4" fillId="0" borderId="11" xfId="0" applyNumberFormat="1" applyFont="1" applyBorder="1"/>
    <xf numFmtId="14" fontId="4" fillId="0" borderId="11" xfId="0" applyNumberFormat="1" applyFont="1" applyBorder="1" applyAlignment="1">
      <alignment horizontal="left" vertical="top"/>
    </xf>
    <xf numFmtId="0" fontId="4" fillId="12" borderId="11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left"/>
    </xf>
    <xf numFmtId="0" fontId="4" fillId="11" borderId="2" xfId="0" applyFont="1" applyFill="1" applyBorder="1" applyAlignment="1">
      <alignment horizontal="center"/>
    </xf>
    <xf numFmtId="0" fontId="4" fillId="11" borderId="11" xfId="0" applyFont="1" applyFill="1" applyBorder="1" applyAlignment="1">
      <alignment horizontal="center"/>
    </xf>
    <xf numFmtId="0" fontId="4" fillId="13" borderId="10" xfId="0" applyFont="1" applyFill="1" applyBorder="1" applyAlignment="1">
      <alignment horizontal="left"/>
    </xf>
    <xf numFmtId="0" fontId="4" fillId="12" borderId="11" xfId="0" applyFont="1" applyFill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4" fillId="3" borderId="3" xfId="0" applyFont="1" applyFill="1" applyBorder="1"/>
    <xf numFmtId="164" fontId="4" fillId="3" borderId="3" xfId="1" applyFont="1" applyFill="1" applyBorder="1"/>
    <xf numFmtId="164" fontId="4" fillId="3" borderId="3" xfId="1" applyNumberFormat="1" applyFont="1" applyFill="1" applyBorder="1" applyAlignment="1">
      <alignment horizontal="center" vertical="top"/>
    </xf>
    <xf numFmtId="165" fontId="4" fillId="3" borderId="3" xfId="1" applyNumberFormat="1" applyFont="1" applyFill="1" applyBorder="1" applyAlignment="1">
      <alignment horizontal="center"/>
    </xf>
    <xf numFmtId="0" fontId="4" fillId="13" borderId="3" xfId="0" applyFont="1" applyFill="1" applyBorder="1" applyAlignment="1">
      <alignment horizontal="left"/>
    </xf>
    <xf numFmtId="14" fontId="4" fillId="0" borderId="15" xfId="0" applyNumberFormat="1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4" fillId="3" borderId="11" xfId="0" applyFont="1" applyFill="1" applyBorder="1"/>
    <xf numFmtId="164" fontId="4" fillId="3" borderId="11" xfId="1" applyFont="1" applyFill="1" applyBorder="1"/>
    <xf numFmtId="164" fontId="4" fillId="3" borderId="11" xfId="1" applyNumberFormat="1" applyFont="1" applyFill="1" applyBorder="1" applyAlignment="1">
      <alignment horizontal="center" vertical="top"/>
    </xf>
    <xf numFmtId="165" fontId="4" fillId="3" borderId="11" xfId="1" applyNumberFormat="1" applyFont="1" applyFill="1" applyBorder="1" applyAlignment="1">
      <alignment horizontal="center"/>
    </xf>
    <xf numFmtId="14" fontId="4" fillId="0" borderId="16" xfId="0" applyNumberFormat="1" applyFont="1" applyBorder="1" applyAlignment="1">
      <alignment horizontal="left"/>
    </xf>
    <xf numFmtId="0" fontId="4" fillId="13" borderId="11" xfId="0" applyFont="1" applyFill="1" applyBorder="1" applyAlignment="1">
      <alignment horizontal="left"/>
    </xf>
    <xf numFmtId="14" fontId="4" fillId="0" borderId="14" xfId="0" applyNumberFormat="1" applyFont="1" applyBorder="1" applyAlignment="1">
      <alignment horizontal="left"/>
    </xf>
    <xf numFmtId="14" fontId="4" fillId="0" borderId="11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9" fontId="3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14" fontId="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4" fontId="4" fillId="0" borderId="4" xfId="1" applyFont="1" applyBorder="1" applyAlignment="1">
      <alignment horizontal="center"/>
    </xf>
    <xf numFmtId="164" fontId="4" fillId="9" borderId="18" xfId="1" applyFont="1" applyFill="1" applyBorder="1"/>
    <xf numFmtId="0" fontId="4" fillId="3" borderId="4" xfId="0" applyFont="1" applyFill="1" applyBorder="1"/>
    <xf numFmtId="164" fontId="4" fillId="3" borderId="4" xfId="1" applyFont="1" applyFill="1" applyBorder="1"/>
    <xf numFmtId="164" fontId="4" fillId="3" borderId="4" xfId="1" applyNumberFormat="1" applyFont="1" applyFill="1" applyBorder="1" applyAlignment="1">
      <alignment horizontal="center" vertical="top"/>
    </xf>
    <xf numFmtId="165" fontId="4" fillId="3" borderId="4" xfId="1" applyNumberFormat="1" applyFont="1" applyFill="1" applyBorder="1" applyAlignment="1">
      <alignment horizontal="center"/>
    </xf>
    <xf numFmtId="164" fontId="4" fillId="8" borderId="4" xfId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center"/>
    </xf>
    <xf numFmtId="164" fontId="4" fillId="7" borderId="4" xfId="1" applyFont="1" applyFill="1" applyBorder="1" applyAlignment="1">
      <alignment horizontal="center"/>
    </xf>
    <xf numFmtId="165" fontId="4" fillId="7" borderId="4" xfId="0" applyNumberFormat="1" applyFont="1" applyFill="1" applyBorder="1"/>
    <xf numFmtId="0" fontId="3" fillId="0" borderId="4" xfId="0" applyFont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164" fontId="4" fillId="0" borderId="4" xfId="1" applyFont="1" applyBorder="1" applyAlignment="1">
      <alignment horizontal="right"/>
    </xf>
    <xf numFmtId="43" fontId="4" fillId="0" borderId="4" xfId="0" applyNumberFormat="1" applyFont="1" applyBorder="1"/>
    <xf numFmtId="14" fontId="4" fillId="0" borderId="4" xfId="0" applyNumberFormat="1" applyFont="1" applyBorder="1" applyAlignment="1">
      <alignment horizontal="left" vertical="top"/>
    </xf>
    <xf numFmtId="0" fontId="4" fillId="12" borderId="4" xfId="0" applyFont="1" applyFill="1" applyBorder="1" applyAlignment="1">
      <alignment horizontal="center"/>
    </xf>
    <xf numFmtId="0" fontId="4" fillId="11" borderId="18" xfId="0" applyFont="1" applyFill="1" applyBorder="1" applyAlignment="1">
      <alignment horizontal="left"/>
    </xf>
    <xf numFmtId="0" fontId="4" fillId="11" borderId="18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left"/>
    </xf>
    <xf numFmtId="0" fontId="4" fillId="13" borderId="4" xfId="0" applyFont="1" applyFill="1" applyBorder="1" applyAlignment="1">
      <alignment horizontal="left"/>
    </xf>
    <xf numFmtId="0" fontId="4" fillId="12" borderId="4" xfId="0" applyFont="1" applyFill="1" applyBorder="1" applyAlignment="1">
      <alignment horizontal="left"/>
    </xf>
    <xf numFmtId="14" fontId="4" fillId="0" borderId="13" xfId="0" applyNumberFormat="1" applyFont="1" applyBorder="1" applyAlignment="1">
      <alignment horizontal="left"/>
    </xf>
    <xf numFmtId="164" fontId="4" fillId="3" borderId="17" xfId="1" applyFont="1" applyFill="1" applyBorder="1"/>
    <xf numFmtId="164" fontId="4" fillId="3" borderId="2" xfId="1" applyFont="1" applyFill="1" applyBorder="1"/>
    <xf numFmtId="164" fontId="4" fillId="3" borderId="18" xfId="1" applyFont="1" applyFill="1" applyBorder="1"/>
    <xf numFmtId="0" fontId="4" fillId="6" borderId="4" xfId="0" applyFont="1" applyFill="1" applyBorder="1"/>
    <xf numFmtId="164" fontId="4" fillId="6" borderId="4" xfId="1" applyFont="1" applyFill="1" applyBorder="1"/>
    <xf numFmtId="164" fontId="4" fillId="6" borderId="4" xfId="1" applyNumberFormat="1" applyFont="1" applyFill="1" applyBorder="1" applyAlignment="1">
      <alignment horizontal="center" vertical="top"/>
    </xf>
    <xf numFmtId="165" fontId="4" fillId="6" borderId="4" xfId="1" applyNumberFormat="1" applyFont="1" applyFill="1" applyBorder="1" applyAlignment="1">
      <alignment horizontal="center"/>
    </xf>
    <xf numFmtId="43" fontId="4" fillId="0" borderId="13" xfId="0" applyNumberFormat="1" applyFont="1" applyBorder="1" applyAlignment="1">
      <alignment horizontal="right"/>
    </xf>
    <xf numFmtId="43" fontId="4" fillId="0" borderId="13" xfId="0" applyNumberFormat="1" applyFont="1" applyBorder="1"/>
    <xf numFmtId="14" fontId="4" fillId="0" borderId="13" xfId="0" applyNumberFormat="1" applyFont="1" applyBorder="1" applyAlignment="1">
      <alignment horizontal="left" vertical="top"/>
    </xf>
    <xf numFmtId="0" fontId="3" fillId="0" borderId="13" xfId="0" applyFont="1" applyBorder="1" applyAlignment="1">
      <alignment horizontal="left"/>
    </xf>
    <xf numFmtId="0" fontId="4" fillId="11" borderId="12" xfId="0" applyFont="1" applyFill="1" applyBorder="1" applyAlignment="1">
      <alignment horizontal="left"/>
    </xf>
    <xf numFmtId="164" fontId="4" fillId="0" borderId="12" xfId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4" fillId="12" borderId="8" xfId="0" applyFont="1" applyFill="1" applyBorder="1" applyAlignment="1">
      <alignment horizontal="left"/>
    </xf>
    <xf numFmtId="0" fontId="3" fillId="14" borderId="1" xfId="0" applyFont="1" applyFill="1" applyBorder="1" applyAlignment="1">
      <alignment horizontal="left"/>
    </xf>
    <xf numFmtId="0" fontId="4" fillId="12" borderId="6" xfId="0" applyFont="1" applyFill="1" applyBorder="1" applyAlignment="1">
      <alignment horizontal="left"/>
    </xf>
    <xf numFmtId="0" fontId="4" fillId="11" borderId="13" xfId="0" applyFont="1" applyFill="1" applyBorder="1" applyAlignment="1">
      <alignment horizontal="left"/>
    </xf>
    <xf numFmtId="164" fontId="4" fillId="0" borderId="13" xfId="1" applyFont="1" applyBorder="1" applyAlignment="1">
      <alignment horizontal="right"/>
    </xf>
    <xf numFmtId="164" fontId="4" fillId="3" borderId="3" xfId="1" applyFont="1" applyFill="1" applyBorder="1" applyAlignment="1">
      <alignment horizontal="center"/>
    </xf>
    <xf numFmtId="165" fontId="4" fillId="3" borderId="3" xfId="0" applyNumberFormat="1" applyFont="1" applyFill="1" applyBorder="1"/>
    <xf numFmtId="164" fontId="4" fillId="0" borderId="13" xfId="1" applyFont="1" applyBorder="1"/>
    <xf numFmtId="164" fontId="4" fillId="0" borderId="13" xfId="0" applyNumberFormat="1" applyFont="1" applyBorder="1"/>
    <xf numFmtId="164" fontId="4" fillId="3" borderId="4" xfId="1" applyFont="1" applyFill="1" applyBorder="1" applyAlignment="1">
      <alignment horizontal="center"/>
    </xf>
    <xf numFmtId="165" fontId="4" fillId="3" borderId="4" xfId="0" applyNumberFormat="1" applyFont="1" applyFill="1" applyBorder="1"/>
    <xf numFmtId="164" fontId="4" fillId="0" borderId="4" xfId="1" applyFont="1" applyBorder="1"/>
    <xf numFmtId="164" fontId="4" fillId="0" borderId="4" xfId="0" applyNumberFormat="1" applyFont="1" applyBorder="1"/>
    <xf numFmtId="0" fontId="4" fillId="0" borderId="0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left" vertical="top"/>
    </xf>
    <xf numFmtId="49" fontId="3" fillId="3" borderId="3" xfId="0" applyNumberFormat="1" applyFont="1" applyFill="1" applyBorder="1" applyAlignment="1">
      <alignment horizontal="right"/>
    </xf>
    <xf numFmtId="49" fontId="4" fillId="3" borderId="3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49" fontId="4" fillId="0" borderId="14" xfId="0" applyNumberFormat="1" applyFont="1" applyBorder="1" applyAlignment="1">
      <alignment horizontal="right"/>
    </xf>
    <xf numFmtId="49" fontId="3" fillId="0" borderId="14" xfId="0" applyNumberFormat="1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3" fillId="0" borderId="11" xfId="0" applyFont="1" applyFill="1" applyBorder="1" applyAlignment="1">
      <alignment horizontal="center"/>
    </xf>
    <xf numFmtId="164" fontId="4" fillId="0" borderId="11" xfId="1" applyFont="1" applyBorder="1"/>
    <xf numFmtId="49" fontId="4" fillId="0" borderId="16" xfId="0" applyNumberFormat="1" applyFont="1" applyBorder="1" applyAlignment="1">
      <alignment horizontal="right"/>
    </xf>
    <xf numFmtId="0" fontId="4" fillId="0" borderId="11" xfId="0" applyFont="1" applyBorder="1"/>
    <xf numFmtId="0" fontId="4" fillId="0" borderId="11" xfId="0" applyFont="1" applyBorder="1" applyAlignment="1">
      <alignment horizontal="left" vertical="top"/>
    </xf>
    <xf numFmtId="0" fontId="3" fillId="0" borderId="4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left"/>
    </xf>
    <xf numFmtId="0" fontId="3" fillId="14" borderId="3" xfId="0" applyFont="1" applyFill="1" applyBorder="1" applyAlignment="1">
      <alignment horizontal="left"/>
    </xf>
    <xf numFmtId="164" fontId="4" fillId="0" borderId="3" xfId="1" applyFont="1" applyBorder="1"/>
    <xf numFmtId="164" fontId="4" fillId="0" borderId="3" xfId="0" applyNumberFormat="1" applyFont="1" applyBorder="1"/>
    <xf numFmtId="0" fontId="3" fillId="14" borderId="11" xfId="0" applyFont="1" applyFill="1" applyBorder="1" applyAlignment="1">
      <alignment horizontal="left"/>
    </xf>
    <xf numFmtId="164" fontId="4" fillId="0" borderId="11" xfId="0" applyNumberFormat="1" applyFont="1" applyBorder="1"/>
    <xf numFmtId="0" fontId="4" fillId="6" borderId="13" xfId="0" applyFont="1" applyFill="1" applyBorder="1"/>
    <xf numFmtId="164" fontId="4" fillId="6" borderId="13" xfId="1" applyFont="1" applyFill="1" applyBorder="1"/>
    <xf numFmtId="164" fontId="4" fillId="6" borderId="13" xfId="1" applyNumberFormat="1" applyFont="1" applyFill="1" applyBorder="1" applyAlignment="1">
      <alignment horizontal="center" vertical="top"/>
    </xf>
    <xf numFmtId="165" fontId="4" fillId="6" borderId="13" xfId="1" applyNumberFormat="1" applyFont="1" applyFill="1" applyBorder="1" applyAlignment="1">
      <alignment horizontal="center"/>
    </xf>
    <xf numFmtId="0" fontId="3" fillId="14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4" fontId="4" fillId="6" borderId="3" xfId="0" applyNumberFormat="1" applyFont="1" applyFill="1" applyBorder="1"/>
    <xf numFmtId="0" fontId="5" fillId="0" borderId="12" xfId="0" applyFont="1" applyBorder="1" applyAlignment="1">
      <alignment horizontal="left"/>
    </xf>
    <xf numFmtId="164" fontId="4" fillId="6" borderId="4" xfId="0" applyNumberFormat="1" applyFont="1" applyFill="1" applyBorder="1"/>
    <xf numFmtId="49" fontId="4" fillId="0" borderId="0" xfId="0" applyNumberFormat="1" applyFont="1"/>
    <xf numFmtId="0" fontId="2" fillId="0" borderId="1" xfId="0" applyFont="1" applyBorder="1" applyAlignment="1">
      <alignment horizontal="left" vertical="center"/>
    </xf>
    <xf numFmtId="0" fontId="4" fillId="0" borderId="13" xfId="0" applyFont="1" applyBorder="1"/>
    <xf numFmtId="49" fontId="3" fillId="3" borderId="11" xfId="0" applyNumberFormat="1" applyFont="1" applyFill="1" applyBorder="1" applyAlignment="1">
      <alignment horizontal="right"/>
    </xf>
    <xf numFmtId="49" fontId="4" fillId="3" borderId="11" xfId="0" applyNumberFormat="1" applyFont="1" applyFill="1" applyBorder="1" applyAlignment="1">
      <alignment horizontal="left"/>
    </xf>
    <xf numFmtId="49" fontId="4" fillId="3" borderId="11" xfId="0" applyNumberFormat="1" applyFont="1" applyFill="1" applyBorder="1" applyAlignment="1">
      <alignment horizontal="right"/>
    </xf>
    <xf numFmtId="49" fontId="3" fillId="3" borderId="11" xfId="0" applyNumberFormat="1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164" fontId="4" fillId="3" borderId="11" xfId="1" applyFont="1" applyFill="1" applyBorder="1" applyAlignment="1">
      <alignment horizontal="center"/>
    </xf>
    <xf numFmtId="165" fontId="4" fillId="3" borderId="11" xfId="0" applyNumberFormat="1" applyFont="1" applyFill="1" applyBorder="1"/>
    <xf numFmtId="0" fontId="4" fillId="3" borderId="9" xfId="0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right"/>
    </xf>
    <xf numFmtId="49" fontId="4" fillId="3" borderId="4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11" borderId="15" xfId="0" applyFont="1" applyFill="1" applyBorder="1" applyAlignment="1">
      <alignment horizontal="left"/>
    </xf>
    <xf numFmtId="164" fontId="4" fillId="0" borderId="15" xfId="1" applyFont="1" applyBorder="1" applyAlignment="1">
      <alignment horizontal="right"/>
    </xf>
    <xf numFmtId="164" fontId="4" fillId="0" borderId="15" xfId="1" applyFont="1" applyBorder="1"/>
    <xf numFmtId="14" fontId="4" fillId="0" borderId="15" xfId="0" applyNumberFormat="1" applyFont="1" applyBorder="1" applyAlignment="1">
      <alignment horizontal="left" vertical="top"/>
    </xf>
    <xf numFmtId="0" fontId="3" fillId="0" borderId="15" xfId="0" applyFont="1" applyBorder="1" applyAlignment="1">
      <alignment horizontal="center"/>
    </xf>
    <xf numFmtId="0" fontId="4" fillId="12" borderId="10" xfId="0" applyFont="1" applyFill="1" applyBorder="1" applyAlignment="1">
      <alignment horizontal="center"/>
    </xf>
    <xf numFmtId="0" fontId="4" fillId="12" borderId="0" xfId="0" applyFont="1" applyFill="1" applyBorder="1" applyAlignment="1">
      <alignment horizontal="center"/>
    </xf>
    <xf numFmtId="0" fontId="4" fillId="12" borderId="10" xfId="0" applyFont="1" applyFill="1" applyBorder="1" applyAlignment="1">
      <alignment horizontal="left"/>
    </xf>
    <xf numFmtId="0" fontId="4" fillId="0" borderId="10" xfId="0" applyFont="1" applyBorder="1"/>
    <xf numFmtId="164" fontId="4" fillId="6" borderId="3" xfId="0" applyNumberFormat="1" applyFont="1" applyFill="1" applyBorder="1" applyAlignment="1">
      <alignment horizontal="left"/>
    </xf>
    <xf numFmtId="14" fontId="4" fillId="0" borderId="3" xfId="0" applyNumberFormat="1" applyFont="1" applyFill="1" applyBorder="1" applyAlignment="1">
      <alignment horizontal="left"/>
    </xf>
    <xf numFmtId="164" fontId="4" fillId="6" borderId="4" xfId="0" applyNumberFormat="1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43" fontId="4" fillId="6" borderId="1" xfId="0" applyNumberFormat="1" applyFont="1" applyFill="1" applyBorder="1"/>
    <xf numFmtId="0" fontId="3" fillId="3" borderId="3" xfId="0" applyFont="1" applyFill="1" applyBorder="1" applyAlignment="1">
      <alignment horizontal="center"/>
    </xf>
    <xf numFmtId="43" fontId="4" fillId="0" borderId="15" xfId="0" applyNumberFormat="1" applyFont="1" applyBorder="1"/>
    <xf numFmtId="0" fontId="3" fillId="0" borderId="15" xfId="0" applyFont="1" applyBorder="1" applyAlignment="1">
      <alignment horizontal="left"/>
    </xf>
    <xf numFmtId="14" fontId="4" fillId="0" borderId="14" xfId="0" applyNumberFormat="1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164" fontId="4" fillId="9" borderId="17" xfId="1" applyFont="1" applyFill="1" applyBorder="1"/>
    <xf numFmtId="49" fontId="6" fillId="3" borderId="1" xfId="0" applyNumberFormat="1" applyFont="1" applyFill="1" applyBorder="1" applyAlignment="1">
      <alignment horizontal="right"/>
    </xf>
    <xf numFmtId="49" fontId="7" fillId="3" borderId="1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164" fontId="7" fillId="3" borderId="5" xfId="1" applyFont="1" applyFill="1" applyBorder="1"/>
    <xf numFmtId="0" fontId="7" fillId="3" borderId="1" xfId="0" applyFont="1" applyFill="1" applyBorder="1"/>
    <xf numFmtId="164" fontId="7" fillId="3" borderId="1" xfId="1" applyFont="1" applyFill="1" applyBorder="1"/>
    <xf numFmtId="164" fontId="7" fillId="3" borderId="1" xfId="1" applyNumberFormat="1" applyFont="1" applyFill="1" applyBorder="1" applyAlignment="1">
      <alignment horizontal="center" vertical="top"/>
    </xf>
    <xf numFmtId="165" fontId="7" fillId="3" borderId="1" xfId="1" applyNumberFormat="1" applyFont="1" applyFill="1" applyBorder="1" applyAlignment="1">
      <alignment horizontal="center"/>
    </xf>
    <xf numFmtId="164" fontId="7" fillId="3" borderId="1" xfId="1" applyFont="1" applyFill="1" applyBorder="1" applyAlignment="1">
      <alignment horizontal="center"/>
    </xf>
    <xf numFmtId="165" fontId="7" fillId="3" borderId="1" xfId="0" applyNumberFormat="1" applyFont="1" applyFill="1" applyBorder="1"/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164" fontId="7" fillId="0" borderId="1" xfId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7" fillId="0" borderId="1" xfId="1" applyFont="1" applyFill="1" applyBorder="1" applyAlignment="1">
      <alignment horizontal="right"/>
    </xf>
    <xf numFmtId="43" fontId="7" fillId="0" borderId="1" xfId="0" applyNumberFormat="1" applyFont="1" applyFill="1" applyBorder="1"/>
    <xf numFmtId="14" fontId="7" fillId="0" borderId="1" xfId="0" applyNumberFormat="1" applyFont="1" applyFill="1" applyBorder="1" applyAlignment="1">
      <alignment horizontal="left" vertical="top"/>
    </xf>
    <xf numFmtId="0" fontId="7" fillId="0" borderId="0" xfId="0" applyFont="1" applyFill="1"/>
    <xf numFmtId="0" fontId="4" fillId="12" borderId="2" xfId="0" applyFont="1" applyFill="1" applyBorder="1" applyAlignment="1">
      <alignment horizontal="center"/>
    </xf>
    <xf numFmtId="164" fontId="4" fillId="9" borderId="11" xfId="1" applyFont="1" applyFill="1" applyBorder="1"/>
    <xf numFmtId="0" fontId="7" fillId="5" borderId="1" xfId="0" applyFont="1" applyFill="1" applyBorder="1"/>
    <xf numFmtId="0" fontId="3" fillId="0" borderId="1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left"/>
    </xf>
    <xf numFmtId="0" fontId="4" fillId="12" borderId="6" xfId="0" applyFont="1" applyFill="1" applyBorder="1" applyAlignment="1"/>
    <xf numFmtId="0" fontId="4" fillId="12" borderId="20" xfId="0" applyFont="1" applyFill="1" applyBorder="1" applyAlignment="1"/>
    <xf numFmtId="0" fontId="4" fillId="12" borderId="20" xfId="0" applyFont="1" applyFill="1" applyBorder="1" applyAlignment="1">
      <alignment horizontal="center"/>
    </xf>
    <xf numFmtId="0" fontId="4" fillId="12" borderId="5" xfId="0" applyFont="1" applyFill="1" applyBorder="1" applyAlignment="1"/>
    <xf numFmtId="0" fontId="4" fillId="13" borderId="3" xfId="0" applyFont="1" applyFill="1" applyBorder="1" applyAlignment="1">
      <alignment horizontal="center"/>
    </xf>
    <xf numFmtId="164" fontId="4" fillId="0" borderId="12" xfId="0" applyNumberFormat="1" applyFont="1" applyBorder="1"/>
    <xf numFmtId="14" fontId="4" fillId="0" borderId="12" xfId="0" applyNumberFormat="1" applyFont="1" applyBorder="1" applyAlignment="1">
      <alignment horizontal="left" vertical="top"/>
    </xf>
    <xf numFmtId="0" fontId="4" fillId="13" borderId="4" xfId="0" applyFont="1" applyFill="1" applyBorder="1" applyAlignment="1">
      <alignment horizontal="center"/>
    </xf>
    <xf numFmtId="14" fontId="3" fillId="15" borderId="1" xfId="0" applyNumberFormat="1" applyFont="1" applyFill="1" applyBorder="1" applyAlignment="1">
      <alignment horizontal="left"/>
    </xf>
    <xf numFmtId="0" fontId="4" fillId="12" borderId="1" xfId="0" applyFont="1" applyFill="1" applyBorder="1" applyAlignment="1"/>
    <xf numFmtId="0" fontId="4" fillId="5" borderId="1" xfId="0" applyFont="1" applyFill="1" applyBorder="1"/>
    <xf numFmtId="165" fontId="4" fillId="7" borderId="3" xfId="1" applyNumberFormat="1" applyFont="1" applyFill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4" fillId="12" borderId="3" xfId="0" applyFont="1" applyFill="1" applyBorder="1" applyAlignment="1"/>
    <xf numFmtId="165" fontId="4" fillId="7" borderId="4" xfId="1" applyNumberFormat="1" applyFont="1" applyFill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left"/>
    </xf>
    <xf numFmtId="0" fontId="4" fillId="12" borderId="4" xfId="0" applyFont="1" applyFill="1" applyBorder="1" applyAlignment="1"/>
    <xf numFmtId="14" fontId="3" fillId="0" borderId="13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 vertical="top"/>
    </xf>
    <xf numFmtId="0" fontId="3" fillId="14" borderId="3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right" vertical="top"/>
    </xf>
    <xf numFmtId="49" fontId="4" fillId="0" borderId="3" xfId="0" applyNumberFormat="1" applyFont="1" applyBorder="1" applyAlignment="1">
      <alignment horizontal="left" vertical="top"/>
    </xf>
    <xf numFmtId="49" fontId="4" fillId="0" borderId="3" xfId="0" applyNumberFormat="1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vertical="top"/>
    </xf>
    <xf numFmtId="164" fontId="4" fillId="0" borderId="3" xfId="1" applyFont="1" applyBorder="1" applyAlignment="1">
      <alignment vertical="top"/>
    </xf>
    <xf numFmtId="164" fontId="4" fillId="3" borderId="3" xfId="1" applyFont="1" applyFill="1" applyBorder="1" applyAlignment="1"/>
    <xf numFmtId="0" fontId="4" fillId="6" borderId="3" xfId="0" applyFont="1" applyFill="1" applyBorder="1" applyAlignment="1">
      <alignment vertical="top"/>
    </xf>
    <xf numFmtId="164" fontId="4" fillId="6" borderId="3" xfId="1" applyFont="1" applyFill="1" applyBorder="1" applyAlignment="1">
      <alignment vertical="top"/>
    </xf>
    <xf numFmtId="164" fontId="4" fillId="6" borderId="3" xfId="1" applyNumberFormat="1" applyFont="1" applyFill="1" applyBorder="1" applyAlignment="1">
      <alignment vertical="top"/>
    </xf>
    <xf numFmtId="165" fontId="4" fillId="6" borderId="3" xfId="1" applyNumberFormat="1" applyFont="1" applyFill="1" applyBorder="1" applyAlignment="1">
      <alignment vertical="top"/>
    </xf>
    <xf numFmtId="164" fontId="4" fillId="8" borderId="3" xfId="1" applyFont="1" applyFill="1" applyBorder="1" applyAlignment="1">
      <alignment vertical="top"/>
    </xf>
    <xf numFmtId="165" fontId="4" fillId="8" borderId="3" xfId="1" applyNumberFormat="1" applyFont="1" applyFill="1" applyBorder="1" applyAlignment="1">
      <alignment vertical="top"/>
    </xf>
    <xf numFmtId="164" fontId="4" fillId="7" borderId="3" xfId="1" applyFont="1" applyFill="1" applyBorder="1" applyAlignment="1">
      <alignment vertical="top"/>
    </xf>
    <xf numFmtId="165" fontId="4" fillId="7" borderId="3" xfId="0" applyNumberFormat="1" applyFont="1" applyFill="1" applyBorder="1" applyAlignment="1">
      <alignment vertical="top"/>
    </xf>
    <xf numFmtId="0" fontId="4" fillId="11" borderId="13" xfId="0" applyFont="1" applyFill="1" applyBorder="1" applyAlignment="1">
      <alignment horizontal="left" vertical="top"/>
    </xf>
    <xf numFmtId="164" fontId="4" fillId="0" borderId="13" xfId="1" applyFont="1" applyBorder="1" applyAlignment="1">
      <alignment vertical="top"/>
    </xf>
    <xf numFmtId="164" fontId="4" fillId="0" borderId="13" xfId="0" applyNumberFormat="1" applyFont="1" applyBorder="1" applyAlignment="1">
      <alignment vertical="top"/>
    </xf>
    <xf numFmtId="14" fontId="3" fillId="0" borderId="13" xfId="0" applyNumberFormat="1" applyFont="1" applyBorder="1" applyAlignment="1"/>
    <xf numFmtId="0" fontId="4" fillId="12" borderId="3" xfId="0" applyFont="1" applyFill="1" applyBorder="1" applyAlignment="1">
      <alignment horizontal="center" vertical="top"/>
    </xf>
    <xf numFmtId="0" fontId="4" fillId="11" borderId="3" xfId="0" applyFont="1" applyFill="1" applyBorder="1" applyAlignment="1">
      <alignment vertical="top"/>
    </xf>
    <xf numFmtId="0" fontId="4" fillId="11" borderId="3" xfId="0" applyFont="1" applyFill="1" applyBorder="1" applyAlignment="1">
      <alignment horizontal="center" vertical="top"/>
    </xf>
    <xf numFmtId="0" fontId="4" fillId="13" borderId="3" xfId="0" applyFont="1" applyFill="1" applyBorder="1" applyAlignment="1">
      <alignment horizontal="left" vertical="top"/>
    </xf>
    <xf numFmtId="0" fontId="4" fillId="11" borderId="3" xfId="0" applyFont="1" applyFill="1" applyBorder="1" applyAlignment="1">
      <alignment horizontal="left" vertical="top"/>
    </xf>
    <xf numFmtId="0" fontId="4" fillId="12" borderId="3" xfId="0" applyFont="1" applyFill="1" applyBorder="1" applyAlignment="1">
      <alignment vertical="top"/>
    </xf>
    <xf numFmtId="0" fontId="3" fillId="14" borderId="4" xfId="0" applyFont="1" applyFill="1" applyBorder="1" applyAlignment="1">
      <alignment horizontal="left" vertical="top"/>
    </xf>
    <xf numFmtId="49" fontId="3" fillId="0" borderId="4" xfId="0" applyNumberFormat="1" applyFont="1" applyBorder="1" applyAlignment="1">
      <alignment horizontal="right" vertical="top"/>
    </xf>
    <xf numFmtId="49" fontId="4" fillId="0" borderId="4" xfId="0" applyNumberFormat="1" applyFont="1" applyBorder="1" applyAlignment="1">
      <alignment horizontal="left" vertical="top"/>
    </xf>
    <xf numFmtId="49" fontId="4" fillId="0" borderId="4" xfId="0" applyNumberFormat="1" applyFont="1" applyBorder="1" applyAlignment="1">
      <alignment horizontal="right" vertical="top"/>
    </xf>
    <xf numFmtId="49" fontId="3" fillId="0" borderId="4" xfId="0" applyNumberFormat="1" applyFont="1" applyBorder="1" applyAlignment="1">
      <alignment horizontal="left" vertical="top"/>
    </xf>
    <xf numFmtId="0" fontId="4" fillId="0" borderId="4" xfId="0" applyFont="1" applyBorder="1" applyAlignment="1">
      <alignment vertical="top"/>
    </xf>
    <xf numFmtId="164" fontId="4" fillId="0" borderId="4" xfId="1" applyFont="1" applyBorder="1" applyAlignment="1">
      <alignment vertical="top"/>
    </xf>
    <xf numFmtId="164" fontId="4" fillId="3" borderId="4" xfId="1" applyFont="1" applyFill="1" applyBorder="1" applyAlignment="1"/>
    <xf numFmtId="0" fontId="4" fillId="6" borderId="4" xfId="0" applyFont="1" applyFill="1" applyBorder="1" applyAlignment="1">
      <alignment vertical="top"/>
    </xf>
    <xf numFmtId="164" fontId="4" fillId="6" borderId="4" xfId="1" applyFont="1" applyFill="1" applyBorder="1" applyAlignment="1">
      <alignment vertical="top"/>
    </xf>
    <xf numFmtId="164" fontId="4" fillId="6" borderId="4" xfId="1" applyNumberFormat="1" applyFont="1" applyFill="1" applyBorder="1" applyAlignment="1">
      <alignment vertical="top"/>
    </xf>
    <xf numFmtId="165" fontId="4" fillId="6" borderId="4" xfId="1" applyNumberFormat="1" applyFont="1" applyFill="1" applyBorder="1" applyAlignment="1">
      <alignment vertical="top"/>
    </xf>
    <xf numFmtId="164" fontId="4" fillId="8" borderId="4" xfId="1" applyFont="1" applyFill="1" applyBorder="1" applyAlignment="1">
      <alignment vertical="top"/>
    </xf>
    <xf numFmtId="165" fontId="4" fillId="8" borderId="4" xfId="1" applyNumberFormat="1" applyFont="1" applyFill="1" applyBorder="1" applyAlignment="1">
      <alignment vertical="top"/>
    </xf>
    <xf numFmtId="164" fontId="4" fillId="7" borderId="4" xfId="1" applyFont="1" applyFill="1" applyBorder="1" applyAlignment="1">
      <alignment vertical="top"/>
    </xf>
    <xf numFmtId="165" fontId="4" fillId="7" borderId="4" xfId="0" applyNumberFormat="1" applyFont="1" applyFill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4" fillId="11" borderId="4" xfId="0" applyFont="1" applyFill="1" applyBorder="1" applyAlignment="1">
      <alignment horizontal="left" vertical="top"/>
    </xf>
    <xf numFmtId="164" fontId="4" fillId="0" borderId="4" xfId="0" applyNumberFormat="1" applyFont="1" applyBorder="1" applyAlignment="1">
      <alignment vertical="top"/>
    </xf>
    <xf numFmtId="14" fontId="3" fillId="0" borderId="4" xfId="0" applyNumberFormat="1" applyFont="1" applyBorder="1" applyAlignment="1"/>
    <xf numFmtId="0" fontId="4" fillId="12" borderId="4" xfId="0" applyFont="1" applyFill="1" applyBorder="1" applyAlignment="1">
      <alignment vertical="top"/>
    </xf>
    <xf numFmtId="0" fontId="4" fillId="11" borderId="4" xfId="0" applyFont="1" applyFill="1" applyBorder="1" applyAlignment="1">
      <alignment vertical="top"/>
    </xf>
    <xf numFmtId="0" fontId="4" fillId="11" borderId="4" xfId="0" applyFont="1" applyFill="1" applyBorder="1" applyAlignment="1">
      <alignment horizontal="center" vertical="top"/>
    </xf>
    <xf numFmtId="0" fontId="4" fillId="13" borderId="4" xfId="0" applyFont="1" applyFill="1" applyBorder="1" applyAlignment="1">
      <alignment horizontal="left" vertical="top"/>
    </xf>
    <xf numFmtId="0" fontId="4" fillId="12" borderId="4" xfId="0" applyFont="1" applyFill="1" applyBorder="1" applyAlignment="1">
      <alignment horizontal="center" vertical="top"/>
    </xf>
    <xf numFmtId="164" fontId="4" fillId="3" borderId="3" xfId="1" applyFont="1" applyFill="1" applyBorder="1" applyAlignment="1">
      <alignment vertical="top"/>
    </xf>
    <xf numFmtId="164" fontId="4" fillId="0" borderId="3" xfId="0" applyNumberFormat="1" applyFont="1" applyBorder="1" applyAlignment="1">
      <alignment vertical="top"/>
    </xf>
    <xf numFmtId="14" fontId="3" fillId="0" borderId="3" xfId="0" applyNumberFormat="1" applyFont="1" applyBorder="1" applyAlignment="1">
      <alignment horizontal="center" vertical="top"/>
    </xf>
    <xf numFmtId="14" fontId="3" fillId="0" borderId="3" xfId="0" applyNumberFormat="1" applyFont="1" applyBorder="1" applyAlignment="1"/>
    <xf numFmtId="49" fontId="3" fillId="0" borderId="4" xfId="0" applyNumberFormat="1" applyFont="1" applyBorder="1" applyAlignment="1">
      <alignment vertical="top"/>
    </xf>
    <xf numFmtId="164" fontId="4" fillId="3" borderId="4" xfId="1" applyFont="1" applyFill="1" applyBorder="1" applyAlignment="1">
      <alignment vertical="top"/>
    </xf>
    <xf numFmtId="14" fontId="4" fillId="0" borderId="4" xfId="0" applyNumberFormat="1" applyFont="1" applyBorder="1" applyAlignment="1">
      <alignment vertical="top"/>
    </xf>
    <xf numFmtId="14" fontId="3" fillId="0" borderId="4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164" fontId="4" fillId="9" borderId="3" xfId="1" applyFont="1" applyFill="1" applyBorder="1" applyAlignment="1">
      <alignment vertical="top"/>
    </xf>
    <xf numFmtId="0" fontId="4" fillId="13" borderId="3" xfId="0" applyFont="1" applyFill="1" applyBorder="1" applyAlignment="1">
      <alignment vertical="top"/>
    </xf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49" fontId="3" fillId="0" borderId="11" xfId="0" applyNumberFormat="1" applyFont="1" applyBorder="1" applyAlignment="1">
      <alignment vertical="top"/>
    </xf>
    <xf numFmtId="49" fontId="4" fillId="0" borderId="11" xfId="0" applyNumberFormat="1" applyFont="1" applyBorder="1" applyAlignment="1">
      <alignment vertical="top"/>
    </xf>
    <xf numFmtId="164" fontId="4" fillId="0" borderId="11" xfId="1" applyFont="1" applyBorder="1" applyAlignment="1">
      <alignment vertical="top"/>
    </xf>
    <xf numFmtId="164" fontId="4" fillId="9" borderId="11" xfId="1" applyFont="1" applyFill="1" applyBorder="1" applyAlignment="1">
      <alignment vertical="top"/>
    </xf>
    <xf numFmtId="0" fontId="4" fillId="6" borderId="11" xfId="0" applyFont="1" applyFill="1" applyBorder="1" applyAlignment="1">
      <alignment vertical="top"/>
    </xf>
    <xf numFmtId="164" fontId="4" fillId="6" borderId="11" xfId="1" applyFont="1" applyFill="1" applyBorder="1" applyAlignment="1">
      <alignment vertical="top"/>
    </xf>
    <xf numFmtId="164" fontId="4" fillId="6" borderId="11" xfId="1" applyNumberFormat="1" applyFont="1" applyFill="1" applyBorder="1" applyAlignment="1">
      <alignment vertical="top"/>
    </xf>
    <xf numFmtId="165" fontId="4" fillId="6" borderId="11" xfId="1" applyNumberFormat="1" applyFont="1" applyFill="1" applyBorder="1" applyAlignment="1">
      <alignment vertical="top"/>
    </xf>
    <xf numFmtId="164" fontId="4" fillId="8" borderId="11" xfId="1" applyFont="1" applyFill="1" applyBorder="1" applyAlignment="1">
      <alignment vertical="top"/>
    </xf>
    <xf numFmtId="165" fontId="4" fillId="8" borderId="11" xfId="1" applyNumberFormat="1" applyFont="1" applyFill="1" applyBorder="1" applyAlignment="1">
      <alignment vertical="top"/>
    </xf>
    <xf numFmtId="164" fontId="4" fillId="7" borderId="11" xfId="1" applyFont="1" applyFill="1" applyBorder="1" applyAlignment="1">
      <alignment vertical="top"/>
    </xf>
    <xf numFmtId="165" fontId="4" fillId="7" borderId="11" xfId="0" applyNumberFormat="1" applyFont="1" applyFill="1" applyBorder="1" applyAlignment="1">
      <alignment vertical="top"/>
    </xf>
    <xf numFmtId="0" fontId="3" fillId="0" borderId="11" xfId="0" applyFont="1" applyBorder="1" applyAlignment="1">
      <alignment horizontal="center" vertical="top"/>
    </xf>
    <xf numFmtId="14" fontId="4" fillId="0" borderId="16" xfId="0" applyNumberFormat="1" applyFont="1" applyBorder="1" applyAlignment="1">
      <alignment horizontal="left" vertical="top"/>
    </xf>
    <xf numFmtId="0" fontId="4" fillId="11" borderId="11" xfId="0" applyFont="1" applyFill="1" applyBorder="1" applyAlignment="1">
      <alignment horizontal="left" vertical="top"/>
    </xf>
    <xf numFmtId="164" fontId="4" fillId="0" borderId="11" xfId="0" applyNumberFormat="1" applyFont="1" applyBorder="1" applyAlignment="1">
      <alignment vertical="top"/>
    </xf>
    <xf numFmtId="14" fontId="3" fillId="0" borderId="11" xfId="0" applyNumberFormat="1" applyFont="1" applyBorder="1" applyAlignment="1">
      <alignment horizontal="center"/>
    </xf>
    <xf numFmtId="14" fontId="3" fillId="0" borderId="11" xfId="0" applyNumberFormat="1" applyFont="1" applyBorder="1" applyAlignment="1"/>
    <xf numFmtId="14" fontId="3" fillId="0" borderId="11" xfId="0" applyNumberFormat="1" applyFont="1" applyBorder="1" applyAlignment="1">
      <alignment horizontal="left"/>
    </xf>
    <xf numFmtId="0" fontId="4" fillId="12" borderId="11" xfId="0" applyFont="1" applyFill="1" applyBorder="1" applyAlignment="1">
      <alignment horizontal="center" vertical="top"/>
    </xf>
    <xf numFmtId="0" fontId="4" fillId="11" borderId="11" xfId="0" applyFont="1" applyFill="1" applyBorder="1" applyAlignment="1">
      <alignment horizontal="center" vertical="top"/>
    </xf>
    <xf numFmtId="0" fontId="4" fillId="13" borderId="11" xfId="0" applyFont="1" applyFill="1" applyBorder="1" applyAlignment="1">
      <alignment vertical="top"/>
    </xf>
    <xf numFmtId="0" fontId="4" fillId="11" borderId="11" xfId="0" applyFont="1" applyFill="1" applyBorder="1" applyAlignment="1">
      <alignment vertical="top"/>
    </xf>
    <xf numFmtId="0" fontId="4" fillId="13" borderId="11" xfId="0" applyFont="1" applyFill="1" applyBorder="1" applyAlignment="1">
      <alignment horizontal="left" vertical="top"/>
    </xf>
    <xf numFmtId="0" fontId="4" fillId="12" borderId="11" xfId="0" applyFont="1" applyFill="1" applyBorder="1" applyAlignment="1"/>
    <xf numFmtId="164" fontId="4" fillId="9" borderId="11" xfId="1" applyFont="1" applyFill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49" fontId="4" fillId="0" borderId="4" xfId="0" applyNumberFormat="1" applyFont="1" applyBorder="1" applyAlignment="1">
      <alignment vertical="top"/>
    </xf>
    <xf numFmtId="164" fontId="4" fillId="9" borderId="4" xfId="1" applyFont="1" applyFill="1" applyBorder="1" applyAlignment="1">
      <alignment vertical="top"/>
    </xf>
    <xf numFmtId="0" fontId="4" fillId="13" borderId="4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164" fontId="4" fillId="3" borderId="3" xfId="1" applyNumberFormat="1" applyFont="1" applyFill="1" applyBorder="1" applyAlignment="1">
      <alignment vertical="top"/>
    </xf>
    <xf numFmtId="165" fontId="4" fillId="3" borderId="3" xfId="1" applyNumberFormat="1" applyFont="1" applyFill="1" applyBorder="1" applyAlignment="1">
      <alignment vertical="top"/>
    </xf>
    <xf numFmtId="0" fontId="4" fillId="3" borderId="4" xfId="0" applyFont="1" applyFill="1" applyBorder="1" applyAlignment="1">
      <alignment vertical="top"/>
    </xf>
    <xf numFmtId="164" fontId="4" fillId="3" borderId="4" xfId="1" applyNumberFormat="1" applyFont="1" applyFill="1" applyBorder="1" applyAlignment="1">
      <alignment vertical="top"/>
    </xf>
    <xf numFmtId="165" fontId="4" fillId="3" borderId="4" xfId="1" applyNumberFormat="1" applyFont="1" applyFill="1" applyBorder="1" applyAlignment="1">
      <alignment vertical="top"/>
    </xf>
    <xf numFmtId="164" fontId="4" fillId="9" borderId="3" xfId="1" applyFont="1" applyFill="1" applyBorder="1" applyAlignment="1"/>
    <xf numFmtId="0" fontId="4" fillId="6" borderId="3" xfId="0" applyFont="1" applyFill="1" applyBorder="1" applyAlignment="1"/>
    <xf numFmtId="164" fontId="4" fillId="6" borderId="3" xfId="1" applyFont="1" applyFill="1" applyBorder="1" applyAlignment="1"/>
    <xf numFmtId="165" fontId="4" fillId="6" borderId="3" xfId="1" applyNumberFormat="1" applyFont="1" applyFill="1" applyBorder="1" applyAlignment="1"/>
    <xf numFmtId="164" fontId="4" fillId="8" borderId="3" xfId="1" applyFont="1" applyFill="1" applyBorder="1" applyAlignment="1"/>
    <xf numFmtId="165" fontId="4" fillId="8" borderId="3" xfId="1" applyNumberFormat="1" applyFont="1" applyFill="1" applyBorder="1" applyAlignment="1"/>
    <xf numFmtId="164" fontId="4" fillId="7" borderId="3" xfId="1" applyFont="1" applyFill="1" applyBorder="1" applyAlignment="1"/>
    <xf numFmtId="165" fontId="4" fillId="7" borderId="3" xfId="0" applyNumberFormat="1" applyFont="1" applyFill="1" applyBorder="1" applyAlignment="1"/>
    <xf numFmtId="164" fontId="4" fillId="0" borderId="3" xfId="1" applyFont="1" applyBorder="1" applyAlignment="1"/>
    <xf numFmtId="164" fontId="4" fillId="0" borderId="3" xfId="0" applyNumberFormat="1" applyFont="1" applyBorder="1" applyAlignment="1"/>
    <xf numFmtId="14" fontId="3" fillId="0" borderId="3" xfId="0" applyNumberFormat="1" applyFont="1" applyBorder="1" applyAlignment="1">
      <alignment vertical="top"/>
    </xf>
    <xf numFmtId="0" fontId="3" fillId="14" borderId="11" xfId="0" applyFont="1" applyFill="1" applyBorder="1" applyAlignment="1">
      <alignment horizontal="left" vertical="top"/>
    </xf>
    <xf numFmtId="49" fontId="3" fillId="0" borderId="11" xfId="0" applyNumberFormat="1" applyFont="1" applyBorder="1" applyAlignment="1">
      <alignment horizontal="right" vertical="top"/>
    </xf>
    <xf numFmtId="49" fontId="4" fillId="0" borderId="11" xfId="0" applyNumberFormat="1" applyFont="1" applyBorder="1" applyAlignment="1">
      <alignment horizontal="left" vertical="top"/>
    </xf>
    <xf numFmtId="49" fontId="4" fillId="0" borderId="11" xfId="0" applyNumberFormat="1" applyFont="1" applyBorder="1" applyAlignment="1">
      <alignment horizontal="right" vertical="top"/>
    </xf>
    <xf numFmtId="49" fontId="3" fillId="0" borderId="14" xfId="0" applyNumberFormat="1" applyFont="1" applyBorder="1" applyAlignment="1">
      <alignment horizontal="left" vertical="top"/>
    </xf>
    <xf numFmtId="164" fontId="4" fillId="9" borderId="11" xfId="1" applyFont="1" applyFill="1" applyBorder="1" applyAlignment="1"/>
    <xf numFmtId="0" fontId="4" fillId="6" borderId="11" xfId="0" applyFont="1" applyFill="1" applyBorder="1" applyAlignment="1"/>
    <xf numFmtId="164" fontId="4" fillId="6" borderId="11" xfId="1" applyFont="1" applyFill="1" applyBorder="1" applyAlignment="1"/>
    <xf numFmtId="165" fontId="4" fillId="6" borderId="11" xfId="1" applyNumberFormat="1" applyFont="1" applyFill="1" applyBorder="1" applyAlignment="1"/>
    <xf numFmtId="164" fontId="4" fillId="8" borderId="11" xfId="1" applyFont="1" applyFill="1" applyBorder="1" applyAlignment="1"/>
    <xf numFmtId="165" fontId="4" fillId="8" borderId="11" xfId="1" applyNumberFormat="1" applyFont="1" applyFill="1" applyBorder="1" applyAlignment="1"/>
    <xf numFmtId="164" fontId="4" fillId="7" borderId="11" xfId="1" applyFont="1" applyFill="1" applyBorder="1" applyAlignment="1"/>
    <xf numFmtId="165" fontId="4" fillId="7" borderId="11" xfId="0" applyNumberFormat="1" applyFont="1" applyFill="1" applyBorder="1" applyAlignment="1"/>
    <xf numFmtId="164" fontId="4" fillId="0" borderId="11" xfId="1" applyFont="1" applyBorder="1" applyAlignment="1"/>
    <xf numFmtId="164" fontId="4" fillId="0" borderId="11" xfId="0" applyNumberFormat="1" applyFont="1" applyBorder="1" applyAlignment="1"/>
    <xf numFmtId="14" fontId="3" fillId="0" borderId="11" xfId="0" applyNumberFormat="1" applyFont="1" applyBorder="1" applyAlignment="1">
      <alignment horizontal="center" vertical="top"/>
    </xf>
    <xf numFmtId="14" fontId="3" fillId="0" borderId="11" xfId="0" applyNumberFormat="1" applyFont="1" applyBorder="1" applyAlignment="1">
      <alignment vertical="top"/>
    </xf>
    <xf numFmtId="14" fontId="3" fillId="0" borderId="11" xfId="0" applyNumberFormat="1" applyFont="1" applyBorder="1" applyAlignment="1">
      <alignment horizontal="left" vertical="top"/>
    </xf>
    <xf numFmtId="49" fontId="4" fillId="0" borderId="12" xfId="0" applyNumberFormat="1" applyFont="1" applyBorder="1" applyAlignment="1">
      <alignment horizontal="right" vertical="top"/>
    </xf>
    <xf numFmtId="0" fontId="4" fillId="0" borderId="8" xfId="0" applyFont="1" applyBorder="1" applyAlignment="1">
      <alignment vertical="top"/>
    </xf>
    <xf numFmtId="164" fontId="4" fillId="9" borderId="18" xfId="1" applyFont="1" applyFill="1" applyBorder="1" applyAlignment="1"/>
    <xf numFmtId="0" fontId="4" fillId="6" borderId="4" xfId="0" applyFont="1" applyFill="1" applyBorder="1" applyAlignment="1"/>
    <xf numFmtId="164" fontId="4" fillId="6" borderId="4" xfId="1" applyFont="1" applyFill="1" applyBorder="1" applyAlignment="1"/>
    <xf numFmtId="165" fontId="4" fillId="6" borderId="4" xfId="1" applyNumberFormat="1" applyFont="1" applyFill="1" applyBorder="1" applyAlignment="1"/>
    <xf numFmtId="164" fontId="4" fillId="8" borderId="4" xfId="1" applyFont="1" applyFill="1" applyBorder="1" applyAlignment="1"/>
    <xf numFmtId="165" fontId="4" fillId="8" borderId="4" xfId="1" applyNumberFormat="1" applyFont="1" applyFill="1" applyBorder="1" applyAlignment="1"/>
    <xf numFmtId="164" fontId="4" fillId="7" borderId="4" xfId="1" applyFont="1" applyFill="1" applyBorder="1" applyAlignment="1"/>
    <xf numFmtId="165" fontId="4" fillId="7" borderId="4" xfId="0" applyNumberFormat="1" applyFont="1" applyFill="1" applyBorder="1" applyAlignment="1"/>
    <xf numFmtId="164" fontId="4" fillId="0" borderId="4" xfId="1" applyFont="1" applyBorder="1" applyAlignment="1"/>
    <xf numFmtId="0" fontId="4" fillId="0" borderId="4" xfId="0" applyFont="1" applyBorder="1" applyAlignment="1"/>
    <xf numFmtId="14" fontId="3" fillId="0" borderId="4" xfId="0" applyNumberFormat="1" applyFont="1" applyBorder="1" applyAlignment="1">
      <alignment vertical="top"/>
    </xf>
    <xf numFmtId="14" fontId="3" fillId="0" borderId="4" xfId="0" applyNumberFormat="1" applyFont="1" applyBorder="1" applyAlignment="1">
      <alignment horizontal="left" vertical="top"/>
    </xf>
    <xf numFmtId="0" fontId="4" fillId="11" borderId="18" xfId="0" applyFont="1" applyFill="1" applyBorder="1" applyAlignment="1">
      <alignment vertical="top"/>
    </xf>
    <xf numFmtId="0" fontId="4" fillId="11" borderId="18" xfId="0" applyFont="1" applyFill="1" applyBorder="1" applyAlignment="1">
      <alignment horizontal="center" vertical="top"/>
    </xf>
    <xf numFmtId="0" fontId="4" fillId="13" borderId="8" xfId="0" applyFont="1" applyFill="1" applyBorder="1" applyAlignment="1">
      <alignment horizontal="left" vertical="top"/>
    </xf>
    <xf numFmtId="165" fontId="4" fillId="6" borderId="1" xfId="1" applyNumberFormat="1" applyFont="1" applyFill="1" applyBorder="1"/>
    <xf numFmtId="164" fontId="4" fillId="8" borderId="1" xfId="1" applyFont="1" applyFill="1" applyBorder="1"/>
    <xf numFmtId="165" fontId="4" fillId="8" borderId="1" xfId="1" applyNumberFormat="1" applyFont="1" applyFill="1" applyBorder="1"/>
    <xf numFmtId="164" fontId="4" fillId="7" borderId="1" xfId="1" applyFont="1" applyFill="1" applyBorder="1"/>
    <xf numFmtId="0" fontId="4" fillId="0" borderId="6" xfId="0" applyFont="1" applyBorder="1"/>
    <xf numFmtId="49" fontId="4" fillId="0" borderId="13" xfId="0" applyNumberFormat="1" applyFont="1" applyBorder="1" applyAlignment="1">
      <alignment horizontal="right" vertical="top"/>
    </xf>
    <xf numFmtId="49" fontId="3" fillId="0" borderId="13" xfId="0" applyNumberFormat="1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165" fontId="4" fillId="6" borderId="13" xfId="1" applyNumberFormat="1" applyFont="1" applyFill="1" applyBorder="1"/>
    <xf numFmtId="14" fontId="4" fillId="0" borderId="3" xfId="0" applyNumberFormat="1" applyFont="1" applyFill="1" applyBorder="1" applyAlignment="1">
      <alignment horizontal="left" vertical="top"/>
    </xf>
    <xf numFmtId="49" fontId="4" fillId="0" borderId="15" xfId="0" applyNumberFormat="1" applyFont="1" applyBorder="1" applyAlignment="1">
      <alignment horizontal="right" vertical="top"/>
    </xf>
    <xf numFmtId="49" fontId="3" fillId="0" borderId="15" xfId="0" applyNumberFormat="1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165" fontId="4" fillId="6" borderId="11" xfId="1" applyNumberFormat="1" applyFont="1" applyFill="1" applyBorder="1"/>
    <xf numFmtId="14" fontId="4" fillId="0" borderId="11" xfId="0" applyNumberFormat="1" applyFont="1" applyFill="1" applyBorder="1" applyAlignment="1">
      <alignment horizontal="left" vertical="top"/>
    </xf>
    <xf numFmtId="0" fontId="4" fillId="11" borderId="15" xfId="0" applyFont="1" applyFill="1" applyBorder="1" applyAlignment="1">
      <alignment horizontal="left" vertical="top"/>
    </xf>
    <xf numFmtId="164" fontId="4" fillId="0" borderId="15" xfId="0" applyNumberFormat="1" applyFont="1" applyBorder="1"/>
    <xf numFmtId="14" fontId="3" fillId="0" borderId="15" xfId="0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left"/>
    </xf>
    <xf numFmtId="0" fontId="4" fillId="12" borderId="11" xfId="0" applyFont="1" applyFill="1" applyBorder="1" applyAlignment="1">
      <alignment vertical="top"/>
    </xf>
    <xf numFmtId="0" fontId="4" fillId="11" borderId="14" xfId="0" applyFont="1" applyFill="1" applyBorder="1" applyAlignment="1">
      <alignment horizontal="left" vertical="top"/>
    </xf>
    <xf numFmtId="164" fontId="4" fillId="0" borderId="14" xfId="1" applyFont="1" applyBorder="1" applyAlignment="1">
      <alignment horizontal="right"/>
    </xf>
    <xf numFmtId="164" fontId="4" fillId="0" borderId="14" xfId="0" applyNumberFormat="1" applyFont="1" applyBorder="1"/>
    <xf numFmtId="14" fontId="4" fillId="0" borderId="14" xfId="0" applyNumberFormat="1" applyFont="1" applyBorder="1" applyAlignment="1">
      <alignment horizontal="left" vertical="top"/>
    </xf>
    <xf numFmtId="0" fontId="4" fillId="11" borderId="16" xfId="0" applyFont="1" applyFill="1" applyBorder="1" applyAlignment="1">
      <alignment horizontal="left" vertical="top"/>
    </xf>
    <xf numFmtId="164" fontId="4" fillId="0" borderId="16" xfId="1" applyFont="1" applyBorder="1" applyAlignment="1">
      <alignment horizontal="right"/>
    </xf>
    <xf numFmtId="164" fontId="4" fillId="0" borderId="16" xfId="0" applyNumberFormat="1" applyFont="1" applyBorder="1"/>
    <xf numFmtId="0" fontId="5" fillId="0" borderId="4" xfId="0" applyFont="1" applyBorder="1" applyAlignment="1">
      <alignment horizontal="left" vertical="top"/>
    </xf>
    <xf numFmtId="165" fontId="4" fillId="6" borderId="4" xfId="1" applyNumberFormat="1" applyFont="1" applyFill="1" applyBorder="1"/>
    <xf numFmtId="14" fontId="4" fillId="0" borderId="4" xfId="0" applyNumberFormat="1" applyFont="1" applyFill="1" applyBorder="1" applyAlignment="1">
      <alignment horizontal="left" vertical="top"/>
    </xf>
    <xf numFmtId="165" fontId="4" fillId="3" borderId="1" xfId="1" applyNumberFormat="1" applyFont="1" applyFill="1" applyBorder="1"/>
    <xf numFmtId="0" fontId="4" fillId="0" borderId="3" xfId="0" applyFont="1" applyBorder="1"/>
    <xf numFmtId="0" fontId="4" fillId="0" borderId="9" xfId="0" applyFont="1" applyBorder="1"/>
    <xf numFmtId="0" fontId="4" fillId="5" borderId="3" xfId="0" applyFont="1" applyFill="1" applyBorder="1"/>
    <xf numFmtId="165" fontId="4" fillId="6" borderId="3" xfId="1" applyNumberFormat="1" applyFont="1" applyFill="1" applyBorder="1"/>
    <xf numFmtId="164" fontId="4" fillId="8" borderId="3" xfId="1" applyFont="1" applyFill="1" applyBorder="1"/>
    <xf numFmtId="165" fontId="4" fillId="8" borderId="3" xfId="1" applyNumberFormat="1" applyFont="1" applyFill="1" applyBorder="1"/>
    <xf numFmtId="164" fontId="4" fillId="7" borderId="3" xfId="1" applyFont="1" applyFill="1" applyBorder="1"/>
    <xf numFmtId="0" fontId="4" fillId="5" borderId="11" xfId="0" applyFont="1" applyFill="1" applyBorder="1"/>
    <xf numFmtId="164" fontId="4" fillId="8" borderId="11" xfId="1" applyFont="1" applyFill="1" applyBorder="1"/>
    <xf numFmtId="165" fontId="4" fillId="8" borderId="11" xfId="1" applyNumberFormat="1" applyFont="1" applyFill="1" applyBorder="1"/>
    <xf numFmtId="164" fontId="4" fillId="7" borderId="11" xfId="1" applyFont="1" applyFill="1" applyBorder="1"/>
    <xf numFmtId="0" fontId="4" fillId="0" borderId="8" xfId="0" applyFont="1" applyBorder="1"/>
    <xf numFmtId="0" fontId="4" fillId="5" borderId="4" xfId="0" applyFont="1" applyFill="1" applyBorder="1"/>
    <xf numFmtId="164" fontId="4" fillId="8" borderId="4" xfId="1" applyFont="1" applyFill="1" applyBorder="1"/>
    <xf numFmtId="165" fontId="4" fillId="8" borderId="4" xfId="1" applyNumberFormat="1" applyFont="1" applyFill="1" applyBorder="1"/>
    <xf numFmtId="164" fontId="4" fillId="7" borderId="4" xfId="1" applyFont="1" applyFill="1" applyBorder="1"/>
    <xf numFmtId="0" fontId="5" fillId="0" borderId="16" xfId="0" applyFont="1" applyBorder="1" applyAlignment="1">
      <alignment horizontal="left"/>
    </xf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/>
    <xf numFmtId="0" fontId="4" fillId="3" borderId="4" xfId="0" applyFont="1" applyFill="1" applyBorder="1" applyAlignment="1"/>
    <xf numFmtId="165" fontId="4" fillId="3" borderId="4" xfId="1" applyNumberFormat="1" applyFont="1" applyFill="1" applyBorder="1" applyAlignment="1"/>
    <xf numFmtId="165" fontId="4" fillId="3" borderId="3" xfId="1" applyNumberFormat="1" applyFont="1" applyFill="1" applyBorder="1"/>
    <xf numFmtId="49" fontId="3" fillId="0" borderId="11" xfId="0" applyNumberFormat="1" applyFont="1" applyBorder="1" applyAlignment="1">
      <alignment horizontal="left" vertical="top"/>
    </xf>
    <xf numFmtId="165" fontId="4" fillId="3" borderId="11" xfId="1" applyNumberFormat="1" applyFont="1" applyFill="1" applyBorder="1"/>
    <xf numFmtId="165" fontId="4" fillId="3" borderId="4" xfId="1" applyNumberFormat="1" applyFont="1" applyFill="1" applyBorder="1"/>
    <xf numFmtId="0" fontId="4" fillId="5" borderId="3" xfId="0" applyFont="1" applyFill="1" applyBorder="1" applyAlignment="1"/>
    <xf numFmtId="0" fontId="3" fillId="0" borderId="3" xfId="0" applyFont="1" applyBorder="1" applyAlignment="1">
      <alignment vertical="top"/>
    </xf>
    <xf numFmtId="164" fontId="4" fillId="3" borderId="11" xfId="1" applyFont="1" applyFill="1" applyBorder="1" applyAlignment="1"/>
    <xf numFmtId="0" fontId="4" fillId="5" borderId="11" xfId="0" applyFont="1" applyFill="1" applyBorder="1" applyAlignment="1"/>
    <xf numFmtId="164" fontId="4" fillId="3" borderId="11" xfId="1" applyNumberFormat="1" applyFont="1" applyFill="1" applyBorder="1" applyAlignment="1">
      <alignment vertical="top"/>
    </xf>
    <xf numFmtId="0" fontId="3" fillId="0" borderId="11" xfId="0" applyFont="1" applyBorder="1" applyAlignment="1">
      <alignment horizontal="left" vertical="top"/>
    </xf>
    <xf numFmtId="0" fontId="4" fillId="12" borderId="11" xfId="0" applyFont="1" applyFill="1" applyBorder="1" applyAlignment="1">
      <alignment horizontal="left" vertical="top"/>
    </xf>
    <xf numFmtId="0" fontId="4" fillId="5" borderId="4" xfId="0" applyFont="1" applyFill="1" applyBorder="1" applyAlignment="1"/>
    <xf numFmtId="0" fontId="3" fillId="0" borderId="4" xfId="0" applyFont="1" applyBorder="1" applyAlignment="1">
      <alignment horizontal="left" vertical="top"/>
    </xf>
    <xf numFmtId="0" fontId="4" fillId="12" borderId="4" xfId="0" applyFont="1" applyFill="1" applyBorder="1" applyAlignment="1">
      <alignment horizontal="left" vertical="top"/>
    </xf>
    <xf numFmtId="49" fontId="3" fillId="0" borderId="3" xfId="0" applyNumberFormat="1" applyFont="1" applyBorder="1" applyAlignment="1">
      <alignment vertical="top"/>
    </xf>
    <xf numFmtId="14" fontId="3" fillId="0" borderId="3" xfId="0" applyNumberFormat="1" applyFont="1" applyBorder="1" applyAlignment="1">
      <alignment horizontal="left" vertical="top"/>
    </xf>
    <xf numFmtId="14" fontId="4" fillId="0" borderId="11" xfId="0" applyNumberFormat="1" applyFont="1" applyBorder="1" applyAlignment="1">
      <alignment vertical="top"/>
    </xf>
    <xf numFmtId="0" fontId="4" fillId="0" borderId="11" xfId="0" applyFont="1" applyBorder="1" applyAlignment="1"/>
    <xf numFmtId="164" fontId="4" fillId="9" borderId="4" xfId="1" applyFont="1" applyFill="1" applyBorder="1" applyAlignment="1"/>
    <xf numFmtId="164" fontId="4" fillId="6" borderId="1" xfId="0" applyNumberFormat="1" applyFont="1" applyFill="1" applyBorder="1"/>
    <xf numFmtId="0" fontId="4" fillId="11" borderId="4" xfId="0" applyFont="1" applyFill="1" applyBorder="1" applyAlignment="1"/>
    <xf numFmtId="0" fontId="7" fillId="0" borderId="6" xfId="0" applyFont="1" applyBorder="1"/>
    <xf numFmtId="164" fontId="7" fillId="0" borderId="1" xfId="1" applyFont="1" applyBorder="1"/>
    <xf numFmtId="165" fontId="7" fillId="6" borderId="1" xfId="1" applyNumberFormat="1" applyFont="1" applyFill="1" applyBorder="1"/>
    <xf numFmtId="164" fontId="7" fillId="8" borderId="1" xfId="1" applyFont="1" applyFill="1" applyBorder="1"/>
    <xf numFmtId="165" fontId="7" fillId="8" borderId="1" xfId="1" applyNumberFormat="1" applyFont="1" applyFill="1" applyBorder="1"/>
    <xf numFmtId="164" fontId="7" fillId="7" borderId="1" xfId="1" applyFont="1" applyFill="1" applyBorder="1"/>
    <xf numFmtId="164" fontId="4" fillId="3" borderId="1" xfId="0" applyNumberFormat="1" applyFont="1" applyFill="1" applyBorder="1"/>
    <xf numFmtId="0" fontId="7" fillId="0" borderId="1" xfId="0" applyFont="1" applyBorder="1" applyAlignment="1"/>
    <xf numFmtId="0" fontId="7" fillId="0" borderId="6" xfId="0" applyFont="1" applyBorder="1" applyAlignment="1"/>
    <xf numFmtId="164" fontId="7" fillId="0" borderId="1" xfId="1" applyFont="1" applyBorder="1" applyAlignment="1"/>
    <xf numFmtId="164" fontId="7" fillId="9" borderId="5" xfId="1" applyFont="1" applyFill="1" applyBorder="1" applyAlignment="1"/>
    <xf numFmtId="0" fontId="7" fillId="6" borderId="1" xfId="0" applyFont="1" applyFill="1" applyBorder="1" applyAlignment="1"/>
    <xf numFmtId="164" fontId="7" fillId="6" borderId="1" xfId="1" applyFont="1" applyFill="1" applyBorder="1" applyAlignment="1"/>
    <xf numFmtId="165" fontId="7" fillId="6" borderId="1" xfId="1" applyNumberFormat="1" applyFont="1" applyFill="1" applyBorder="1" applyAlignment="1"/>
    <xf numFmtId="164" fontId="7" fillId="8" borderId="1" xfId="1" applyFont="1" applyFill="1" applyBorder="1" applyAlignment="1"/>
    <xf numFmtId="165" fontId="7" fillId="8" borderId="1" xfId="1" applyNumberFormat="1" applyFont="1" applyFill="1" applyBorder="1" applyAlignment="1"/>
    <xf numFmtId="164" fontId="7" fillId="7" borderId="1" xfId="1" applyFont="1" applyFill="1" applyBorder="1" applyAlignment="1"/>
    <xf numFmtId="165" fontId="7" fillId="7" borderId="1" xfId="0" applyNumberFormat="1" applyFont="1" applyFill="1" applyBorder="1" applyAlignment="1"/>
    <xf numFmtId="0" fontId="7" fillId="12" borderId="1" xfId="0" applyFont="1" applyFill="1" applyBorder="1" applyAlignment="1"/>
    <xf numFmtId="0" fontId="7" fillId="0" borderId="0" xfId="0" applyFont="1" applyAlignment="1"/>
    <xf numFmtId="49" fontId="4" fillId="0" borderId="3" xfId="0" applyNumberFormat="1" applyFont="1" applyBorder="1" applyAlignment="1">
      <alignment vertical="top"/>
    </xf>
    <xf numFmtId="49" fontId="3" fillId="0" borderId="3" xfId="0" applyNumberFormat="1" applyFont="1" applyBorder="1" applyAlignment="1"/>
    <xf numFmtId="0" fontId="4" fillId="11" borderId="3" xfId="0" applyFont="1" applyFill="1" applyBorder="1" applyAlignment="1"/>
    <xf numFmtId="0" fontId="3" fillId="0" borderId="3" xfId="0" applyFont="1" applyBorder="1" applyAlignment="1"/>
    <xf numFmtId="49" fontId="4" fillId="0" borderId="4" xfId="0" applyNumberFormat="1" applyFont="1" applyBorder="1" applyAlignment="1"/>
    <xf numFmtId="49" fontId="3" fillId="0" borderId="4" xfId="0" applyNumberFormat="1" applyFont="1" applyBorder="1" applyAlignment="1"/>
    <xf numFmtId="0" fontId="3" fillId="0" borderId="4" xfId="0" applyFont="1" applyBorder="1" applyAlignment="1"/>
    <xf numFmtId="0" fontId="7" fillId="1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vertical="top"/>
    </xf>
    <xf numFmtId="164" fontId="4" fillId="3" borderId="11" xfId="1" applyFont="1" applyFill="1" applyBorder="1" applyAlignment="1">
      <alignment vertical="top"/>
    </xf>
    <xf numFmtId="165" fontId="4" fillId="3" borderId="11" xfId="1" applyNumberFormat="1" applyFont="1" applyFill="1" applyBorder="1" applyAlignment="1">
      <alignment vertical="top"/>
    </xf>
    <xf numFmtId="0" fontId="4" fillId="11" borderId="11" xfId="0" applyFont="1" applyFill="1" applyBorder="1" applyAlignment="1"/>
    <xf numFmtId="0" fontId="3" fillId="0" borderId="11" xfId="0" applyFont="1" applyBorder="1" applyAlignment="1"/>
    <xf numFmtId="49" fontId="4" fillId="0" borderId="3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left"/>
    </xf>
    <xf numFmtId="164" fontId="4" fillId="0" borderId="13" xfId="1" applyFont="1" applyBorder="1" applyAlignment="1"/>
    <xf numFmtId="164" fontId="4" fillId="0" borderId="13" xfId="0" applyNumberFormat="1" applyFont="1" applyBorder="1" applyAlignment="1"/>
    <xf numFmtId="0" fontId="3" fillId="0" borderId="13" xfId="0" applyFont="1" applyBorder="1" applyAlignment="1"/>
    <xf numFmtId="0" fontId="5" fillId="0" borderId="11" xfId="0" applyFont="1" applyBorder="1" applyAlignment="1">
      <alignment horizontal="left" vertical="top"/>
    </xf>
    <xf numFmtId="164" fontId="4" fillId="0" borderId="15" xfId="1" applyFont="1" applyBorder="1" applyAlignment="1"/>
    <xf numFmtId="164" fontId="4" fillId="0" borderId="15" xfId="0" applyNumberFormat="1" applyFont="1" applyBorder="1" applyAlignment="1"/>
    <xf numFmtId="0" fontId="3" fillId="0" borderId="15" xfId="0" applyFont="1" applyBorder="1" applyAlignment="1"/>
    <xf numFmtId="164" fontId="4" fillId="0" borderId="4" xfId="0" applyNumberFormat="1" applyFont="1" applyBorder="1" applyAlignment="1"/>
    <xf numFmtId="164" fontId="4" fillId="6" borderId="11" xfId="0" applyNumberFormat="1" applyFont="1" applyFill="1" applyBorder="1"/>
    <xf numFmtId="0" fontId="7" fillId="3" borderId="6" xfId="0" applyFont="1" applyFill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14" fontId="3" fillId="0" borderId="4" xfId="0" applyNumberFormat="1" applyFont="1" applyFill="1" applyBorder="1" applyAlignment="1">
      <alignment horizontal="left"/>
    </xf>
    <xf numFmtId="0" fontId="4" fillId="11" borderId="14" xfId="0" applyFont="1" applyFill="1" applyBorder="1" applyAlignment="1">
      <alignment horizontal="left"/>
    </xf>
    <xf numFmtId="164" fontId="4" fillId="0" borderId="14" xfId="1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3" xfId="0" applyFont="1" applyFill="1" applyBorder="1" applyAlignment="1">
      <alignment horizontal="left" vertical="top"/>
    </xf>
    <xf numFmtId="14" fontId="4" fillId="0" borderId="3" xfId="0" applyNumberFormat="1" applyFont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165" fontId="3" fillId="8" borderId="1" xfId="0" applyNumberFormat="1" applyFont="1" applyFill="1" applyBorder="1"/>
    <xf numFmtId="49" fontId="4" fillId="0" borderId="13" xfId="0" applyNumberFormat="1" applyFont="1" applyBorder="1" applyAlignment="1">
      <alignment horizontal="right"/>
    </xf>
    <xf numFmtId="14" fontId="4" fillId="0" borderId="19" xfId="0" applyNumberFormat="1" applyFont="1" applyBorder="1" applyAlignment="1">
      <alignment horizontal="left"/>
    </xf>
    <xf numFmtId="49" fontId="4" fillId="0" borderId="15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left"/>
    </xf>
    <xf numFmtId="0" fontId="4" fillId="12" borderId="17" xfId="0" applyFont="1" applyFill="1" applyBorder="1" applyAlignment="1"/>
    <xf numFmtId="49" fontId="4" fillId="0" borderId="12" xfId="0" applyNumberFormat="1" applyFont="1" applyBorder="1" applyAlignment="1">
      <alignment horizontal="right"/>
    </xf>
    <xf numFmtId="0" fontId="4" fillId="12" borderId="1" xfId="0" applyFont="1" applyFill="1" applyBorder="1" applyAlignment="1">
      <alignment wrapText="1"/>
    </xf>
    <xf numFmtId="0" fontId="4" fillId="12" borderId="1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0" fontId="3" fillId="0" borderId="13" xfId="0" applyFont="1" applyBorder="1" applyAlignment="1">
      <alignment horizontal="left" vertical="top"/>
    </xf>
    <xf numFmtId="164" fontId="4" fillId="0" borderId="12" xfId="1" applyFont="1" applyBorder="1" applyAlignment="1">
      <alignment vertical="top"/>
    </xf>
    <xf numFmtId="0" fontId="4" fillId="12" borderId="1" xfId="0" applyFont="1" applyFill="1" applyBorder="1" applyAlignment="1">
      <alignment horizontal="center"/>
    </xf>
    <xf numFmtId="164" fontId="4" fillId="6" borderId="3" xfId="0" applyNumberFormat="1" applyFont="1" applyFill="1" applyBorder="1" applyAlignment="1">
      <alignment vertical="top"/>
    </xf>
    <xf numFmtId="164" fontId="4" fillId="6" borderId="11" xfId="0" applyNumberFormat="1" applyFont="1" applyFill="1" applyBorder="1" applyAlignment="1">
      <alignment vertical="top"/>
    </xf>
    <xf numFmtId="164" fontId="4" fillId="6" borderId="4" xfId="0" applyNumberFormat="1" applyFont="1" applyFill="1" applyBorder="1" applyAlignment="1">
      <alignment vertical="top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/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14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9" xfId="0" applyFont="1" applyBorder="1"/>
    <xf numFmtId="0" fontId="9" fillId="1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9" fillId="0" borderId="1" xfId="0" applyNumberFormat="1" applyFont="1" applyBorder="1"/>
    <xf numFmtId="0" fontId="9" fillId="0" borderId="1" xfId="0" applyFont="1" applyBorder="1"/>
    <xf numFmtId="49" fontId="9" fillId="0" borderId="1" xfId="0" applyNumberFormat="1" applyFont="1" applyBorder="1" applyAlignment="1"/>
    <xf numFmtId="0" fontId="9" fillId="10" borderId="1" xfId="0" applyFont="1" applyFill="1" applyBorder="1"/>
    <xf numFmtId="49" fontId="9" fillId="10" borderId="1" xfId="0" applyNumberFormat="1" applyFont="1" applyFill="1" applyBorder="1"/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8" xfId="0" applyFont="1" applyBorder="1"/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9" fillId="0" borderId="6" xfId="0" applyFont="1" applyBorder="1"/>
    <xf numFmtId="0" fontId="9" fillId="10" borderId="1" xfId="0" applyFont="1" applyFill="1" applyBorder="1" applyAlignment="1">
      <alignment horizontal="left"/>
    </xf>
    <xf numFmtId="0" fontId="9" fillId="0" borderId="6" xfId="0" applyFont="1" applyFill="1" applyBorder="1"/>
    <xf numFmtId="0" fontId="9" fillId="0" borderId="13" xfId="0" applyFont="1" applyBorder="1" applyAlignment="1">
      <alignment horizontal="center"/>
    </xf>
    <xf numFmtId="0" fontId="9" fillId="0" borderId="3" xfId="0" applyFont="1" applyBorder="1"/>
    <xf numFmtId="0" fontId="9" fillId="0" borderId="9" xfId="0" applyFont="1" applyFill="1" applyBorder="1"/>
    <xf numFmtId="0" fontId="9" fillId="0" borderId="8" xfId="0" applyFont="1" applyFill="1" applyBorder="1"/>
    <xf numFmtId="0" fontId="9" fillId="0" borderId="1" xfId="0" applyFont="1" applyFill="1" applyBorder="1"/>
    <xf numFmtId="49" fontId="9" fillId="0" borderId="1" xfId="0" applyNumberFormat="1" applyFont="1" applyFill="1" applyBorder="1"/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9" fillId="0" borderId="10" xfId="0" applyFont="1" applyBorder="1"/>
    <xf numFmtId="0" fontId="9" fillId="0" borderId="10" xfId="0" applyFont="1" applyFill="1" applyBorder="1"/>
    <xf numFmtId="0" fontId="9" fillId="0" borderId="15" xfId="0" applyFont="1" applyBorder="1" applyAlignment="1">
      <alignment horizontal="center"/>
    </xf>
    <xf numFmtId="0" fontId="9" fillId="0" borderId="11" xfId="0" applyFont="1" applyBorder="1"/>
    <xf numFmtId="0" fontId="9" fillId="0" borderId="4" xfId="0" applyFont="1" applyBorder="1"/>
    <xf numFmtId="14" fontId="9" fillId="0" borderId="4" xfId="0" applyNumberFormat="1" applyFont="1" applyBorder="1" applyAlignment="1">
      <alignment horizontal="center"/>
    </xf>
    <xf numFmtId="14" fontId="9" fillId="0" borderId="11" xfId="0" applyNumberFormat="1" applyFont="1" applyBorder="1" applyAlignment="1">
      <alignment horizontal="center"/>
    </xf>
    <xf numFmtId="0" fontId="9" fillId="0" borderId="4" xfId="0" applyFont="1" applyFill="1" applyBorder="1"/>
    <xf numFmtId="0" fontId="9" fillId="2" borderId="8" xfId="0" applyFont="1" applyFill="1" applyBorder="1"/>
    <xf numFmtId="43" fontId="4" fillId="0" borderId="1" xfId="1" applyNumberFormat="1" applyFont="1" applyBorder="1" applyAlignment="1">
      <alignment horizontal="center"/>
    </xf>
    <xf numFmtId="49" fontId="7" fillId="0" borderId="3" xfId="0" applyNumberFormat="1" applyFont="1" applyFill="1" applyBorder="1" applyAlignment="1">
      <alignment horizontal="right"/>
    </xf>
    <xf numFmtId="49" fontId="6" fillId="0" borderId="3" xfId="0" applyNumberFormat="1" applyFont="1" applyFill="1" applyBorder="1" applyAlignment="1">
      <alignment horizontal="left"/>
    </xf>
    <xf numFmtId="14" fontId="7" fillId="0" borderId="13" xfId="0" applyNumberFormat="1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49" fontId="7" fillId="0" borderId="11" xfId="0" applyNumberFormat="1" applyFont="1" applyFill="1" applyBorder="1" applyAlignment="1">
      <alignment horizontal="right"/>
    </xf>
    <xf numFmtId="49" fontId="6" fillId="0" borderId="11" xfId="0" applyNumberFormat="1" applyFont="1" applyFill="1" applyBorder="1" applyAlignment="1">
      <alignment horizontal="left"/>
    </xf>
    <xf numFmtId="14" fontId="7" fillId="0" borderId="14" xfId="0" applyNumberFormat="1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49" fontId="7" fillId="0" borderId="14" xfId="0" applyNumberFormat="1" applyFont="1" applyFill="1" applyBorder="1" applyAlignment="1">
      <alignment horizontal="right"/>
    </xf>
    <xf numFmtId="49" fontId="6" fillId="0" borderId="14" xfId="0" applyNumberFormat="1" applyFont="1" applyFill="1" applyBorder="1" applyAlignment="1">
      <alignment horizontal="left"/>
    </xf>
    <xf numFmtId="49" fontId="7" fillId="0" borderId="13" xfId="0" applyNumberFormat="1" applyFont="1" applyBorder="1" applyAlignment="1">
      <alignment horizontal="right"/>
    </xf>
    <xf numFmtId="49" fontId="6" fillId="0" borderId="13" xfId="0" applyNumberFormat="1" applyFont="1" applyBorder="1" applyAlignment="1">
      <alignment horizontal="left"/>
    </xf>
    <xf numFmtId="14" fontId="7" fillId="0" borderId="13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9" fillId="0" borderId="3" xfId="0" applyFont="1" applyFill="1" applyBorder="1"/>
    <xf numFmtId="0" fontId="9" fillId="0" borderId="11" xfId="0" applyFont="1" applyFill="1" applyBorder="1"/>
    <xf numFmtId="14" fontId="12" fillId="0" borderId="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9" xfId="0" applyFont="1" applyBorder="1"/>
    <xf numFmtId="14" fontId="12" fillId="0" borderId="11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2" fillId="0" borderId="11" xfId="0" applyFont="1" applyBorder="1"/>
    <xf numFmtId="0" fontId="12" fillId="0" borderId="15" xfId="0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8" xfId="0" applyFont="1" applyBorder="1"/>
    <xf numFmtId="0" fontId="12" fillId="1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2" fillId="0" borderId="1" xfId="0" applyNumberFormat="1" applyFont="1" applyBorder="1"/>
    <xf numFmtId="0" fontId="4" fillId="12" borderId="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14" fontId="4" fillId="0" borderId="4" xfId="0" applyNumberFormat="1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left" vertical="center"/>
    </xf>
    <xf numFmtId="0" fontId="4" fillId="12" borderId="1" xfId="0" applyFont="1" applyFill="1" applyBorder="1" applyAlignment="1">
      <alignment horizontal="center"/>
    </xf>
    <xf numFmtId="14" fontId="4" fillId="0" borderId="4" xfId="0" applyNumberFormat="1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49" fontId="6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164" fontId="7" fillId="0" borderId="3" xfId="1" applyFont="1" applyBorder="1" applyAlignment="1">
      <alignment horizontal="center"/>
    </xf>
    <xf numFmtId="164" fontId="7" fillId="9" borderId="17" xfId="1" applyFont="1" applyFill="1" applyBorder="1"/>
    <xf numFmtId="0" fontId="7" fillId="3" borderId="3" xfId="0" applyFont="1" applyFill="1" applyBorder="1"/>
    <xf numFmtId="164" fontId="7" fillId="3" borderId="3" xfId="1" applyFont="1" applyFill="1" applyBorder="1"/>
    <xf numFmtId="164" fontId="7" fillId="3" borderId="3" xfId="1" applyNumberFormat="1" applyFont="1" applyFill="1" applyBorder="1" applyAlignment="1">
      <alignment horizontal="center" vertical="top"/>
    </xf>
    <xf numFmtId="165" fontId="7" fillId="3" borderId="3" xfId="1" applyNumberFormat="1" applyFont="1" applyFill="1" applyBorder="1" applyAlignment="1">
      <alignment horizontal="center"/>
    </xf>
    <xf numFmtId="164" fontId="7" fillId="8" borderId="3" xfId="1" applyFont="1" applyFill="1" applyBorder="1" applyAlignment="1">
      <alignment horizontal="center"/>
    </xf>
    <xf numFmtId="165" fontId="7" fillId="8" borderId="3" xfId="1" applyNumberFormat="1" applyFont="1" applyFill="1" applyBorder="1" applyAlignment="1">
      <alignment horizontal="center"/>
    </xf>
    <xf numFmtId="164" fontId="7" fillId="7" borderId="3" xfId="1" applyFont="1" applyFill="1" applyBorder="1" applyAlignment="1">
      <alignment horizontal="center"/>
    </xf>
    <xf numFmtId="165" fontId="7" fillId="7" borderId="3" xfId="0" applyNumberFormat="1" applyFont="1" applyFill="1" applyBorder="1"/>
    <xf numFmtId="0" fontId="6" fillId="0" borderId="3" xfId="0" applyFont="1" applyBorder="1" applyAlignment="1">
      <alignment horizontal="center"/>
    </xf>
    <xf numFmtId="0" fontId="7" fillId="11" borderId="13" xfId="0" applyFont="1" applyFill="1" applyBorder="1" applyAlignment="1">
      <alignment horizontal="left"/>
    </xf>
    <xf numFmtId="164" fontId="7" fillId="0" borderId="3" xfId="1" applyFont="1" applyBorder="1" applyAlignment="1">
      <alignment horizontal="right"/>
    </xf>
    <xf numFmtId="43" fontId="7" fillId="0" borderId="3" xfId="0" applyNumberFormat="1" applyFont="1" applyBorder="1"/>
    <xf numFmtId="14" fontId="7" fillId="0" borderId="3" xfId="0" applyNumberFormat="1" applyFont="1" applyBorder="1" applyAlignment="1">
      <alignment horizontal="left" vertical="top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7" fillId="12" borderId="3" xfId="0" applyFont="1" applyFill="1" applyBorder="1" applyAlignment="1">
      <alignment horizontal="center"/>
    </xf>
    <xf numFmtId="0" fontId="7" fillId="11" borderId="17" xfId="0" applyFont="1" applyFill="1" applyBorder="1" applyAlignment="1">
      <alignment horizontal="left"/>
    </xf>
    <xf numFmtId="0" fontId="7" fillId="11" borderId="17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7" fillId="13" borderId="9" xfId="0" applyFont="1" applyFill="1" applyBorder="1" applyAlignment="1">
      <alignment horizontal="left"/>
    </xf>
    <xf numFmtId="0" fontId="7" fillId="11" borderId="3" xfId="0" applyFont="1" applyFill="1" applyBorder="1" applyAlignment="1">
      <alignment horizontal="left"/>
    </xf>
    <xf numFmtId="0" fontId="7" fillId="13" borderId="3" xfId="0" applyFont="1" applyFill="1" applyBorder="1" applyAlignment="1">
      <alignment horizontal="left"/>
    </xf>
    <xf numFmtId="0" fontId="7" fillId="12" borderId="3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9" fontId="6" fillId="0" borderId="4" xfId="0" applyNumberFormat="1" applyFont="1" applyBorder="1" applyAlignment="1">
      <alignment horizontal="right"/>
    </xf>
    <xf numFmtId="49" fontId="7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164" fontId="7" fillId="0" borderId="4" xfId="1" applyFont="1" applyBorder="1" applyAlignment="1">
      <alignment horizontal="center"/>
    </xf>
    <xf numFmtId="164" fontId="7" fillId="9" borderId="18" xfId="1" applyFont="1" applyFill="1" applyBorder="1"/>
    <xf numFmtId="0" fontId="7" fillId="3" borderId="4" xfId="0" applyFont="1" applyFill="1" applyBorder="1"/>
    <xf numFmtId="164" fontId="7" fillId="3" borderId="4" xfId="1" applyFont="1" applyFill="1" applyBorder="1"/>
    <xf numFmtId="164" fontId="7" fillId="3" borderId="4" xfId="1" applyNumberFormat="1" applyFont="1" applyFill="1" applyBorder="1" applyAlignment="1">
      <alignment horizontal="center" vertical="top"/>
    </xf>
    <xf numFmtId="165" fontId="7" fillId="3" borderId="4" xfId="1" applyNumberFormat="1" applyFont="1" applyFill="1" applyBorder="1" applyAlignment="1">
      <alignment horizontal="center"/>
    </xf>
    <xf numFmtId="164" fontId="7" fillId="8" borderId="4" xfId="1" applyFont="1" applyFill="1" applyBorder="1" applyAlignment="1">
      <alignment horizontal="center"/>
    </xf>
    <xf numFmtId="165" fontId="7" fillId="8" borderId="4" xfId="1" applyNumberFormat="1" applyFont="1" applyFill="1" applyBorder="1" applyAlignment="1">
      <alignment horizontal="center"/>
    </xf>
    <xf numFmtId="164" fontId="7" fillId="7" borderId="4" xfId="1" applyFont="1" applyFill="1" applyBorder="1" applyAlignment="1">
      <alignment horizontal="center"/>
    </xf>
    <xf numFmtId="165" fontId="7" fillId="7" borderId="4" xfId="0" applyNumberFormat="1" applyFont="1" applyFill="1" applyBorder="1"/>
    <xf numFmtId="0" fontId="6" fillId="0" borderId="4" xfId="0" applyFont="1" applyBorder="1" applyAlignment="1">
      <alignment horizontal="center"/>
    </xf>
    <xf numFmtId="0" fontId="7" fillId="11" borderId="4" xfId="0" applyFont="1" applyFill="1" applyBorder="1" applyAlignment="1">
      <alignment horizontal="left"/>
    </xf>
    <xf numFmtId="164" fontId="7" fillId="0" borderId="12" xfId="1" applyFont="1" applyBorder="1" applyAlignment="1">
      <alignment horizontal="right"/>
    </xf>
    <xf numFmtId="43" fontId="7" fillId="0" borderId="12" xfId="0" applyNumberFormat="1" applyFont="1" applyBorder="1"/>
    <xf numFmtId="14" fontId="7" fillId="0" borderId="12" xfId="0" applyNumberFormat="1" applyFont="1" applyBorder="1" applyAlignment="1">
      <alignment horizontal="left" vertical="top"/>
    </xf>
    <xf numFmtId="0" fontId="7" fillId="12" borderId="4" xfId="0" applyFont="1" applyFill="1" applyBorder="1" applyAlignment="1">
      <alignment horizontal="center"/>
    </xf>
    <xf numFmtId="0" fontId="7" fillId="11" borderId="18" xfId="0" applyFont="1" applyFill="1" applyBorder="1" applyAlignment="1">
      <alignment horizontal="left"/>
    </xf>
    <xf numFmtId="0" fontId="7" fillId="11" borderId="18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3" borderId="8" xfId="0" applyFont="1" applyFill="1" applyBorder="1" applyAlignment="1">
      <alignment horizontal="left"/>
    </xf>
    <xf numFmtId="0" fontId="7" fillId="13" borderId="4" xfId="0" applyFont="1" applyFill="1" applyBorder="1" applyAlignment="1">
      <alignment horizontal="left"/>
    </xf>
    <xf numFmtId="0" fontId="7" fillId="12" borderId="4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43" fontId="4" fillId="0" borderId="12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4" fontId="7" fillId="0" borderId="13" xfId="1" applyFont="1" applyBorder="1" applyAlignment="1">
      <alignment horizontal="right"/>
    </xf>
    <xf numFmtId="164" fontId="7" fillId="0" borderId="13" xfId="1" applyFont="1" applyBorder="1"/>
    <xf numFmtId="43" fontId="7" fillId="0" borderId="13" xfId="0" applyNumberFormat="1" applyFont="1" applyBorder="1"/>
    <xf numFmtId="14" fontId="7" fillId="0" borderId="13" xfId="0" applyNumberFormat="1" applyFont="1" applyBorder="1" applyAlignment="1">
      <alignment horizontal="left" vertical="top"/>
    </xf>
    <xf numFmtId="43" fontId="4" fillId="6" borderId="4" xfId="0" applyNumberFormat="1" applyFont="1" applyFill="1" applyBorder="1"/>
    <xf numFmtId="43" fontId="4" fillId="6" borderId="3" xfId="0" applyNumberFormat="1" applyFont="1" applyFill="1" applyBorder="1"/>
    <xf numFmtId="43" fontId="4" fillId="6" borderId="11" xfId="0" applyNumberFormat="1" applyFont="1" applyFill="1" applyBorder="1"/>
    <xf numFmtId="0" fontId="4" fillId="12" borderId="1" xfId="0" applyFont="1" applyFill="1" applyBorder="1" applyAlignment="1">
      <alignment horizontal="center"/>
    </xf>
    <xf numFmtId="43" fontId="4" fillId="0" borderId="14" xfId="0" applyNumberFormat="1" applyFont="1" applyBorder="1"/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4" fontId="7" fillId="0" borderId="4" xfId="1" applyFont="1" applyBorder="1" applyAlignment="1">
      <alignment horizontal="right"/>
    </xf>
    <xf numFmtId="43" fontId="7" fillId="0" borderId="4" xfId="0" applyNumberFormat="1" applyFont="1" applyBorder="1"/>
    <xf numFmtId="14" fontId="7" fillId="0" borderId="4" xfId="0" applyNumberFormat="1" applyFont="1" applyBorder="1" applyAlignment="1">
      <alignment horizontal="left" vertical="top"/>
    </xf>
    <xf numFmtId="0" fontId="4" fillId="12" borderId="1" xfId="0" applyFont="1" applyFill="1" applyBorder="1" applyAlignment="1">
      <alignment horizontal="center"/>
    </xf>
    <xf numFmtId="9" fontId="3" fillId="0" borderId="11" xfId="0" applyNumberFormat="1" applyFont="1" applyBorder="1" applyAlignment="1">
      <alignment horizontal="left"/>
    </xf>
    <xf numFmtId="9" fontId="3" fillId="0" borderId="4" xfId="0" applyNumberFormat="1" applyFont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8" xfId="0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right"/>
    </xf>
    <xf numFmtId="49" fontId="3" fillId="0" borderId="4" xfId="0" applyNumberFormat="1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49" fontId="7" fillId="0" borderId="13" xfId="0" applyNumberFormat="1" applyFont="1" applyFill="1" applyBorder="1" applyAlignment="1">
      <alignment horizontal="right"/>
    </xf>
    <xf numFmtId="49" fontId="6" fillId="0" borderId="13" xfId="0" applyNumberFormat="1" applyFont="1" applyFill="1" applyBorder="1" applyAlignment="1">
      <alignment horizontal="left"/>
    </xf>
    <xf numFmtId="0" fontId="3" fillId="0" borderId="13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7" fillId="11" borderId="15" xfId="0" applyFont="1" applyFill="1" applyBorder="1" applyAlignment="1">
      <alignment horizontal="left"/>
    </xf>
    <xf numFmtId="164" fontId="7" fillId="0" borderId="15" xfId="1" applyFont="1" applyBorder="1" applyAlignment="1">
      <alignment horizontal="right"/>
    </xf>
    <xf numFmtId="164" fontId="7" fillId="0" borderId="15" xfId="1" applyFont="1" applyBorder="1"/>
    <xf numFmtId="14" fontId="7" fillId="0" borderId="15" xfId="0" applyNumberFormat="1" applyFont="1" applyBorder="1" applyAlignment="1">
      <alignment horizontal="left" vertical="top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4" fontId="4" fillId="3" borderId="1" xfId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vertical="top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0" borderId="10" xfId="0" applyFont="1" applyBorder="1" applyAlignment="1">
      <alignment vertical="top"/>
    </xf>
    <xf numFmtId="164" fontId="4" fillId="9" borderId="2" xfId="1" applyFont="1" applyFill="1" applyBorder="1" applyAlignment="1">
      <alignment vertical="top"/>
    </xf>
    <xf numFmtId="0" fontId="4" fillId="11" borderId="2" xfId="0" applyFont="1" applyFill="1" applyBorder="1" applyAlignment="1">
      <alignment vertical="top"/>
    </xf>
    <xf numFmtId="0" fontId="4" fillId="11" borderId="2" xfId="0" applyFont="1" applyFill="1" applyBorder="1" applyAlignment="1">
      <alignment horizontal="center" vertical="top"/>
    </xf>
    <xf numFmtId="0" fontId="4" fillId="13" borderId="10" xfId="0" applyFont="1" applyFill="1" applyBorder="1" applyAlignment="1">
      <alignment vertical="top"/>
    </xf>
    <xf numFmtId="49" fontId="4" fillId="0" borderId="14" xfId="0" applyNumberFormat="1" applyFont="1" applyBorder="1" applyAlignment="1">
      <alignment horizontal="right" vertical="top"/>
    </xf>
    <xf numFmtId="14" fontId="4" fillId="0" borderId="14" xfId="0" applyNumberFormat="1" applyFont="1" applyBorder="1" applyAlignment="1">
      <alignment vertical="top"/>
    </xf>
    <xf numFmtId="0" fontId="3" fillId="14" borderId="11" xfId="0" applyFont="1" applyFill="1" applyBorder="1" applyAlignment="1">
      <alignment vertical="top"/>
    </xf>
    <xf numFmtId="0" fontId="3" fillId="14" borderId="4" xfId="0" applyFont="1" applyFill="1" applyBorder="1" applyAlignment="1">
      <alignment vertical="top"/>
    </xf>
    <xf numFmtId="0" fontId="12" fillId="0" borderId="8" xfId="0" applyFont="1" applyFill="1" applyBorder="1"/>
    <xf numFmtId="0" fontId="12" fillId="0" borderId="1" xfId="0" applyFont="1" applyBorder="1"/>
    <xf numFmtId="0" fontId="12" fillId="0" borderId="0" xfId="0" applyFont="1"/>
    <xf numFmtId="0" fontId="4" fillId="12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left"/>
    </xf>
    <xf numFmtId="0" fontId="12" fillId="10" borderId="1" xfId="0" applyFont="1" applyFill="1" applyBorder="1"/>
    <xf numFmtId="49" fontId="12" fillId="10" borderId="1" xfId="0" applyNumberFormat="1" applyFont="1" applyFill="1" applyBorder="1"/>
    <xf numFmtId="164" fontId="4" fillId="0" borderId="4" xfId="1" applyFont="1" applyFill="1" applyBorder="1" applyAlignment="1">
      <alignment horizontal="right"/>
    </xf>
    <xf numFmtId="164" fontId="4" fillId="0" borderId="4" xfId="1" applyFont="1" applyFill="1" applyBorder="1"/>
    <xf numFmtId="164" fontId="4" fillId="0" borderId="4" xfId="0" applyNumberFormat="1" applyFont="1" applyFill="1" applyBorder="1"/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4" fontId="4" fillId="4" borderId="5" xfId="1" applyFont="1" applyFill="1" applyBorder="1"/>
    <xf numFmtId="164" fontId="4" fillId="4" borderId="1" xfId="1" applyFont="1" applyFill="1" applyBorder="1"/>
    <xf numFmtId="165" fontId="4" fillId="4" borderId="1" xfId="1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4" fontId="7" fillId="0" borderId="3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49" fontId="4" fillId="0" borderId="0" xfId="0" applyNumberFormat="1" applyFont="1" applyFill="1"/>
    <xf numFmtId="14" fontId="7" fillId="0" borderId="1" xfId="0" applyNumberFormat="1" applyFont="1" applyFill="1" applyBorder="1" applyAlignment="1">
      <alignment horizontal="left"/>
    </xf>
    <xf numFmtId="14" fontId="4" fillId="0" borderId="11" xfId="0" applyNumberFormat="1" applyFont="1" applyFill="1" applyBorder="1" applyAlignment="1">
      <alignment horizontal="left"/>
    </xf>
    <xf numFmtId="14" fontId="7" fillId="0" borderId="4" xfId="0" applyNumberFormat="1" applyFont="1" applyFill="1" applyBorder="1" applyAlignment="1">
      <alignment horizontal="left"/>
    </xf>
    <xf numFmtId="43" fontId="7" fillId="0" borderId="1" xfId="0" applyNumberFormat="1" applyFont="1" applyBorder="1"/>
    <xf numFmtId="14" fontId="7" fillId="0" borderId="1" xfId="0" applyNumberFormat="1" applyFont="1" applyBorder="1" applyAlignment="1">
      <alignment horizontal="left" vertical="top"/>
    </xf>
    <xf numFmtId="14" fontId="4" fillId="3" borderId="1" xfId="0" applyNumberFormat="1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left"/>
    </xf>
    <xf numFmtId="14" fontId="4" fillId="3" borderId="4" xfId="0" applyNumberFormat="1" applyFont="1" applyFill="1" applyBorder="1" applyAlignment="1">
      <alignment horizontal="left"/>
    </xf>
    <xf numFmtId="14" fontId="4" fillId="0" borderId="13" xfId="0" applyNumberFormat="1" applyFont="1" applyFill="1" applyBorder="1" applyAlignment="1">
      <alignment horizontal="left"/>
    </xf>
    <xf numFmtId="43" fontId="7" fillId="0" borderId="15" xfId="0" applyNumberFormat="1" applyFont="1" applyBorder="1"/>
    <xf numFmtId="0" fontId="4" fillId="0" borderId="4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12" borderId="1" xfId="0" applyFont="1" applyFill="1" applyBorder="1" applyAlignment="1">
      <alignment horizontal="center"/>
    </xf>
    <xf numFmtId="164" fontId="7" fillId="3" borderId="17" xfId="1" applyFont="1" applyFill="1" applyBorder="1"/>
    <xf numFmtId="0" fontId="7" fillId="6" borderId="13" xfId="0" applyFont="1" applyFill="1" applyBorder="1"/>
    <xf numFmtId="164" fontId="7" fillId="6" borderId="13" xfId="1" applyFont="1" applyFill="1" applyBorder="1"/>
    <xf numFmtId="164" fontId="7" fillId="6" borderId="13" xfId="1" applyNumberFormat="1" applyFont="1" applyFill="1" applyBorder="1" applyAlignment="1">
      <alignment horizontal="center" vertical="top"/>
    </xf>
    <xf numFmtId="165" fontId="7" fillId="6" borderId="13" xfId="1" applyNumberFormat="1" applyFont="1" applyFill="1" applyBorder="1" applyAlignment="1">
      <alignment horizontal="center"/>
    </xf>
    <xf numFmtId="0" fontId="7" fillId="6" borderId="4" xfId="0" applyFont="1" applyFill="1" applyBorder="1"/>
    <xf numFmtId="164" fontId="7" fillId="6" borderId="4" xfId="1" applyFont="1" applyFill="1" applyBorder="1"/>
    <xf numFmtId="164" fontId="7" fillId="6" borderId="4" xfId="1" applyNumberFormat="1" applyFont="1" applyFill="1" applyBorder="1" applyAlignment="1">
      <alignment horizontal="center" vertical="top"/>
    </xf>
    <xf numFmtId="165" fontId="7" fillId="6" borderId="4" xfId="1" applyNumberFormat="1" applyFont="1" applyFill="1" applyBorder="1" applyAlignment="1">
      <alignment horizontal="center"/>
    </xf>
    <xf numFmtId="9" fontId="6" fillId="0" borderId="4" xfId="0" applyNumberFormat="1" applyFont="1" applyBorder="1" applyAlignment="1">
      <alignment horizontal="left"/>
    </xf>
    <xf numFmtId="14" fontId="7" fillId="3" borderId="1" xfId="0" applyNumberFormat="1" applyFont="1" applyFill="1" applyBorder="1" applyAlignment="1">
      <alignment horizontal="left"/>
    </xf>
    <xf numFmtId="0" fontId="11" fillId="0" borderId="0" xfId="0" applyFont="1"/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right"/>
    </xf>
    <xf numFmtId="49" fontId="3" fillId="11" borderId="1" xfId="0" applyNumberFormat="1" applyFont="1" applyFill="1" applyBorder="1" applyAlignment="1">
      <alignment horizontal="left"/>
    </xf>
    <xf numFmtId="49" fontId="7" fillId="11" borderId="1" xfId="0" applyNumberFormat="1" applyFont="1" applyFill="1" applyBorder="1" applyAlignment="1">
      <alignment horizontal="right"/>
    </xf>
    <xf numFmtId="49" fontId="6" fillId="11" borderId="1" xfId="0" applyNumberFormat="1" applyFont="1" applyFill="1" applyBorder="1" applyAlignment="1">
      <alignment horizontal="left"/>
    </xf>
    <xf numFmtId="49" fontId="4" fillId="11" borderId="3" xfId="0" applyNumberFormat="1" applyFont="1" applyFill="1" applyBorder="1" applyAlignment="1">
      <alignment horizontal="right"/>
    </xf>
    <xf numFmtId="49" fontId="3" fillId="11" borderId="3" xfId="0" applyNumberFormat="1" applyFont="1" applyFill="1" applyBorder="1" applyAlignment="1">
      <alignment horizontal="left"/>
    </xf>
    <xf numFmtId="49" fontId="4" fillId="11" borderId="4" xfId="0" applyNumberFormat="1" applyFont="1" applyFill="1" applyBorder="1" applyAlignment="1">
      <alignment horizontal="right"/>
    </xf>
    <xf numFmtId="49" fontId="3" fillId="11" borderId="4" xfId="0" applyNumberFormat="1" applyFont="1" applyFill="1" applyBorder="1" applyAlignment="1">
      <alignment horizontal="left"/>
    </xf>
    <xf numFmtId="49" fontId="4" fillId="11" borderId="11" xfId="0" applyNumberFormat="1" applyFont="1" applyFill="1" applyBorder="1" applyAlignment="1">
      <alignment horizontal="right"/>
    </xf>
    <xf numFmtId="49" fontId="3" fillId="11" borderId="11" xfId="0" applyNumberFormat="1" applyFont="1" applyFill="1" applyBorder="1" applyAlignment="1">
      <alignment horizontal="left"/>
    </xf>
    <xf numFmtId="49" fontId="7" fillId="11" borderId="3" xfId="0" applyNumberFormat="1" applyFont="1" applyFill="1" applyBorder="1" applyAlignment="1">
      <alignment horizontal="right"/>
    </xf>
    <xf numFmtId="49" fontId="6" fillId="11" borderId="3" xfId="0" applyNumberFormat="1" applyFont="1" applyFill="1" applyBorder="1" applyAlignment="1">
      <alignment horizontal="left"/>
    </xf>
    <xf numFmtId="49" fontId="7" fillId="11" borderId="4" xfId="0" applyNumberFormat="1" applyFont="1" applyFill="1" applyBorder="1" applyAlignment="1">
      <alignment horizontal="right"/>
    </xf>
    <xf numFmtId="49" fontId="6" fillId="11" borderId="4" xfId="0" applyNumberFormat="1" applyFont="1" applyFill="1" applyBorder="1" applyAlignment="1">
      <alignment horizontal="left"/>
    </xf>
    <xf numFmtId="49" fontId="4" fillId="11" borderId="13" xfId="0" applyNumberFormat="1" applyFont="1" applyFill="1" applyBorder="1" applyAlignment="1">
      <alignment horizontal="right"/>
    </xf>
    <xf numFmtId="49" fontId="3" fillId="11" borderId="13" xfId="0" applyNumberFormat="1" applyFont="1" applyFill="1" applyBorder="1" applyAlignment="1">
      <alignment horizontal="left"/>
    </xf>
    <xf numFmtId="49" fontId="4" fillId="11" borderId="15" xfId="0" applyNumberFormat="1" applyFont="1" applyFill="1" applyBorder="1" applyAlignment="1">
      <alignment horizontal="right"/>
    </xf>
    <xf numFmtId="49" fontId="3" fillId="11" borderId="15" xfId="0" applyNumberFormat="1" applyFont="1" applyFill="1" applyBorder="1" applyAlignment="1">
      <alignment horizontal="left"/>
    </xf>
    <xf numFmtId="49" fontId="4" fillId="11" borderId="12" xfId="0" applyNumberFormat="1" applyFont="1" applyFill="1" applyBorder="1" applyAlignment="1">
      <alignment horizontal="right"/>
    </xf>
    <xf numFmtId="49" fontId="3" fillId="11" borderId="12" xfId="0" applyNumberFormat="1" applyFont="1" applyFill="1" applyBorder="1" applyAlignment="1">
      <alignment horizontal="left"/>
    </xf>
    <xf numFmtId="49" fontId="4" fillId="11" borderId="14" xfId="0" applyNumberFormat="1" applyFont="1" applyFill="1" applyBorder="1" applyAlignment="1">
      <alignment horizontal="right"/>
    </xf>
    <xf numFmtId="49" fontId="3" fillId="11" borderId="14" xfId="0" applyNumberFormat="1" applyFont="1" applyFill="1" applyBorder="1" applyAlignment="1">
      <alignment horizontal="left"/>
    </xf>
    <xf numFmtId="49" fontId="4" fillId="11" borderId="16" xfId="0" applyNumberFormat="1" applyFont="1" applyFill="1" applyBorder="1" applyAlignment="1">
      <alignment horizontal="right"/>
    </xf>
    <xf numFmtId="49" fontId="4" fillId="11" borderId="0" xfId="0" applyNumberFormat="1" applyFont="1" applyFill="1"/>
    <xf numFmtId="0" fontId="2" fillId="11" borderId="1" xfId="0" applyFont="1" applyFill="1" applyBorder="1" applyAlignment="1">
      <alignment horizontal="center"/>
    </xf>
    <xf numFmtId="14" fontId="4" fillId="11" borderId="1" xfId="0" applyNumberFormat="1" applyFont="1" applyFill="1" applyBorder="1" applyAlignment="1">
      <alignment horizontal="left"/>
    </xf>
    <xf numFmtId="0" fontId="6" fillId="11" borderId="1" xfId="0" applyFont="1" applyFill="1" applyBorder="1" applyAlignment="1">
      <alignment horizontal="center"/>
    </xf>
    <xf numFmtId="14" fontId="7" fillId="11" borderId="1" xfId="0" applyNumberFormat="1" applyFont="1" applyFill="1" applyBorder="1" applyAlignment="1">
      <alignment horizontal="left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14" fontId="4" fillId="11" borderId="13" xfId="0" applyNumberFormat="1" applyFont="1" applyFill="1" applyBorder="1" applyAlignment="1">
      <alignment horizontal="left"/>
    </xf>
    <xf numFmtId="0" fontId="3" fillId="11" borderId="11" xfId="0" applyFont="1" applyFill="1" applyBorder="1" applyAlignment="1">
      <alignment horizontal="center"/>
    </xf>
    <xf numFmtId="14" fontId="4" fillId="11" borderId="11" xfId="0" applyNumberFormat="1" applyFont="1" applyFill="1" applyBorder="1" applyAlignment="1">
      <alignment horizontal="left"/>
    </xf>
    <xf numFmtId="14" fontId="4" fillId="11" borderId="3" xfId="0" applyNumberFormat="1" applyFont="1" applyFill="1" applyBorder="1" applyAlignment="1">
      <alignment horizontal="left"/>
    </xf>
    <xf numFmtId="14" fontId="4" fillId="11" borderId="4" xfId="0" applyNumberFormat="1" applyFont="1" applyFill="1" applyBorder="1" applyAlignment="1">
      <alignment horizontal="left"/>
    </xf>
    <xf numFmtId="0" fontId="6" fillId="11" borderId="3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14" fontId="4" fillId="11" borderId="15" xfId="0" applyNumberFormat="1" applyFont="1" applyFill="1" applyBorder="1" applyAlignment="1">
      <alignment horizontal="left"/>
    </xf>
    <xf numFmtId="0" fontId="3" fillId="11" borderId="13" xfId="0" applyFont="1" applyFill="1" applyBorder="1" applyAlignment="1">
      <alignment horizontal="center"/>
    </xf>
    <xf numFmtId="14" fontId="4" fillId="11" borderId="16" xfId="0" applyNumberFormat="1" applyFont="1" applyFill="1" applyBorder="1" applyAlignment="1">
      <alignment horizontal="left"/>
    </xf>
    <xf numFmtId="14" fontId="4" fillId="11" borderId="12" xfId="0" applyNumberFormat="1" applyFont="1" applyFill="1" applyBorder="1" applyAlignment="1">
      <alignment horizontal="left"/>
    </xf>
    <xf numFmtId="0" fontId="3" fillId="11" borderId="16" xfId="0" applyFont="1" applyFill="1" applyBorder="1" applyAlignment="1">
      <alignment horizontal="center"/>
    </xf>
    <xf numFmtId="14" fontId="4" fillId="11" borderId="14" xfId="0" applyNumberFormat="1" applyFont="1" applyFill="1" applyBorder="1" applyAlignment="1">
      <alignment horizontal="left"/>
    </xf>
    <xf numFmtId="0" fontId="4" fillId="11" borderId="0" xfId="0" applyFont="1" applyFill="1"/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9" fontId="3" fillId="0" borderId="13" xfId="0" applyNumberFormat="1" applyFont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3" fillId="0" borderId="11" xfId="0" applyFont="1" applyFill="1" applyBorder="1" applyAlignment="1"/>
    <xf numFmtId="0" fontId="3" fillId="0" borderId="4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43" fontId="4" fillId="3" borderId="1" xfId="0" applyNumberFormat="1" applyFont="1" applyFill="1" applyBorder="1"/>
    <xf numFmtId="14" fontId="4" fillId="3" borderId="1" xfId="0" applyNumberFormat="1" applyFont="1" applyFill="1" applyBorder="1" applyAlignment="1">
      <alignment horizontal="left" vertical="top"/>
    </xf>
    <xf numFmtId="0" fontId="4" fillId="12" borderId="1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49" fontId="9" fillId="0" borderId="4" xfId="0" applyNumberFormat="1" applyFont="1" applyBorder="1" applyAlignment="1">
      <alignment horizontal="left"/>
    </xf>
    <xf numFmtId="49" fontId="9" fillId="0" borderId="4" xfId="0" applyNumberFormat="1" applyFont="1" applyBorder="1"/>
    <xf numFmtId="0" fontId="9" fillId="10" borderId="3" xfId="0" applyFont="1" applyFill="1" applyBorder="1" applyAlignment="1">
      <alignment horizontal="center"/>
    </xf>
    <xf numFmtId="49" fontId="9" fillId="0" borderId="3" xfId="0" applyNumberFormat="1" applyFont="1" applyBorder="1" applyAlignment="1">
      <alignment horizontal="left"/>
    </xf>
    <xf numFmtId="49" fontId="9" fillId="0" borderId="3" xfId="0" applyNumberFormat="1" applyFont="1" applyBorder="1"/>
    <xf numFmtId="0" fontId="9" fillId="10" borderId="11" xfId="0" applyFont="1" applyFill="1" applyBorder="1" applyAlignment="1">
      <alignment horizontal="center"/>
    </xf>
    <xf numFmtId="49" fontId="9" fillId="0" borderId="11" xfId="0" applyNumberFormat="1" applyFont="1" applyBorder="1" applyAlignment="1">
      <alignment horizontal="left"/>
    </xf>
    <xf numFmtId="49" fontId="9" fillId="0" borderId="11" xfId="0" applyNumberFormat="1" applyFont="1" applyBorder="1"/>
    <xf numFmtId="164" fontId="4" fillId="4" borderId="18" xfId="1" applyFont="1" applyFill="1" applyBorder="1"/>
    <xf numFmtId="0" fontId="4" fillId="4" borderId="4" xfId="0" applyFont="1" applyFill="1" applyBorder="1"/>
    <xf numFmtId="164" fontId="4" fillId="4" borderId="4" xfId="1" applyFont="1" applyFill="1" applyBorder="1"/>
    <xf numFmtId="164" fontId="4" fillId="4" borderId="4" xfId="1" applyNumberFormat="1" applyFont="1" applyFill="1" applyBorder="1" applyAlignment="1">
      <alignment horizontal="center" vertical="top"/>
    </xf>
    <xf numFmtId="165" fontId="4" fillId="4" borderId="4" xfId="1" applyNumberFormat="1" applyFont="1" applyFill="1" applyBorder="1" applyAlignment="1">
      <alignment horizontal="center"/>
    </xf>
    <xf numFmtId="164" fontId="4" fillId="4" borderId="4" xfId="1" applyFont="1" applyFill="1" applyBorder="1" applyAlignment="1">
      <alignment horizontal="center"/>
    </xf>
    <xf numFmtId="165" fontId="4" fillId="4" borderId="4" xfId="0" applyNumberFormat="1" applyFont="1" applyFill="1" applyBorder="1"/>
    <xf numFmtId="164" fontId="4" fillId="4" borderId="17" xfId="1" applyFont="1" applyFill="1" applyBorder="1"/>
    <xf numFmtId="0" fontId="4" fillId="4" borderId="3" xfId="0" applyFont="1" applyFill="1" applyBorder="1"/>
    <xf numFmtId="164" fontId="4" fillId="4" borderId="3" xfId="1" applyFont="1" applyFill="1" applyBorder="1"/>
    <xf numFmtId="164" fontId="4" fillId="4" borderId="3" xfId="1" applyNumberFormat="1" applyFont="1" applyFill="1" applyBorder="1" applyAlignment="1">
      <alignment horizontal="center" vertical="top"/>
    </xf>
    <xf numFmtId="165" fontId="4" fillId="4" borderId="3" xfId="1" applyNumberFormat="1" applyFont="1" applyFill="1" applyBorder="1" applyAlignment="1">
      <alignment horizontal="center"/>
    </xf>
    <xf numFmtId="164" fontId="4" fillId="4" borderId="3" xfId="1" applyFont="1" applyFill="1" applyBorder="1" applyAlignment="1">
      <alignment horizontal="center"/>
    </xf>
    <xf numFmtId="165" fontId="4" fillId="4" borderId="3" xfId="0" applyNumberFormat="1" applyFont="1" applyFill="1" applyBorder="1"/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14" fontId="4" fillId="0" borderId="16" xfId="0" applyNumberFormat="1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9" fillId="2" borderId="6" xfId="0" applyFont="1" applyFill="1" applyBorder="1"/>
    <xf numFmtId="0" fontId="4" fillId="12" borderId="1" xfId="0" applyFont="1" applyFill="1" applyBorder="1" applyAlignment="1">
      <alignment horizontal="center"/>
    </xf>
    <xf numFmtId="164" fontId="7" fillId="3" borderId="13" xfId="1" applyFont="1" applyFill="1" applyBorder="1"/>
    <xf numFmtId="164" fontId="7" fillId="8" borderId="13" xfId="1" applyFont="1" applyFill="1" applyBorder="1" applyAlignment="1">
      <alignment horizontal="center"/>
    </xf>
    <xf numFmtId="165" fontId="7" fillId="8" borderId="13" xfId="1" applyNumberFormat="1" applyFont="1" applyFill="1" applyBorder="1" applyAlignment="1">
      <alignment horizontal="center"/>
    </xf>
    <xf numFmtId="164" fontId="7" fillId="7" borderId="13" xfId="1" applyFont="1" applyFill="1" applyBorder="1" applyAlignment="1">
      <alignment horizontal="center"/>
    </xf>
    <xf numFmtId="165" fontId="7" fillId="7" borderId="13" xfId="0" applyNumberFormat="1" applyFont="1" applyFill="1" applyBorder="1"/>
    <xf numFmtId="0" fontId="7" fillId="0" borderId="3" xfId="0" applyFont="1" applyBorder="1"/>
    <xf numFmtId="0" fontId="7" fillId="0" borderId="3" xfId="0" applyFont="1" applyBorder="1" applyAlignment="1">
      <alignment horizontal="left" vertical="top"/>
    </xf>
    <xf numFmtId="164" fontId="7" fillId="3" borderId="18" xfId="1" applyFont="1" applyFill="1" applyBorder="1"/>
    <xf numFmtId="0" fontId="7" fillId="0" borderId="4" xfId="0" applyFont="1" applyBorder="1"/>
    <xf numFmtId="0" fontId="7" fillId="0" borderId="4" xfId="0" applyFont="1" applyBorder="1" applyAlignment="1">
      <alignment horizontal="left" vertical="top"/>
    </xf>
    <xf numFmtId="14" fontId="4" fillId="0" borderId="11" xfId="0" applyNumberFormat="1" applyFont="1" applyBorder="1" applyAlignment="1">
      <alignment horizontal="left" vertical="center"/>
    </xf>
    <xf numFmtId="164" fontId="7" fillId="0" borderId="15" xfId="0" applyNumberFormat="1" applyFont="1" applyBorder="1"/>
    <xf numFmtId="9" fontId="6" fillId="0" borderId="15" xfId="0" applyNumberFormat="1" applyFont="1" applyBorder="1" applyAlignment="1">
      <alignment horizontal="left"/>
    </xf>
    <xf numFmtId="0" fontId="4" fillId="11" borderId="13" xfId="0" applyFont="1" applyFill="1" applyBorder="1" applyAlignment="1"/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14" fontId="4" fillId="3" borderId="11" xfId="0" applyNumberFormat="1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49" fontId="3" fillId="16" borderId="3" xfId="0" applyNumberFormat="1" applyFont="1" applyFill="1" applyBorder="1" applyAlignment="1">
      <alignment horizontal="right"/>
    </xf>
    <xf numFmtId="49" fontId="4" fillId="16" borderId="3" xfId="0" applyNumberFormat="1" applyFont="1" applyFill="1" applyBorder="1" applyAlignment="1">
      <alignment horizontal="left"/>
    </xf>
    <xf numFmtId="14" fontId="4" fillId="16" borderId="3" xfId="0" applyNumberFormat="1" applyFont="1" applyFill="1" applyBorder="1" applyAlignment="1">
      <alignment horizontal="left"/>
    </xf>
    <xf numFmtId="164" fontId="15" fillId="8" borderId="3" xfId="1" applyFont="1" applyFill="1" applyBorder="1" applyAlignment="1">
      <alignment horizontal="center"/>
    </xf>
    <xf numFmtId="165" fontId="15" fillId="8" borderId="3" xfId="1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43" fontId="7" fillId="0" borderId="15" xfId="0" applyNumberFormat="1" applyFont="1" applyBorder="1" applyAlignment="1"/>
    <xf numFmtId="0" fontId="4" fillId="12" borderId="1" xfId="0" applyFont="1" applyFill="1" applyBorder="1" applyAlignment="1">
      <alignment horizontal="center"/>
    </xf>
    <xf numFmtId="14" fontId="4" fillId="16" borderId="11" xfId="0" applyNumberFormat="1" applyFont="1" applyFill="1" applyBorder="1" applyAlignment="1">
      <alignment horizontal="left"/>
    </xf>
    <xf numFmtId="0" fontId="5" fillId="16" borderId="11" xfId="0" applyFont="1" applyFill="1" applyBorder="1" applyAlignment="1">
      <alignment horizontal="left"/>
    </xf>
    <xf numFmtId="14" fontId="4" fillId="16" borderId="13" xfId="0" applyNumberFormat="1" applyFont="1" applyFill="1" applyBorder="1" applyAlignment="1">
      <alignment horizontal="left"/>
    </xf>
    <xf numFmtId="0" fontId="5" fillId="16" borderId="13" xfId="0" applyFont="1" applyFill="1" applyBorder="1" applyAlignment="1">
      <alignment horizontal="left"/>
    </xf>
    <xf numFmtId="49" fontId="3" fillId="16" borderId="11" xfId="0" applyNumberFormat="1" applyFont="1" applyFill="1" applyBorder="1" applyAlignment="1">
      <alignment horizontal="right"/>
    </xf>
    <xf numFmtId="49" fontId="4" fillId="16" borderId="11" xfId="0" applyNumberFormat="1" applyFont="1" applyFill="1" applyBorder="1" applyAlignment="1">
      <alignment horizontal="left"/>
    </xf>
    <xf numFmtId="164" fontId="15" fillId="8" borderId="11" xfId="1" applyFont="1" applyFill="1" applyBorder="1" applyAlignment="1">
      <alignment horizontal="center"/>
    </xf>
    <xf numFmtId="165" fontId="15" fillId="8" borderId="11" xfId="1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6" fontId="2" fillId="13" borderId="1" xfId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49" fontId="7" fillId="12" borderId="3" xfId="0" applyNumberFormat="1" applyFont="1" applyFill="1" applyBorder="1" applyAlignment="1">
      <alignment horizontal="center"/>
    </xf>
    <xf numFmtId="49" fontId="7" fillId="11" borderId="3" xfId="0" applyNumberFormat="1" applyFont="1" applyFill="1" applyBorder="1" applyAlignment="1">
      <alignment horizontal="left"/>
    </xf>
    <xf numFmtId="49" fontId="7" fillId="11" borderId="3" xfId="0" applyNumberFormat="1" applyFont="1" applyFill="1" applyBorder="1" applyAlignment="1">
      <alignment horizontal="center"/>
    </xf>
    <xf numFmtId="49" fontId="7" fillId="13" borderId="3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0" fontId="16" fillId="2" borderId="1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6" fillId="11" borderId="1" xfId="0" applyNumberFormat="1" applyFont="1" applyFill="1" applyBorder="1" applyAlignment="1">
      <alignment horizontal="center"/>
    </xf>
    <xf numFmtId="49" fontId="7" fillId="11" borderId="1" xfId="0" applyNumberFormat="1" applyFont="1" applyFill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3" borderId="5" xfId="1" applyNumberFormat="1" applyFont="1" applyFill="1" applyBorder="1"/>
    <xf numFmtId="49" fontId="7" fillId="6" borderId="1" xfId="0" applyNumberFormat="1" applyFont="1" applyFill="1" applyBorder="1"/>
    <xf numFmtId="49" fontId="7" fillId="6" borderId="1" xfId="1" applyNumberFormat="1" applyFont="1" applyFill="1" applyBorder="1"/>
    <xf numFmtId="49" fontId="7" fillId="6" borderId="1" xfId="1" applyNumberFormat="1" applyFont="1" applyFill="1" applyBorder="1" applyAlignment="1">
      <alignment horizontal="center" vertical="top"/>
    </xf>
    <xf numFmtId="49" fontId="7" fillId="6" borderId="1" xfId="1" applyNumberFormat="1" applyFont="1" applyFill="1" applyBorder="1" applyAlignment="1">
      <alignment horizontal="center"/>
    </xf>
    <xf numFmtId="49" fontId="7" fillId="8" borderId="1" xfId="1" applyNumberFormat="1" applyFont="1" applyFill="1" applyBorder="1" applyAlignment="1">
      <alignment horizontal="center"/>
    </xf>
    <xf numFmtId="49" fontId="7" fillId="7" borderId="1" xfId="1" applyNumberFormat="1" applyFont="1" applyFill="1" applyBorder="1" applyAlignment="1">
      <alignment horizontal="center"/>
    </xf>
    <xf numFmtId="49" fontId="7" fillId="7" borderId="1" xfId="0" applyNumberFormat="1" applyFont="1" applyFill="1" applyBorder="1"/>
    <xf numFmtId="49" fontId="7" fillId="0" borderId="1" xfId="1" applyNumberFormat="1" applyFont="1" applyBorder="1" applyAlignment="1">
      <alignment horizontal="right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center"/>
    </xf>
    <xf numFmtId="49" fontId="7" fillId="12" borderId="1" xfId="0" applyNumberFormat="1" applyFont="1" applyFill="1" applyBorder="1" applyAlignment="1">
      <alignment horizontal="center"/>
    </xf>
    <xf numFmtId="49" fontId="7" fillId="11" borderId="5" xfId="0" applyNumberFormat="1" applyFont="1" applyFill="1" applyBorder="1" applyAlignment="1">
      <alignment horizontal="left"/>
    </xf>
    <xf numFmtId="49" fontId="7" fillId="11" borderId="5" xfId="0" applyNumberFormat="1" applyFont="1" applyFill="1" applyBorder="1" applyAlignment="1">
      <alignment horizontal="center"/>
    </xf>
    <xf numFmtId="49" fontId="7" fillId="11" borderId="1" xfId="0" applyNumberFormat="1" applyFont="1" applyFill="1" applyBorder="1" applyAlignment="1">
      <alignment horizontal="center"/>
    </xf>
    <xf numFmtId="49" fontId="7" fillId="13" borderId="6" xfId="0" applyNumberFormat="1" applyFont="1" applyFill="1" applyBorder="1" applyAlignment="1">
      <alignment horizontal="left"/>
    </xf>
    <xf numFmtId="49" fontId="7" fillId="12" borderId="1" xfId="0" applyNumberFormat="1" applyFont="1" applyFill="1" applyBorder="1" applyAlignment="1">
      <alignment horizontal="left"/>
    </xf>
    <xf numFmtId="49" fontId="7" fillId="0" borderId="0" xfId="0" applyNumberFormat="1" applyFont="1"/>
    <xf numFmtId="0" fontId="9" fillId="4" borderId="6" xfId="0" applyFont="1" applyFill="1" applyBorder="1"/>
    <xf numFmtId="0" fontId="4" fillId="12" borderId="1" xfId="0" applyFont="1" applyFill="1" applyBorder="1" applyAlignment="1">
      <alignment horizontal="center"/>
    </xf>
    <xf numFmtId="164" fontId="4" fillId="4" borderId="11" xfId="1" applyFont="1" applyFill="1" applyBorder="1" applyAlignment="1">
      <alignment horizontal="center"/>
    </xf>
    <xf numFmtId="165" fontId="4" fillId="4" borderId="11" xfId="1" applyNumberFormat="1" applyFont="1" applyFill="1" applyBorder="1" applyAlignment="1">
      <alignment horizontal="center"/>
    </xf>
    <xf numFmtId="165" fontId="4" fillId="4" borderId="11" xfId="0" applyNumberFormat="1" applyFont="1" applyFill="1" applyBorder="1"/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49" fontId="16" fillId="11" borderId="4" xfId="0" applyNumberFormat="1" applyFont="1" applyFill="1" applyBorder="1" applyAlignment="1">
      <alignment horizontal="center"/>
    </xf>
    <xf numFmtId="49" fontId="3" fillId="11" borderId="3" xfId="0" applyNumberFormat="1" applyFont="1" applyFill="1" applyBorder="1" applyAlignment="1">
      <alignment horizontal="center"/>
    </xf>
    <xf numFmtId="14" fontId="17" fillId="11" borderId="4" xfId="0" applyNumberFormat="1" applyFont="1" applyFill="1" applyBorder="1" applyAlignment="1">
      <alignment horizontal="left"/>
    </xf>
    <xf numFmtId="49" fontId="16" fillId="11" borderId="11" xfId="0" applyNumberFormat="1" applyFont="1" applyFill="1" applyBorder="1" applyAlignment="1">
      <alignment horizontal="center"/>
    </xf>
    <xf numFmtId="14" fontId="17" fillId="11" borderId="11" xfId="0" applyNumberFormat="1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/>
    </xf>
    <xf numFmtId="164" fontId="2" fillId="6" borderId="1" xfId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right" wrapText="1"/>
    </xf>
    <xf numFmtId="49" fontId="8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wrapText="1"/>
    </xf>
    <xf numFmtId="49" fontId="7" fillId="0" borderId="6" xfId="0" applyNumberFormat="1" applyFont="1" applyBorder="1" applyAlignment="1">
      <alignment wrapText="1"/>
    </xf>
    <xf numFmtId="49" fontId="7" fillId="0" borderId="1" xfId="1" applyNumberFormat="1" applyFont="1" applyBorder="1" applyAlignment="1">
      <alignment wrapText="1"/>
    </xf>
    <xf numFmtId="49" fontId="7" fillId="9" borderId="5" xfId="1" applyNumberFormat="1" applyFont="1" applyFill="1" applyBorder="1" applyAlignment="1">
      <alignment wrapText="1"/>
    </xf>
    <xf numFmtId="49" fontId="7" fillId="6" borderId="1" xfId="0" applyNumberFormat="1" applyFont="1" applyFill="1" applyBorder="1" applyAlignment="1">
      <alignment wrapText="1"/>
    </xf>
    <xf numFmtId="49" fontId="7" fillId="6" borderId="1" xfId="1" applyNumberFormat="1" applyFont="1" applyFill="1" applyBorder="1" applyAlignment="1">
      <alignment wrapText="1"/>
    </xf>
    <xf numFmtId="49" fontId="7" fillId="6" borderId="1" xfId="1" applyNumberFormat="1" applyFont="1" applyFill="1" applyBorder="1" applyAlignment="1">
      <alignment horizontal="center" vertical="top" wrapText="1"/>
    </xf>
    <xf numFmtId="49" fontId="7" fillId="8" borderId="1" xfId="1" applyNumberFormat="1" applyFont="1" applyFill="1" applyBorder="1" applyAlignment="1">
      <alignment wrapText="1"/>
    </xf>
    <xf numFmtId="49" fontId="7" fillId="7" borderId="1" xfId="1" applyNumberFormat="1" applyFont="1" applyFill="1" applyBorder="1" applyAlignment="1">
      <alignment wrapText="1"/>
    </xf>
    <xf numFmtId="49" fontId="7" fillId="7" borderId="1" xfId="0" applyNumberFormat="1" applyFont="1" applyFill="1" applyBorder="1" applyAlignment="1">
      <alignment wrapText="1"/>
    </xf>
    <xf numFmtId="49" fontId="7" fillId="11" borderId="1" xfId="0" applyNumberFormat="1" applyFont="1" applyFill="1" applyBorder="1" applyAlignment="1">
      <alignment horizontal="left" wrapText="1"/>
    </xf>
    <xf numFmtId="49" fontId="7" fillId="0" borderId="1" xfId="1" applyNumberFormat="1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12" borderId="1" xfId="0" applyNumberFormat="1" applyFont="1" applyFill="1" applyBorder="1" applyAlignment="1">
      <alignment horizontal="center" wrapText="1"/>
    </xf>
    <xf numFmtId="49" fontId="7" fillId="11" borderId="5" xfId="0" applyNumberFormat="1" applyFont="1" applyFill="1" applyBorder="1" applyAlignment="1">
      <alignment horizontal="left" wrapText="1"/>
    </xf>
    <xf numFmtId="49" fontId="7" fillId="11" borderId="5" xfId="0" applyNumberFormat="1" applyFont="1" applyFill="1" applyBorder="1" applyAlignment="1">
      <alignment horizontal="center" wrapText="1"/>
    </xf>
    <xf numFmtId="49" fontId="7" fillId="11" borderId="1" xfId="0" applyNumberFormat="1" applyFont="1" applyFill="1" applyBorder="1" applyAlignment="1">
      <alignment horizontal="center" wrapText="1"/>
    </xf>
    <xf numFmtId="49" fontId="7" fillId="13" borderId="6" xfId="0" applyNumberFormat="1" applyFont="1" applyFill="1" applyBorder="1" applyAlignment="1">
      <alignment horizontal="left" wrapText="1"/>
    </xf>
    <xf numFmtId="49" fontId="7" fillId="13" borderId="1" xfId="0" applyNumberFormat="1" applyFont="1" applyFill="1" applyBorder="1" applyAlignment="1">
      <alignment horizontal="left" wrapText="1"/>
    </xf>
    <xf numFmtId="49" fontId="7" fillId="3" borderId="1" xfId="0" applyNumberFormat="1" applyFont="1" applyFill="1" applyBorder="1" applyAlignment="1">
      <alignment horizontal="left" wrapText="1"/>
    </xf>
    <xf numFmtId="49" fontId="7" fillId="12" borderId="1" xfId="0" applyNumberFormat="1" applyFont="1" applyFill="1" applyBorder="1" applyAlignment="1">
      <alignment wrapText="1"/>
    </xf>
    <xf numFmtId="49" fontId="7" fillId="0" borderId="0" xfId="0" applyNumberFormat="1" applyFont="1" applyAlignment="1">
      <alignment wrapText="1"/>
    </xf>
    <xf numFmtId="0" fontId="4" fillId="12" borderId="1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4" fontId="3" fillId="0" borderId="1" xfId="1" applyFont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3" fillId="11" borderId="15" xfId="0" applyFont="1" applyFill="1" applyBorder="1" applyAlignment="1">
      <alignment horizontal="center"/>
    </xf>
    <xf numFmtId="49" fontId="7" fillId="11" borderId="15" xfId="0" applyNumberFormat="1" applyFont="1" applyFill="1" applyBorder="1" applyAlignment="1">
      <alignment horizontal="left"/>
    </xf>
    <xf numFmtId="49" fontId="7" fillId="0" borderId="15" xfId="1" applyNumberFormat="1" applyFont="1" applyBorder="1" applyAlignment="1">
      <alignment horizontal="right"/>
    </xf>
    <xf numFmtId="49" fontId="7" fillId="0" borderId="15" xfId="0" applyNumberFormat="1" applyFont="1" applyBorder="1"/>
    <xf numFmtId="49" fontId="7" fillId="0" borderId="15" xfId="0" applyNumberFormat="1" applyFont="1" applyBorder="1" applyAlignment="1">
      <alignment horizontal="left" vertical="top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9" fillId="10" borderId="1" xfId="0" applyNumberFormat="1" applyFont="1" applyFill="1" applyBorder="1" applyAlignment="1"/>
    <xf numFmtId="165" fontId="13" fillId="6" borderId="11" xfId="1" applyNumberFormat="1" applyFont="1" applyFill="1" applyBorder="1" applyAlignment="1">
      <alignment horizontal="center"/>
    </xf>
    <xf numFmtId="164" fontId="2" fillId="17" borderId="1" xfId="1" applyFont="1" applyFill="1" applyBorder="1" applyAlignment="1">
      <alignment horizontal="center" vertical="center"/>
    </xf>
    <xf numFmtId="164" fontId="4" fillId="17" borderId="1" xfId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10" fillId="19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right" vertical="top"/>
    </xf>
    <xf numFmtId="49" fontId="4" fillId="0" borderId="1" xfId="0" applyNumberFormat="1" applyFont="1" applyFill="1" applyBorder="1" applyAlignment="1">
      <alignment horizontal="left" vertical="top"/>
    </xf>
    <xf numFmtId="14" fontId="4" fillId="0" borderId="1" xfId="0" applyNumberFormat="1" applyFont="1" applyFill="1" applyBorder="1" applyAlignment="1">
      <alignment horizontal="left" vertical="top" wrapText="1"/>
    </xf>
    <xf numFmtId="49" fontId="4" fillId="11" borderId="1" xfId="0" applyNumberFormat="1" applyFont="1" applyFill="1" applyBorder="1" applyAlignment="1">
      <alignment horizontal="right" vertical="top"/>
    </xf>
    <xf numFmtId="49" fontId="3" fillId="11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3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164" fontId="4" fillId="0" borderId="1" xfId="1" applyFont="1" applyBorder="1" applyAlignment="1">
      <alignment horizontal="center" vertical="top"/>
    </xf>
    <xf numFmtId="164" fontId="4" fillId="6" borderId="1" xfId="1" applyFont="1" applyFill="1" applyBorder="1" applyAlignment="1">
      <alignment vertical="top"/>
    </xf>
    <xf numFmtId="164" fontId="4" fillId="17" borderId="1" xfId="1" applyFont="1" applyFill="1" applyBorder="1" applyAlignment="1">
      <alignment horizontal="center" vertical="top"/>
    </xf>
    <xf numFmtId="164" fontId="4" fillId="7" borderId="1" xfId="1" applyFont="1" applyFill="1" applyBorder="1" applyAlignment="1">
      <alignment horizontal="center" vertical="top"/>
    </xf>
    <xf numFmtId="0" fontId="10" fillId="19" borderId="1" xfId="0" applyFont="1" applyFill="1" applyBorder="1" applyAlignment="1">
      <alignment horizontal="center" vertical="top"/>
    </xf>
    <xf numFmtId="164" fontId="4" fillId="0" borderId="1" xfId="1" applyFont="1" applyBorder="1" applyAlignment="1">
      <alignment horizontal="right" vertical="top"/>
    </xf>
    <xf numFmtId="164" fontId="4" fillId="0" borderId="1" xfId="1" applyFont="1" applyBorder="1" applyAlignment="1">
      <alignment vertical="top"/>
    </xf>
    <xf numFmtId="43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  <xf numFmtId="0" fontId="4" fillId="11" borderId="5" xfId="0" applyFont="1" applyFill="1" applyBorder="1" applyAlignment="1">
      <alignment horizontal="left" vertical="top"/>
    </xf>
    <xf numFmtId="0" fontId="4" fillId="11" borderId="5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13" borderId="6" xfId="0" applyFont="1" applyFill="1" applyBorder="1" applyAlignment="1">
      <alignment horizontal="left" vertical="top"/>
    </xf>
    <xf numFmtId="0" fontId="4" fillId="13" borderId="1" xfId="0" applyFont="1" applyFill="1" applyBorder="1" applyAlignment="1">
      <alignment horizontal="left" vertical="top"/>
    </xf>
    <xf numFmtId="0" fontId="4" fillId="0" borderId="0" xfId="0" applyFont="1" applyAlignment="1">
      <alignment vertical="top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left" vertical="top"/>
    </xf>
    <xf numFmtId="0" fontId="3" fillId="11" borderId="3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4" fontId="2" fillId="17" borderId="1" xfId="1" applyNumberFormat="1" applyFont="1" applyFill="1" applyBorder="1" applyAlignment="1">
      <alignment horizontal="center" vertical="center"/>
    </xf>
    <xf numFmtId="164" fontId="4" fillId="17" borderId="1" xfId="1" applyNumberFormat="1" applyFont="1" applyFill="1" applyBorder="1" applyAlignment="1">
      <alignment horizontal="center"/>
    </xf>
    <xf numFmtId="164" fontId="4" fillId="17" borderId="1" xfId="1" applyNumberFormat="1" applyFont="1" applyFill="1" applyBorder="1" applyAlignment="1">
      <alignment horizontal="center" vertical="top"/>
    </xf>
    <xf numFmtId="164" fontId="4" fillId="3" borderId="1" xfId="1" applyNumberFormat="1" applyFont="1" applyFill="1" applyBorder="1" applyAlignment="1">
      <alignment horizontal="center"/>
    </xf>
    <xf numFmtId="164" fontId="4" fillId="0" borderId="0" xfId="0" applyNumberFormat="1" applyFont="1"/>
    <xf numFmtId="164" fontId="2" fillId="18" borderId="1" xfId="1" applyNumberFormat="1" applyFont="1" applyFill="1" applyBorder="1" applyAlignment="1">
      <alignment horizontal="center" vertical="center"/>
    </xf>
    <xf numFmtId="164" fontId="4" fillId="18" borderId="1" xfId="1" applyNumberFormat="1" applyFont="1" applyFill="1" applyBorder="1" applyAlignment="1">
      <alignment horizontal="center"/>
    </xf>
    <xf numFmtId="164" fontId="4" fillId="18" borderId="1" xfId="1" applyNumberFormat="1" applyFont="1" applyFill="1" applyBorder="1" applyAlignment="1">
      <alignment horizontal="center" vertical="top"/>
    </xf>
    <xf numFmtId="164" fontId="2" fillId="14" borderId="1" xfId="1" applyNumberFormat="1" applyFont="1" applyFill="1" applyBorder="1" applyAlignment="1">
      <alignment horizontal="center" vertical="center"/>
    </xf>
    <xf numFmtId="164" fontId="4" fillId="14" borderId="1" xfId="1" applyNumberFormat="1" applyFont="1" applyFill="1" applyBorder="1" applyAlignment="1">
      <alignment horizontal="center"/>
    </xf>
    <xf numFmtId="164" fontId="4" fillId="14" borderId="1" xfId="1" applyNumberFormat="1" applyFont="1" applyFill="1" applyBorder="1" applyAlignment="1">
      <alignment horizontal="center" vertical="top"/>
    </xf>
    <xf numFmtId="164" fontId="2" fillId="7" borderId="1" xfId="1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/>
    <xf numFmtId="164" fontId="4" fillId="7" borderId="1" xfId="0" applyNumberFormat="1" applyFont="1" applyFill="1" applyBorder="1" applyAlignment="1">
      <alignment vertical="top"/>
    </xf>
    <xf numFmtId="49" fontId="3" fillId="0" borderId="4" xfId="0" applyNumberFormat="1" applyFont="1" applyFill="1" applyBorder="1" applyAlignment="1">
      <alignment horizontal="right"/>
    </xf>
    <xf numFmtId="49" fontId="4" fillId="0" borderId="4" xfId="0" applyNumberFormat="1" applyFont="1" applyFill="1" applyBorder="1" applyAlignment="1">
      <alignment horizontal="left"/>
    </xf>
    <xf numFmtId="164" fontId="4" fillId="14" borderId="4" xfId="1" applyNumberFormat="1" applyFont="1" applyFill="1" applyBorder="1" applyAlignment="1">
      <alignment horizontal="center"/>
    </xf>
    <xf numFmtId="164" fontId="4" fillId="17" borderId="4" xfId="1" applyFont="1" applyFill="1" applyBorder="1" applyAlignment="1">
      <alignment horizontal="center"/>
    </xf>
    <xf numFmtId="164" fontId="4" fillId="17" borderId="4" xfId="1" applyNumberFormat="1" applyFont="1" applyFill="1" applyBorder="1" applyAlignment="1">
      <alignment horizontal="center"/>
    </xf>
    <xf numFmtId="164" fontId="4" fillId="7" borderId="4" xfId="0" applyNumberFormat="1" applyFont="1" applyFill="1" applyBorder="1"/>
    <xf numFmtId="0" fontId="10" fillId="19" borderId="4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left"/>
    </xf>
    <xf numFmtId="164" fontId="4" fillId="14" borderId="3" xfId="1" applyNumberFormat="1" applyFont="1" applyFill="1" applyBorder="1" applyAlignment="1">
      <alignment horizontal="center"/>
    </xf>
    <xf numFmtId="164" fontId="4" fillId="17" borderId="3" xfId="1" applyFont="1" applyFill="1" applyBorder="1" applyAlignment="1">
      <alignment horizontal="center"/>
    </xf>
    <xf numFmtId="164" fontId="4" fillId="17" borderId="3" xfId="1" applyNumberFormat="1" applyFont="1" applyFill="1" applyBorder="1" applyAlignment="1">
      <alignment horizontal="center"/>
    </xf>
    <xf numFmtId="164" fontId="4" fillId="7" borderId="3" xfId="0" applyNumberFormat="1" applyFont="1" applyFill="1" applyBorder="1"/>
    <xf numFmtId="0" fontId="10" fillId="19" borderId="3" xfId="0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vertical="center"/>
    </xf>
    <xf numFmtId="164" fontId="4" fillId="6" borderId="1" xfId="1" applyNumberFormat="1" applyFont="1" applyFill="1" applyBorder="1" applyAlignment="1">
      <alignment horizontal="center"/>
    </xf>
    <xf numFmtId="164" fontId="4" fillId="6" borderId="3" xfId="1" applyNumberFormat="1" applyFont="1" applyFill="1" applyBorder="1" applyAlignment="1">
      <alignment horizontal="center"/>
    </xf>
    <xf numFmtId="164" fontId="4" fillId="6" borderId="4" xfId="1" applyNumberFormat="1" applyFont="1" applyFill="1" applyBorder="1" applyAlignment="1">
      <alignment horizontal="center"/>
    </xf>
    <xf numFmtId="164" fontId="4" fillId="3" borderId="4" xfId="1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4" fontId="4" fillId="18" borderId="4" xfId="1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164" fontId="4" fillId="18" borderId="3" xfId="1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3" fillId="0" borderId="21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11" borderId="21" xfId="0" applyFont="1" applyFill="1" applyBorder="1" applyAlignment="1">
      <alignment horizontal="left"/>
    </xf>
    <xf numFmtId="0" fontId="4" fillId="0" borderId="22" xfId="0" applyFont="1" applyBorder="1" applyAlignment="1">
      <alignment horizontal="left"/>
    </xf>
    <xf numFmtId="164" fontId="4" fillId="0" borderId="21" xfId="1" applyFont="1" applyBorder="1" applyAlignment="1">
      <alignment horizontal="center"/>
    </xf>
    <xf numFmtId="164" fontId="4" fillId="3" borderId="21" xfId="1" applyFont="1" applyFill="1" applyBorder="1"/>
    <xf numFmtId="0" fontId="4" fillId="3" borderId="21" xfId="0" applyFont="1" applyFill="1" applyBorder="1"/>
    <xf numFmtId="164" fontId="4" fillId="3" borderId="21" xfId="1" applyNumberFormat="1" applyFont="1" applyFill="1" applyBorder="1" applyAlignment="1">
      <alignment horizontal="center" vertical="top"/>
    </xf>
    <xf numFmtId="164" fontId="4" fillId="3" borderId="21" xfId="1" applyNumberFormat="1" applyFont="1" applyFill="1" applyBorder="1" applyAlignment="1">
      <alignment horizontal="center"/>
    </xf>
    <xf numFmtId="164" fontId="4" fillId="3" borderId="21" xfId="1" applyFont="1" applyFill="1" applyBorder="1" applyAlignment="1">
      <alignment horizontal="center"/>
    </xf>
    <xf numFmtId="164" fontId="4" fillId="3" borderId="21" xfId="0" applyNumberFormat="1" applyFont="1" applyFill="1" applyBorder="1"/>
    <xf numFmtId="0" fontId="10" fillId="19" borderId="21" xfId="0" applyFont="1" applyFill="1" applyBorder="1" applyAlignment="1">
      <alignment horizontal="center"/>
    </xf>
    <xf numFmtId="164" fontId="4" fillId="0" borderId="21" xfId="1" applyFont="1" applyBorder="1" applyAlignment="1">
      <alignment horizontal="right"/>
    </xf>
    <xf numFmtId="164" fontId="4" fillId="0" borderId="21" xfId="1" applyFont="1" applyBorder="1"/>
    <xf numFmtId="43" fontId="4" fillId="0" borderId="21" xfId="0" applyNumberFormat="1" applyFont="1" applyBorder="1"/>
    <xf numFmtId="0" fontId="3" fillId="0" borderId="21" xfId="0" applyFont="1" applyBorder="1" applyAlignment="1">
      <alignment horizontal="center"/>
    </xf>
    <xf numFmtId="0" fontId="4" fillId="12" borderId="21" xfId="0" applyFont="1" applyFill="1" applyBorder="1" applyAlignment="1">
      <alignment horizontal="center"/>
    </xf>
    <xf numFmtId="0" fontId="4" fillId="11" borderId="23" xfId="0" applyFont="1" applyFill="1" applyBorder="1" applyAlignment="1">
      <alignment horizontal="left"/>
    </xf>
    <xf numFmtId="0" fontId="4" fillId="11" borderId="23" xfId="0" applyFont="1" applyFill="1" applyBorder="1" applyAlignment="1">
      <alignment horizontal="center"/>
    </xf>
    <xf numFmtId="0" fontId="4" fillId="11" borderId="21" xfId="0" applyFont="1" applyFill="1" applyBorder="1" applyAlignment="1">
      <alignment horizontal="center"/>
    </xf>
    <xf numFmtId="0" fontId="4" fillId="12" borderId="21" xfId="0" applyFont="1" applyFill="1" applyBorder="1" applyAlignment="1">
      <alignment horizontal="left"/>
    </xf>
    <xf numFmtId="49" fontId="3" fillId="0" borderId="11" xfId="0" applyNumberFormat="1" applyFont="1" applyFill="1" applyBorder="1" applyAlignment="1">
      <alignment horizontal="right"/>
    </xf>
    <xf numFmtId="49" fontId="4" fillId="0" borderId="11" xfId="0" applyNumberFormat="1" applyFont="1" applyFill="1" applyBorder="1" applyAlignment="1">
      <alignment horizontal="left"/>
    </xf>
    <xf numFmtId="164" fontId="4" fillId="6" borderId="11" xfId="1" applyNumberFormat="1" applyFont="1" applyFill="1" applyBorder="1" applyAlignment="1">
      <alignment horizontal="center"/>
    </xf>
    <xf numFmtId="164" fontId="4" fillId="14" borderId="11" xfId="1" applyNumberFormat="1" applyFont="1" applyFill="1" applyBorder="1" applyAlignment="1">
      <alignment horizontal="center"/>
    </xf>
    <xf numFmtId="164" fontId="4" fillId="17" borderId="11" xfId="1" applyFont="1" applyFill="1" applyBorder="1" applyAlignment="1">
      <alignment horizontal="center"/>
    </xf>
    <xf numFmtId="164" fontId="4" fillId="17" borderId="11" xfId="1" applyNumberFormat="1" applyFont="1" applyFill="1" applyBorder="1" applyAlignment="1">
      <alignment horizontal="center"/>
    </xf>
    <xf numFmtId="164" fontId="4" fillId="3" borderId="11" xfId="1" applyNumberFormat="1" applyFont="1" applyFill="1" applyBorder="1" applyAlignment="1">
      <alignment horizontal="center"/>
    </xf>
    <xf numFmtId="164" fontId="4" fillId="7" borderId="11" xfId="0" applyNumberFormat="1" applyFont="1" applyFill="1" applyBorder="1"/>
    <xf numFmtId="0" fontId="10" fillId="19" borderId="11" xfId="0" applyFont="1" applyFill="1" applyBorder="1" applyAlignment="1">
      <alignment horizontal="center"/>
    </xf>
    <xf numFmtId="164" fontId="4" fillId="3" borderId="23" xfId="1" applyFont="1" applyFill="1" applyBorder="1"/>
    <xf numFmtId="14" fontId="4" fillId="0" borderId="21" xfId="0" applyNumberFormat="1" applyFont="1" applyBorder="1" applyAlignment="1">
      <alignment horizontal="left" vertical="top"/>
    </xf>
    <xf numFmtId="0" fontId="4" fillId="4" borderId="1" xfId="0" applyFont="1" applyFill="1" applyBorder="1"/>
    <xf numFmtId="164" fontId="4" fillId="3" borderId="3" xfId="1" applyNumberFormat="1" applyFont="1" applyFill="1" applyBorder="1" applyAlignment="1">
      <alignment horizontal="center"/>
    </xf>
    <xf numFmtId="164" fontId="4" fillId="3" borderId="4" xfId="0" applyNumberFormat="1" applyFont="1" applyFill="1" applyBorder="1"/>
    <xf numFmtId="0" fontId="4" fillId="12" borderId="1" xfId="0" applyFont="1" applyFill="1" applyBorder="1" applyAlignment="1">
      <alignment horizontal="center"/>
    </xf>
    <xf numFmtId="9" fontId="3" fillId="0" borderId="3" xfId="0" applyNumberFormat="1" applyFont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164" fontId="4" fillId="18" borderId="11" xfId="1" applyNumberFormat="1" applyFont="1" applyFill="1" applyBorder="1" applyAlignment="1">
      <alignment horizontal="center"/>
    </xf>
    <xf numFmtId="164" fontId="4" fillId="3" borderId="3" xfId="0" applyNumberFormat="1" applyFont="1" applyFill="1" applyBorder="1"/>
    <xf numFmtId="0" fontId="4" fillId="12" borderId="1" xfId="0" applyFont="1" applyFill="1" applyBorder="1" applyAlignment="1">
      <alignment horizontal="center"/>
    </xf>
    <xf numFmtId="164" fontId="4" fillId="3" borderId="11" xfId="0" applyNumberFormat="1" applyFont="1" applyFill="1" applyBorder="1"/>
    <xf numFmtId="0" fontId="4" fillId="12" borderId="1" xfId="0" applyFont="1" applyFill="1" applyBorder="1" applyAlignment="1">
      <alignment horizontal="center"/>
    </xf>
    <xf numFmtId="0" fontId="10" fillId="19" borderId="13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14" fontId="4" fillId="0" borderId="15" xfId="0" applyNumberFormat="1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43" fontId="7" fillId="0" borderId="3" xfId="0" applyNumberFormat="1" applyFont="1" applyBorder="1" applyAlignment="1"/>
    <xf numFmtId="0" fontId="4" fillId="12" borderId="1" xfId="0" applyFont="1" applyFill="1" applyBorder="1" applyAlignment="1">
      <alignment horizontal="center"/>
    </xf>
    <xf numFmtId="164" fontId="7" fillId="3" borderId="1" xfId="1" applyNumberFormat="1" applyFont="1" applyFill="1" applyBorder="1" applyAlignment="1">
      <alignment horizontal="center"/>
    </xf>
    <xf numFmtId="164" fontId="7" fillId="3" borderId="1" xfId="0" applyNumberFormat="1" applyFont="1" applyFill="1" applyBorder="1"/>
    <xf numFmtId="0" fontId="19" fillId="19" borderId="1" xfId="0" applyFont="1" applyFill="1" applyBorder="1" applyAlignment="1">
      <alignment horizontal="center"/>
    </xf>
    <xf numFmtId="0" fontId="4" fillId="4" borderId="11" xfId="0" applyFont="1" applyFill="1" applyBorder="1"/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right" vertical="top"/>
    </xf>
    <xf numFmtId="49" fontId="4" fillId="0" borderId="4" xfId="0" applyNumberFormat="1" applyFont="1" applyFill="1" applyBorder="1" applyAlignment="1">
      <alignment horizontal="left" vertical="top"/>
    </xf>
    <xf numFmtId="14" fontId="4" fillId="0" borderId="4" xfId="0" applyNumberFormat="1" applyFont="1" applyFill="1" applyBorder="1" applyAlignment="1">
      <alignment horizontal="left" vertical="top" wrapText="1"/>
    </xf>
    <xf numFmtId="49" fontId="4" fillId="11" borderId="4" xfId="0" applyNumberFormat="1" applyFont="1" applyFill="1" applyBorder="1" applyAlignment="1">
      <alignment horizontal="right" vertical="top" wrapText="1"/>
    </xf>
    <xf numFmtId="49" fontId="3" fillId="11" borderId="4" xfId="0" applyNumberFormat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3" fillId="11" borderId="4" xfId="0" applyFont="1" applyFill="1" applyBorder="1" applyAlignment="1">
      <alignment horizontal="center" vertical="top"/>
    </xf>
    <xf numFmtId="14" fontId="4" fillId="11" borderId="4" xfId="0" applyNumberFormat="1" applyFont="1" applyFill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164" fontId="4" fillId="0" borderId="4" xfId="1" applyFont="1" applyBorder="1" applyAlignment="1">
      <alignment horizontal="center" vertical="top"/>
    </xf>
    <xf numFmtId="164" fontId="4" fillId="3" borderId="18" xfId="1" applyFont="1" applyFill="1" applyBorder="1" applyAlignment="1">
      <alignment vertical="top"/>
    </xf>
    <xf numFmtId="164" fontId="4" fillId="3" borderId="4" xfId="1" applyFont="1" applyFill="1" applyBorder="1" applyAlignment="1">
      <alignment horizontal="center" vertical="top"/>
    </xf>
    <xf numFmtId="164" fontId="4" fillId="3" borderId="4" xfId="0" applyNumberFormat="1" applyFont="1" applyFill="1" applyBorder="1" applyAlignment="1">
      <alignment vertical="top"/>
    </xf>
    <xf numFmtId="0" fontId="10" fillId="19" borderId="4" xfId="0" applyFont="1" applyFill="1" applyBorder="1" applyAlignment="1">
      <alignment horizontal="center" vertical="top"/>
    </xf>
    <xf numFmtId="164" fontId="4" fillId="0" borderId="4" xfId="1" applyFont="1" applyBorder="1" applyAlignment="1">
      <alignment horizontal="right" vertical="top"/>
    </xf>
    <xf numFmtId="43" fontId="4" fillId="0" borderId="4" xfId="0" applyNumberFormat="1" applyFont="1" applyBorder="1" applyAlignment="1">
      <alignment vertical="top"/>
    </xf>
    <xf numFmtId="0" fontId="4" fillId="11" borderId="18" xfId="0" applyFont="1" applyFill="1" applyBorder="1" applyAlignment="1">
      <alignment horizontal="left" vertical="top"/>
    </xf>
    <xf numFmtId="49" fontId="3" fillId="0" borderId="3" xfId="0" applyNumberFormat="1" applyFont="1" applyFill="1" applyBorder="1" applyAlignment="1">
      <alignment horizontal="right" vertical="top"/>
    </xf>
    <xf numFmtId="49" fontId="4" fillId="0" borderId="3" xfId="0" applyNumberFormat="1" applyFont="1" applyFill="1" applyBorder="1" applyAlignment="1">
      <alignment horizontal="left" vertical="top"/>
    </xf>
    <xf numFmtId="14" fontId="4" fillId="0" borderId="3" xfId="0" applyNumberFormat="1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/>
    </xf>
    <xf numFmtId="164" fontId="4" fillId="0" borderId="3" xfId="1" applyFont="1" applyBorder="1" applyAlignment="1">
      <alignment horizontal="center" vertical="top"/>
    </xf>
    <xf numFmtId="164" fontId="4" fillId="3" borderId="17" xfId="1" applyFont="1" applyFill="1" applyBorder="1" applyAlignment="1">
      <alignment vertical="top"/>
    </xf>
    <xf numFmtId="164" fontId="4" fillId="3" borderId="3" xfId="1" applyFont="1" applyFill="1" applyBorder="1" applyAlignment="1">
      <alignment horizontal="center" vertical="top"/>
    </xf>
    <xf numFmtId="164" fontId="4" fillId="3" borderId="3" xfId="0" applyNumberFormat="1" applyFont="1" applyFill="1" applyBorder="1" applyAlignment="1">
      <alignment vertical="top"/>
    </xf>
    <xf numFmtId="0" fontId="4" fillId="11" borderId="17" xfId="0" applyFont="1" applyFill="1" applyBorder="1" applyAlignment="1">
      <alignment horizontal="left" vertical="top"/>
    </xf>
    <xf numFmtId="0" fontId="4" fillId="11" borderId="17" xfId="0" applyFont="1" applyFill="1" applyBorder="1" applyAlignment="1">
      <alignment horizontal="center" vertical="top"/>
    </xf>
    <xf numFmtId="0" fontId="4" fillId="13" borderId="9" xfId="0" applyFont="1" applyFill="1" applyBorder="1" applyAlignment="1">
      <alignment horizontal="left" vertical="top"/>
    </xf>
    <xf numFmtId="0" fontId="4" fillId="12" borderId="3" xfId="0" applyFont="1" applyFill="1" applyBorder="1" applyAlignment="1">
      <alignment horizontal="left" vertical="top"/>
    </xf>
    <xf numFmtId="49" fontId="4" fillId="11" borderId="13" xfId="0" applyNumberFormat="1" applyFont="1" applyFill="1" applyBorder="1" applyAlignment="1">
      <alignment horizontal="right" vertical="top" wrapText="1"/>
    </xf>
    <xf numFmtId="49" fontId="3" fillId="11" borderId="13" xfId="0" applyNumberFormat="1" applyFont="1" applyFill="1" applyBorder="1" applyAlignment="1">
      <alignment horizontal="left" vertical="top" wrapText="1"/>
    </xf>
    <xf numFmtId="14" fontId="4" fillId="0" borderId="13" xfId="0" applyNumberFormat="1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left" vertical="top"/>
    </xf>
    <xf numFmtId="0" fontId="3" fillId="11" borderId="13" xfId="0" applyFont="1" applyFill="1" applyBorder="1" applyAlignment="1">
      <alignment horizontal="center" vertical="top"/>
    </xf>
    <xf numFmtId="14" fontId="4" fillId="11" borderId="13" xfId="0" applyNumberFormat="1" applyFont="1" applyFill="1" applyBorder="1" applyAlignment="1">
      <alignment horizontal="left" vertical="top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9" fontId="3" fillId="0" borderId="1" xfId="0" applyNumberFormat="1" applyFont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164" fontId="7" fillId="6" borderId="1" xfId="1" applyNumberFormat="1" applyFont="1" applyFill="1" applyBorder="1" applyAlignment="1">
      <alignment horizontal="center"/>
    </xf>
    <xf numFmtId="14" fontId="3" fillId="11" borderId="3" xfId="0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4" fontId="7" fillId="17" borderId="4" xfId="1" applyNumberFormat="1" applyFont="1" applyFill="1" applyBorder="1" applyAlignment="1">
      <alignment horizontal="center"/>
    </xf>
    <xf numFmtId="0" fontId="4" fillId="0" borderId="24" xfId="0" applyFont="1" applyBorder="1"/>
    <xf numFmtId="49" fontId="3" fillId="3" borderId="21" xfId="0" applyNumberFormat="1" applyFont="1" applyFill="1" applyBorder="1" applyAlignment="1">
      <alignment horizontal="right"/>
    </xf>
    <xf numFmtId="49" fontId="4" fillId="3" borderId="21" xfId="0" applyNumberFormat="1" applyFont="1" applyFill="1" applyBorder="1" applyAlignment="1">
      <alignment horizontal="left"/>
    </xf>
    <xf numFmtId="14" fontId="4" fillId="3" borderId="21" xfId="0" applyNumberFormat="1" applyFont="1" applyFill="1" applyBorder="1" applyAlignment="1">
      <alignment horizontal="left"/>
    </xf>
    <xf numFmtId="49" fontId="4" fillId="3" borderId="21" xfId="0" applyNumberFormat="1" applyFont="1" applyFill="1" applyBorder="1" applyAlignment="1">
      <alignment horizontal="right"/>
    </xf>
    <xf numFmtId="49" fontId="3" fillId="3" borderId="21" xfId="0" applyNumberFormat="1" applyFont="1" applyFill="1" applyBorder="1" applyAlignment="1">
      <alignment horizontal="left"/>
    </xf>
    <xf numFmtId="0" fontId="4" fillId="3" borderId="21" xfId="0" applyFont="1" applyFill="1" applyBorder="1" applyAlignment="1">
      <alignment horizontal="left"/>
    </xf>
    <xf numFmtId="0" fontId="5" fillId="3" borderId="21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left"/>
    </xf>
    <xf numFmtId="49" fontId="6" fillId="0" borderId="4" xfId="0" applyNumberFormat="1" applyFont="1" applyFill="1" applyBorder="1" applyAlignment="1">
      <alignment horizontal="right"/>
    </xf>
    <xf numFmtId="49" fontId="7" fillId="0" borderId="4" xfId="0" applyNumberFormat="1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49" fontId="6" fillId="0" borderId="3" xfId="0" applyNumberFormat="1" applyFont="1" applyFill="1" applyBorder="1" applyAlignment="1">
      <alignment horizontal="right"/>
    </xf>
    <xf numFmtId="49" fontId="7" fillId="0" borderId="3" xfId="0" applyNumberFormat="1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64" fontId="7" fillId="6" borderId="4" xfId="1" applyNumberFormat="1" applyFont="1" applyFill="1" applyBorder="1" applyAlignment="1">
      <alignment horizontal="center"/>
    </xf>
    <xf numFmtId="164" fontId="7" fillId="14" borderId="4" xfId="1" applyNumberFormat="1" applyFont="1" applyFill="1" applyBorder="1" applyAlignment="1">
      <alignment horizontal="center"/>
    </xf>
    <xf numFmtId="164" fontId="7" fillId="17" borderId="4" xfId="1" applyFont="1" applyFill="1" applyBorder="1" applyAlignment="1">
      <alignment horizontal="center"/>
    </xf>
    <xf numFmtId="164" fontId="7" fillId="18" borderId="4" xfId="1" applyNumberFormat="1" applyFont="1" applyFill="1" applyBorder="1" applyAlignment="1">
      <alignment horizontal="center"/>
    </xf>
    <xf numFmtId="164" fontId="7" fillId="7" borderId="4" xfId="0" applyNumberFormat="1" applyFont="1" applyFill="1" applyBorder="1"/>
    <xf numFmtId="0" fontId="19" fillId="19" borderId="4" xfId="0" applyFont="1" applyFill="1" applyBorder="1" applyAlignment="1">
      <alignment horizontal="center"/>
    </xf>
    <xf numFmtId="164" fontId="7" fillId="0" borderId="4" xfId="1" applyFont="1" applyBorder="1"/>
    <xf numFmtId="0" fontId="7" fillId="6" borderId="3" xfId="0" applyFont="1" applyFill="1" applyBorder="1"/>
    <xf numFmtId="164" fontId="7" fillId="6" borderId="3" xfId="1" applyFont="1" applyFill="1" applyBorder="1"/>
    <xf numFmtId="164" fontId="7" fillId="6" borderId="3" xfId="1" applyNumberFormat="1" applyFont="1" applyFill="1" applyBorder="1" applyAlignment="1">
      <alignment horizontal="center" vertical="top"/>
    </xf>
    <xf numFmtId="164" fontId="7" fillId="6" borderId="3" xfId="1" applyNumberFormat="1" applyFont="1" applyFill="1" applyBorder="1" applyAlignment="1">
      <alignment horizontal="center"/>
    </xf>
    <xf numFmtId="164" fontId="7" fillId="14" borderId="3" xfId="1" applyNumberFormat="1" applyFont="1" applyFill="1" applyBorder="1" applyAlignment="1">
      <alignment horizontal="center"/>
    </xf>
    <xf numFmtId="164" fontId="7" fillId="17" borderId="3" xfId="1" applyFont="1" applyFill="1" applyBorder="1" applyAlignment="1">
      <alignment horizontal="center"/>
    </xf>
    <xf numFmtId="164" fontId="7" fillId="17" borderId="3" xfId="1" applyNumberFormat="1" applyFont="1" applyFill="1" applyBorder="1" applyAlignment="1">
      <alignment horizontal="center"/>
    </xf>
    <xf numFmtId="164" fontId="7" fillId="18" borderId="3" xfId="1" applyNumberFormat="1" applyFont="1" applyFill="1" applyBorder="1" applyAlignment="1">
      <alignment horizontal="center"/>
    </xf>
    <xf numFmtId="164" fontId="7" fillId="7" borderId="3" xfId="0" applyNumberFormat="1" applyFont="1" applyFill="1" applyBorder="1"/>
    <xf numFmtId="0" fontId="19" fillId="19" borderId="13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10" fillId="19" borderId="15" xfId="0" applyFont="1" applyFill="1" applyBorder="1" applyAlignment="1">
      <alignment horizontal="center"/>
    </xf>
    <xf numFmtId="9" fontId="3" fillId="0" borderId="15" xfId="0" applyNumberFormat="1" applyFont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4" fontId="4" fillId="4" borderId="3" xfId="1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4" fontId="7" fillId="14" borderId="1" xfId="1" applyNumberFormat="1" applyFont="1" applyFill="1" applyBorder="1" applyAlignment="1">
      <alignment horizontal="center"/>
    </xf>
    <xf numFmtId="164" fontId="7" fillId="17" borderId="1" xfId="1" applyFont="1" applyFill="1" applyBorder="1" applyAlignment="1">
      <alignment horizontal="center"/>
    </xf>
    <xf numFmtId="164" fontId="7" fillId="17" borderId="1" xfId="1" applyNumberFormat="1" applyFont="1" applyFill="1" applyBorder="1" applyAlignment="1">
      <alignment horizontal="center"/>
    </xf>
    <xf numFmtId="164" fontId="7" fillId="7" borderId="1" xfId="0" applyNumberFormat="1" applyFont="1" applyFill="1" applyBorder="1"/>
    <xf numFmtId="0" fontId="7" fillId="4" borderId="1" xfId="0" applyFont="1" applyFill="1" applyBorder="1"/>
    <xf numFmtId="164" fontId="7" fillId="18" borderId="1" xfId="1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5" fontId="4" fillId="3" borderId="13" xfId="1" applyNumberFormat="1" applyFont="1" applyFill="1" applyBorder="1"/>
    <xf numFmtId="0" fontId="4" fillId="0" borderId="8" xfId="0" applyFont="1" applyFill="1" applyBorder="1"/>
    <xf numFmtId="0" fontId="4" fillId="12" borderId="1" xfId="0" applyFont="1" applyFill="1" applyBorder="1" applyAlignment="1">
      <alignment horizontal="center"/>
    </xf>
    <xf numFmtId="49" fontId="4" fillId="11" borderId="4" xfId="0" applyNumberFormat="1" applyFont="1" applyFill="1" applyBorder="1" applyAlignment="1">
      <alignment horizontal="right" vertical="top"/>
    </xf>
    <xf numFmtId="49" fontId="3" fillId="11" borderId="4" xfId="0" applyNumberFormat="1" applyFont="1" applyFill="1" applyBorder="1" applyAlignment="1">
      <alignment horizontal="left" vertical="top"/>
    </xf>
    <xf numFmtId="49" fontId="4" fillId="11" borderId="3" xfId="0" applyNumberFormat="1" applyFont="1" applyFill="1" applyBorder="1" applyAlignment="1">
      <alignment horizontal="right" vertical="top"/>
    </xf>
    <xf numFmtId="49" fontId="3" fillId="11" borderId="3" xfId="0" applyNumberFormat="1" applyFont="1" applyFill="1" applyBorder="1" applyAlignment="1">
      <alignment horizontal="left" vertical="top"/>
    </xf>
    <xf numFmtId="0" fontId="3" fillId="11" borderId="3" xfId="0" applyFont="1" applyFill="1" applyBorder="1" applyAlignment="1">
      <alignment horizontal="center" vertical="top"/>
    </xf>
    <xf numFmtId="14" fontId="4" fillId="11" borderId="3" xfId="0" applyNumberFormat="1" applyFont="1" applyFill="1" applyBorder="1" applyAlignment="1">
      <alignment horizontal="left" vertical="top"/>
    </xf>
    <xf numFmtId="164" fontId="4" fillId="9" borderId="18" xfId="1" applyFont="1" applyFill="1" applyBorder="1" applyAlignment="1">
      <alignment vertical="top"/>
    </xf>
    <xf numFmtId="164" fontId="4" fillId="14" borderId="4" xfId="1" applyNumberFormat="1" applyFont="1" applyFill="1" applyBorder="1" applyAlignment="1">
      <alignment horizontal="center" vertical="top"/>
    </xf>
    <xf numFmtId="164" fontId="4" fillId="17" borderId="4" xfId="1" applyFont="1" applyFill="1" applyBorder="1" applyAlignment="1">
      <alignment horizontal="center" vertical="top"/>
    </xf>
    <xf numFmtId="164" fontId="4" fillId="17" borderId="4" xfId="1" applyNumberFormat="1" applyFont="1" applyFill="1" applyBorder="1" applyAlignment="1">
      <alignment horizontal="center" vertical="top"/>
    </xf>
    <xf numFmtId="164" fontId="4" fillId="18" borderId="4" xfId="1" applyNumberFormat="1" applyFont="1" applyFill="1" applyBorder="1" applyAlignment="1">
      <alignment horizontal="center" vertical="top"/>
    </xf>
    <xf numFmtId="164" fontId="4" fillId="7" borderId="4" xfId="1" applyFont="1" applyFill="1" applyBorder="1" applyAlignment="1">
      <alignment horizontal="center" vertical="top"/>
    </xf>
    <xf numFmtId="164" fontId="4" fillId="7" borderId="4" xfId="0" applyNumberFormat="1" applyFont="1" applyFill="1" applyBorder="1" applyAlignment="1">
      <alignment vertical="top"/>
    </xf>
    <xf numFmtId="164" fontId="4" fillId="9" borderId="17" xfId="1" applyFont="1" applyFill="1" applyBorder="1" applyAlignment="1">
      <alignment vertical="top"/>
    </xf>
    <xf numFmtId="164" fontId="4" fillId="14" borderId="3" xfId="1" applyNumberFormat="1" applyFont="1" applyFill="1" applyBorder="1" applyAlignment="1">
      <alignment horizontal="center" vertical="top"/>
    </xf>
    <xf numFmtId="164" fontId="4" fillId="17" borderId="3" xfId="1" applyFont="1" applyFill="1" applyBorder="1" applyAlignment="1">
      <alignment horizontal="center" vertical="top"/>
    </xf>
    <xf numFmtId="164" fontId="4" fillId="17" borderId="3" xfId="1" applyNumberFormat="1" applyFont="1" applyFill="1" applyBorder="1" applyAlignment="1">
      <alignment horizontal="center" vertical="top"/>
    </xf>
    <xf numFmtId="164" fontId="4" fillId="18" borderId="3" xfId="1" applyNumberFormat="1" applyFont="1" applyFill="1" applyBorder="1" applyAlignment="1">
      <alignment horizontal="center" vertical="top"/>
    </xf>
    <xf numFmtId="164" fontId="4" fillId="7" borderId="3" xfId="1" applyFont="1" applyFill="1" applyBorder="1" applyAlignment="1">
      <alignment horizontal="center" vertical="top"/>
    </xf>
    <xf numFmtId="164" fontId="4" fillId="7" borderId="3" xfId="0" applyNumberFormat="1" applyFont="1" applyFill="1" applyBorder="1" applyAlignment="1">
      <alignment vertical="top"/>
    </xf>
    <xf numFmtId="0" fontId="10" fillId="19" borderId="13" xfId="0" applyFont="1" applyFill="1" applyBorder="1" applyAlignment="1">
      <alignment horizontal="center" vertical="top"/>
    </xf>
    <xf numFmtId="164" fontId="4" fillId="0" borderId="13" xfId="1" applyFont="1" applyBorder="1" applyAlignment="1">
      <alignment horizontal="right" vertical="top"/>
    </xf>
    <xf numFmtId="43" fontId="4" fillId="0" borderId="13" xfId="0" applyNumberFormat="1" applyFont="1" applyBorder="1" applyAlignment="1">
      <alignment vertical="top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4" fontId="4" fillId="9" borderId="5" xfId="1" applyFont="1" applyFill="1" applyBorder="1" applyAlignment="1">
      <alignment vertical="top"/>
    </xf>
    <xf numFmtId="164" fontId="7" fillId="7" borderId="1" xfId="0" applyNumberFormat="1" applyFont="1" applyFill="1" applyBorder="1" applyAlignment="1"/>
    <xf numFmtId="43" fontId="7" fillId="0" borderId="1" xfId="0" applyNumberFormat="1" applyFont="1" applyBorder="1" applyAlignment="1"/>
    <xf numFmtId="0" fontId="4" fillId="12" borderId="1" xfId="0" applyFont="1" applyFill="1" applyBorder="1" applyAlignment="1">
      <alignment horizontal="center"/>
    </xf>
    <xf numFmtId="0" fontId="4" fillId="0" borderId="25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4" fillId="11" borderId="25" xfId="0" applyFont="1" applyFill="1" applyBorder="1" applyAlignment="1">
      <alignment horizontal="left"/>
    </xf>
    <xf numFmtId="0" fontId="4" fillId="0" borderId="26" xfId="0" applyFont="1" applyBorder="1" applyAlignment="1">
      <alignment horizontal="left"/>
    </xf>
    <xf numFmtId="164" fontId="4" fillId="0" borderId="25" xfId="1" applyFont="1" applyBorder="1" applyAlignment="1">
      <alignment horizontal="center"/>
    </xf>
    <xf numFmtId="0" fontId="10" fillId="19" borderId="25" xfId="0" applyFont="1" applyFill="1" applyBorder="1" applyAlignment="1">
      <alignment horizontal="center"/>
    </xf>
    <xf numFmtId="164" fontId="4" fillId="0" borderId="25" xfId="1" applyFont="1" applyBorder="1" applyAlignment="1">
      <alignment horizontal="right"/>
    </xf>
    <xf numFmtId="164" fontId="4" fillId="0" borderId="25" xfId="1" applyFont="1" applyBorder="1"/>
    <xf numFmtId="43" fontId="4" fillId="0" borderId="25" xfId="0" applyNumberFormat="1" applyFont="1" applyBorder="1"/>
    <xf numFmtId="0" fontId="3" fillId="0" borderId="25" xfId="0" applyFont="1" applyBorder="1" applyAlignment="1">
      <alignment horizontal="center"/>
    </xf>
    <xf numFmtId="0" fontId="4" fillId="12" borderId="25" xfId="0" applyFont="1" applyFill="1" applyBorder="1" applyAlignment="1">
      <alignment horizontal="center"/>
    </xf>
    <xf numFmtId="0" fontId="4" fillId="11" borderId="27" xfId="0" applyFont="1" applyFill="1" applyBorder="1" applyAlignment="1">
      <alignment horizontal="left"/>
    </xf>
    <xf numFmtId="0" fontId="4" fillId="11" borderId="27" xfId="0" applyFont="1" applyFill="1" applyBorder="1" applyAlignment="1">
      <alignment horizontal="center"/>
    </xf>
    <xf numFmtId="0" fontId="4" fillId="11" borderId="25" xfId="0" applyFont="1" applyFill="1" applyBorder="1" applyAlignment="1">
      <alignment horizontal="center"/>
    </xf>
    <xf numFmtId="0" fontId="4" fillId="13" borderId="26" xfId="0" applyFont="1" applyFill="1" applyBorder="1" applyAlignment="1">
      <alignment horizontal="left"/>
    </xf>
    <xf numFmtId="0" fontId="4" fillId="13" borderId="25" xfId="0" applyFont="1" applyFill="1" applyBorder="1" applyAlignment="1">
      <alignment horizontal="left"/>
    </xf>
    <xf numFmtId="0" fontId="4" fillId="0" borderId="28" xfId="0" applyFont="1" applyBorder="1"/>
    <xf numFmtId="0" fontId="3" fillId="0" borderId="29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49" fontId="3" fillId="0" borderId="29" xfId="0" applyNumberFormat="1" applyFont="1" applyFill="1" applyBorder="1" applyAlignment="1">
      <alignment horizontal="right"/>
    </xf>
    <xf numFmtId="49" fontId="4" fillId="0" borderId="29" xfId="0" applyNumberFormat="1" applyFont="1" applyFill="1" applyBorder="1" applyAlignment="1">
      <alignment horizontal="left"/>
    </xf>
    <xf numFmtId="14" fontId="4" fillId="0" borderId="29" xfId="0" applyNumberFormat="1" applyFont="1" applyFill="1" applyBorder="1" applyAlignment="1">
      <alignment horizontal="left"/>
    </xf>
    <xf numFmtId="49" fontId="4" fillId="11" borderId="29" xfId="0" applyNumberFormat="1" applyFont="1" applyFill="1" applyBorder="1" applyAlignment="1">
      <alignment horizontal="right"/>
    </xf>
    <xf numFmtId="49" fontId="3" fillId="11" borderId="29" xfId="0" applyNumberFormat="1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0" fontId="3" fillId="11" borderId="29" xfId="0" applyFont="1" applyFill="1" applyBorder="1" applyAlignment="1">
      <alignment horizontal="center"/>
    </xf>
    <xf numFmtId="14" fontId="4" fillId="11" borderId="29" xfId="0" applyNumberFormat="1" applyFont="1" applyFill="1" applyBorder="1" applyAlignment="1">
      <alignment horizontal="left"/>
    </xf>
    <xf numFmtId="0" fontId="4" fillId="0" borderId="30" xfId="0" applyFont="1" applyBorder="1" applyAlignment="1">
      <alignment horizontal="left"/>
    </xf>
    <xf numFmtId="164" fontId="4" fillId="0" borderId="29" xfId="1" applyFont="1" applyBorder="1" applyAlignment="1">
      <alignment horizontal="center"/>
    </xf>
    <xf numFmtId="164" fontId="4" fillId="3" borderId="31" xfId="1" applyFont="1" applyFill="1" applyBorder="1"/>
    <xf numFmtId="0" fontId="4" fillId="3" borderId="29" xfId="0" applyFont="1" applyFill="1" applyBorder="1"/>
    <xf numFmtId="164" fontId="4" fillId="3" borderId="29" xfId="1" applyFont="1" applyFill="1" applyBorder="1"/>
    <xf numFmtId="164" fontId="4" fillId="3" borderId="29" xfId="1" applyNumberFormat="1" applyFont="1" applyFill="1" applyBorder="1" applyAlignment="1">
      <alignment horizontal="center" vertical="top"/>
    </xf>
    <xf numFmtId="164" fontId="4" fillId="3" borderId="29" xfId="1" applyNumberFormat="1" applyFont="1" applyFill="1" applyBorder="1" applyAlignment="1">
      <alignment horizontal="center"/>
    </xf>
    <xf numFmtId="164" fontId="4" fillId="3" borderId="29" xfId="1" applyFont="1" applyFill="1" applyBorder="1" applyAlignment="1">
      <alignment horizontal="center"/>
    </xf>
    <xf numFmtId="164" fontId="4" fillId="3" borderId="29" xfId="0" applyNumberFormat="1" applyFont="1" applyFill="1" applyBorder="1"/>
    <xf numFmtId="0" fontId="4" fillId="11" borderId="29" xfId="0" applyFont="1" applyFill="1" applyBorder="1" applyAlignment="1">
      <alignment horizontal="left"/>
    </xf>
    <xf numFmtId="0" fontId="10" fillId="19" borderId="29" xfId="0" applyFont="1" applyFill="1" applyBorder="1" applyAlignment="1">
      <alignment horizontal="center"/>
    </xf>
    <xf numFmtId="164" fontId="4" fillId="0" borderId="29" xfId="1" applyFont="1" applyBorder="1" applyAlignment="1">
      <alignment horizontal="right"/>
    </xf>
    <xf numFmtId="164" fontId="4" fillId="0" borderId="29" xfId="1" applyFont="1" applyBorder="1"/>
    <xf numFmtId="43" fontId="4" fillId="0" borderId="29" xfId="0" applyNumberFormat="1" applyFont="1" applyBorder="1"/>
    <xf numFmtId="14" fontId="4" fillId="0" borderId="29" xfId="0" applyNumberFormat="1" applyFont="1" applyBorder="1" applyAlignment="1">
      <alignment horizontal="left" vertical="top"/>
    </xf>
    <xf numFmtId="0" fontId="3" fillId="0" borderId="29" xfId="0" applyFont="1" applyBorder="1" applyAlignment="1">
      <alignment horizontal="center"/>
    </xf>
    <xf numFmtId="0" fontId="4" fillId="12" borderId="29" xfId="0" applyFont="1" applyFill="1" applyBorder="1" applyAlignment="1">
      <alignment horizontal="center"/>
    </xf>
    <xf numFmtId="0" fontId="4" fillId="11" borderId="31" xfId="0" applyFont="1" applyFill="1" applyBorder="1" applyAlignment="1">
      <alignment horizontal="left"/>
    </xf>
    <xf numFmtId="0" fontId="4" fillId="11" borderId="31" xfId="0" applyFont="1" applyFill="1" applyBorder="1" applyAlignment="1">
      <alignment horizontal="center"/>
    </xf>
    <xf numFmtId="0" fontId="4" fillId="11" borderId="29" xfId="0" applyFont="1" applyFill="1" applyBorder="1" applyAlignment="1">
      <alignment horizontal="center"/>
    </xf>
    <xf numFmtId="0" fontId="4" fillId="13" borderId="30" xfId="0" applyFont="1" applyFill="1" applyBorder="1" applyAlignment="1">
      <alignment horizontal="left"/>
    </xf>
    <xf numFmtId="0" fontId="4" fillId="12" borderId="29" xfId="0" applyFont="1" applyFill="1" applyBorder="1" applyAlignment="1">
      <alignment horizontal="left"/>
    </xf>
    <xf numFmtId="0" fontId="4" fillId="0" borderId="32" xfId="0" applyFont="1" applyBorder="1"/>
    <xf numFmtId="0" fontId="3" fillId="14" borderId="33" xfId="0" applyFont="1" applyFill="1" applyBorder="1" applyAlignment="1">
      <alignment horizontal="left"/>
    </xf>
    <xf numFmtId="0" fontId="4" fillId="0" borderId="33" xfId="0" applyFont="1" applyBorder="1" applyAlignment="1">
      <alignment horizontal="left"/>
    </xf>
    <xf numFmtId="49" fontId="3" fillId="0" borderId="33" xfId="0" applyNumberFormat="1" applyFont="1" applyFill="1" applyBorder="1" applyAlignment="1">
      <alignment horizontal="right"/>
    </xf>
    <xf numFmtId="49" fontId="4" fillId="0" borderId="33" xfId="0" applyNumberFormat="1" applyFont="1" applyFill="1" applyBorder="1" applyAlignment="1">
      <alignment horizontal="left"/>
    </xf>
    <xf numFmtId="14" fontId="4" fillId="0" borderId="33" xfId="0" applyNumberFormat="1" applyFont="1" applyFill="1" applyBorder="1" applyAlignment="1">
      <alignment horizontal="left"/>
    </xf>
    <xf numFmtId="49" fontId="4" fillId="11" borderId="33" xfId="0" applyNumberFormat="1" applyFont="1" applyFill="1" applyBorder="1" applyAlignment="1">
      <alignment horizontal="right"/>
    </xf>
    <xf numFmtId="49" fontId="3" fillId="11" borderId="33" xfId="0" applyNumberFormat="1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3" fillId="11" borderId="33" xfId="0" applyFont="1" applyFill="1" applyBorder="1" applyAlignment="1">
      <alignment horizontal="center"/>
    </xf>
    <xf numFmtId="14" fontId="4" fillId="11" borderId="33" xfId="0" applyNumberFormat="1" applyFont="1" applyFill="1" applyBorder="1" applyAlignment="1">
      <alignment horizontal="left"/>
    </xf>
    <xf numFmtId="0" fontId="4" fillId="0" borderId="34" xfId="0" applyFont="1" applyBorder="1" applyAlignment="1">
      <alignment horizontal="left"/>
    </xf>
    <xf numFmtId="164" fontId="4" fillId="0" borderId="33" xfId="1" applyFont="1" applyBorder="1" applyAlignment="1">
      <alignment horizontal="center"/>
    </xf>
    <xf numFmtId="164" fontId="4" fillId="3" borderId="33" xfId="1" applyFont="1" applyFill="1" applyBorder="1" applyAlignment="1">
      <alignment horizontal="center"/>
    </xf>
    <xf numFmtId="164" fontId="4" fillId="3" borderId="35" xfId="1" applyFont="1" applyFill="1" applyBorder="1"/>
    <xf numFmtId="0" fontId="4" fillId="6" borderId="33" xfId="0" applyFont="1" applyFill="1" applyBorder="1"/>
    <xf numFmtId="164" fontId="4" fillId="3" borderId="33" xfId="1" applyFont="1" applyFill="1" applyBorder="1"/>
    <xf numFmtId="164" fontId="4" fillId="3" borderId="33" xfId="1" applyNumberFormat="1" applyFont="1" applyFill="1" applyBorder="1" applyAlignment="1">
      <alignment horizontal="center" vertical="top"/>
    </xf>
    <xf numFmtId="164" fontId="4" fillId="6" borderId="33" xfId="1" applyNumberFormat="1" applyFont="1" applyFill="1" applyBorder="1" applyAlignment="1">
      <alignment horizontal="center"/>
    </xf>
    <xf numFmtId="164" fontId="4" fillId="3" borderId="33" xfId="1" applyNumberFormat="1" applyFont="1" applyFill="1" applyBorder="1" applyAlignment="1">
      <alignment horizontal="center"/>
    </xf>
    <xf numFmtId="164" fontId="4" fillId="3" borderId="33" xfId="0" applyNumberFormat="1" applyFont="1" applyFill="1" applyBorder="1"/>
    <xf numFmtId="0" fontId="4" fillId="11" borderId="33" xfId="0" applyFont="1" applyFill="1" applyBorder="1" applyAlignment="1">
      <alignment horizontal="left"/>
    </xf>
    <xf numFmtId="0" fontId="10" fillId="19" borderId="33" xfId="0" applyFont="1" applyFill="1" applyBorder="1" applyAlignment="1">
      <alignment horizontal="center"/>
    </xf>
    <xf numFmtId="164" fontId="4" fillId="0" borderId="33" xfId="1" applyFont="1" applyBorder="1" applyAlignment="1">
      <alignment horizontal="right"/>
    </xf>
    <xf numFmtId="164" fontId="4" fillId="0" borderId="33" xfId="1" applyFont="1" applyBorder="1"/>
    <xf numFmtId="43" fontId="4" fillId="0" borderId="33" xfId="0" applyNumberFormat="1" applyFont="1" applyBorder="1"/>
    <xf numFmtId="0" fontId="4" fillId="0" borderId="33" xfId="0" applyFont="1" applyBorder="1" applyAlignment="1">
      <alignment horizontal="left" vertical="top"/>
    </xf>
    <xf numFmtId="0" fontId="3" fillId="0" borderId="33" xfId="0" applyFont="1" applyBorder="1" applyAlignment="1">
      <alignment horizontal="center"/>
    </xf>
    <xf numFmtId="0" fontId="3" fillId="0" borderId="33" xfId="0" applyFont="1" applyBorder="1" applyAlignment="1">
      <alignment horizontal="left"/>
    </xf>
    <xf numFmtId="0" fontId="4" fillId="12" borderId="33" xfId="0" applyFont="1" applyFill="1" applyBorder="1" applyAlignment="1">
      <alignment horizontal="center"/>
    </xf>
    <xf numFmtId="0" fontId="4" fillId="11" borderId="35" xfId="0" applyFont="1" applyFill="1" applyBorder="1" applyAlignment="1">
      <alignment horizontal="left"/>
    </xf>
    <xf numFmtId="0" fontId="4" fillId="11" borderId="35" xfId="0" applyFont="1" applyFill="1" applyBorder="1" applyAlignment="1">
      <alignment horizontal="center"/>
    </xf>
    <xf numFmtId="0" fontId="4" fillId="11" borderId="33" xfId="0" applyFont="1" applyFill="1" applyBorder="1" applyAlignment="1">
      <alignment horizontal="center"/>
    </xf>
    <xf numFmtId="0" fontId="4" fillId="13" borderId="34" xfId="0" applyFont="1" applyFill="1" applyBorder="1" applyAlignment="1">
      <alignment horizontal="left"/>
    </xf>
    <xf numFmtId="0" fontId="4" fillId="12" borderId="33" xfId="0" applyFont="1" applyFill="1" applyBorder="1" applyAlignment="1">
      <alignment horizontal="left"/>
    </xf>
    <xf numFmtId="0" fontId="4" fillId="0" borderId="36" xfId="0" applyFont="1" applyBorder="1"/>
    <xf numFmtId="0" fontId="3" fillId="14" borderId="38" xfId="0" applyFont="1" applyFill="1" applyBorder="1" applyAlignment="1">
      <alignment horizontal="left"/>
    </xf>
    <xf numFmtId="0" fontId="4" fillId="0" borderId="38" xfId="0" applyFont="1" applyBorder="1" applyAlignment="1">
      <alignment horizontal="left"/>
    </xf>
    <xf numFmtId="49" fontId="3" fillId="0" borderId="38" xfId="0" applyNumberFormat="1" applyFont="1" applyFill="1" applyBorder="1" applyAlignment="1">
      <alignment horizontal="right"/>
    </xf>
    <xf numFmtId="49" fontId="4" fillId="0" borderId="38" xfId="0" applyNumberFormat="1" applyFont="1" applyFill="1" applyBorder="1" applyAlignment="1">
      <alignment horizontal="left"/>
    </xf>
    <xf numFmtId="14" fontId="4" fillId="0" borderId="38" xfId="0" applyNumberFormat="1" applyFont="1" applyFill="1" applyBorder="1" applyAlignment="1">
      <alignment horizontal="left"/>
    </xf>
    <xf numFmtId="49" fontId="4" fillId="11" borderId="38" xfId="0" applyNumberFormat="1" applyFont="1" applyFill="1" applyBorder="1" applyAlignment="1">
      <alignment horizontal="right"/>
    </xf>
    <xf numFmtId="49" fontId="3" fillId="11" borderId="38" xfId="0" applyNumberFormat="1" applyFont="1" applyFill="1" applyBorder="1" applyAlignment="1">
      <alignment horizontal="left"/>
    </xf>
    <xf numFmtId="0" fontId="4" fillId="0" borderId="38" xfId="0" applyFont="1" applyFill="1" applyBorder="1" applyAlignment="1">
      <alignment horizontal="left"/>
    </xf>
    <xf numFmtId="0" fontId="5" fillId="0" borderId="38" xfId="0" applyFont="1" applyFill="1" applyBorder="1" applyAlignment="1">
      <alignment horizontal="left"/>
    </xf>
    <xf numFmtId="0" fontId="3" fillId="11" borderId="38" xfId="0" applyFont="1" applyFill="1" applyBorder="1" applyAlignment="1">
      <alignment horizontal="center"/>
    </xf>
    <xf numFmtId="0" fontId="4" fillId="11" borderId="38" xfId="0" applyFont="1" applyFill="1" applyBorder="1" applyAlignment="1">
      <alignment horizontal="left"/>
    </xf>
    <xf numFmtId="0" fontId="4" fillId="0" borderId="37" xfId="0" applyFont="1" applyBorder="1" applyAlignment="1">
      <alignment horizontal="left"/>
    </xf>
    <xf numFmtId="164" fontId="4" fillId="0" borderId="38" xfId="1" applyFont="1" applyBorder="1" applyAlignment="1">
      <alignment horizontal="center"/>
    </xf>
    <xf numFmtId="164" fontId="4" fillId="9" borderId="39" xfId="1" applyFont="1" applyFill="1" applyBorder="1"/>
    <xf numFmtId="0" fontId="4" fillId="6" borderId="38" xfId="0" applyFont="1" applyFill="1" applyBorder="1"/>
    <xf numFmtId="164" fontId="4" fillId="3" borderId="38" xfId="1" applyFont="1" applyFill="1" applyBorder="1"/>
    <xf numFmtId="164" fontId="4" fillId="3" borderId="38" xfId="1" applyNumberFormat="1" applyFont="1" applyFill="1" applyBorder="1" applyAlignment="1">
      <alignment horizontal="center" vertical="top"/>
    </xf>
    <xf numFmtId="164" fontId="4" fillId="6" borderId="38" xfId="1" applyNumberFormat="1" applyFont="1" applyFill="1" applyBorder="1" applyAlignment="1">
      <alignment horizontal="center"/>
    </xf>
    <xf numFmtId="164" fontId="4" fillId="3" borderId="38" xfId="1" applyNumberFormat="1" applyFont="1" applyFill="1" applyBorder="1" applyAlignment="1">
      <alignment horizontal="center"/>
    </xf>
    <xf numFmtId="164" fontId="4" fillId="3" borderId="38" xfId="1" applyFont="1" applyFill="1" applyBorder="1" applyAlignment="1">
      <alignment horizontal="center"/>
    </xf>
    <xf numFmtId="164" fontId="4" fillId="3" borderId="38" xfId="0" applyNumberFormat="1" applyFont="1" applyFill="1" applyBorder="1"/>
    <xf numFmtId="0" fontId="10" fillId="19" borderId="38" xfId="0" applyFont="1" applyFill="1" applyBorder="1" applyAlignment="1">
      <alignment horizontal="center"/>
    </xf>
    <xf numFmtId="164" fontId="4" fillId="0" borderId="38" xfId="1" applyFont="1" applyBorder="1" applyAlignment="1">
      <alignment horizontal="right"/>
    </xf>
    <xf numFmtId="164" fontId="4" fillId="0" borderId="38" xfId="1" applyFont="1" applyBorder="1"/>
    <xf numFmtId="43" fontId="4" fillId="0" borderId="38" xfId="0" applyNumberFormat="1" applyFont="1" applyBorder="1"/>
    <xf numFmtId="14" fontId="4" fillId="0" borderId="38" xfId="0" applyNumberFormat="1" applyFont="1" applyBorder="1" applyAlignment="1">
      <alignment horizontal="left" vertical="top"/>
    </xf>
    <xf numFmtId="0" fontId="3" fillId="0" borderId="38" xfId="0" applyFont="1" applyBorder="1" applyAlignment="1">
      <alignment horizontal="center"/>
    </xf>
    <xf numFmtId="0" fontId="3" fillId="0" borderId="38" xfId="0" applyFont="1" applyBorder="1" applyAlignment="1">
      <alignment horizontal="left"/>
    </xf>
    <xf numFmtId="0" fontId="4" fillId="12" borderId="38" xfId="0" applyFont="1" applyFill="1" applyBorder="1" applyAlignment="1">
      <alignment horizontal="center"/>
    </xf>
    <xf numFmtId="0" fontId="4" fillId="11" borderId="39" xfId="0" applyFont="1" applyFill="1" applyBorder="1" applyAlignment="1">
      <alignment horizontal="left"/>
    </xf>
    <xf numFmtId="0" fontId="4" fillId="11" borderId="39" xfId="0" applyFont="1" applyFill="1" applyBorder="1" applyAlignment="1">
      <alignment horizontal="center"/>
    </xf>
    <xf numFmtId="0" fontId="4" fillId="11" borderId="38" xfId="0" applyFont="1" applyFill="1" applyBorder="1" applyAlignment="1">
      <alignment horizontal="center"/>
    </xf>
    <xf numFmtId="0" fontId="4" fillId="13" borderId="37" xfId="0" applyFont="1" applyFill="1" applyBorder="1" applyAlignment="1">
      <alignment horizontal="left"/>
    </xf>
    <xf numFmtId="0" fontId="4" fillId="13" borderId="38" xfId="0" applyFont="1" applyFill="1" applyBorder="1" applyAlignment="1">
      <alignment horizontal="left"/>
    </xf>
    <xf numFmtId="0" fontId="4" fillId="3" borderId="38" xfId="0" applyFont="1" applyFill="1" applyBorder="1" applyAlignment="1">
      <alignment horizontal="left"/>
    </xf>
    <xf numFmtId="0" fontId="4" fillId="12" borderId="38" xfId="0" applyFont="1" applyFill="1" applyBorder="1" applyAlignment="1">
      <alignment horizontal="left"/>
    </xf>
    <xf numFmtId="0" fontId="4" fillId="0" borderId="40" xfId="0" applyFont="1" applyBorder="1"/>
    <xf numFmtId="0" fontId="3" fillId="14" borderId="41" xfId="0" applyFont="1" applyFill="1" applyBorder="1" applyAlignment="1">
      <alignment horizontal="left"/>
    </xf>
    <xf numFmtId="0" fontId="4" fillId="0" borderId="41" xfId="0" applyFont="1" applyBorder="1" applyAlignment="1">
      <alignment horizontal="left"/>
    </xf>
    <xf numFmtId="49" fontId="3" fillId="0" borderId="41" xfId="0" applyNumberFormat="1" applyFont="1" applyFill="1" applyBorder="1" applyAlignment="1">
      <alignment horizontal="right"/>
    </xf>
    <xf numFmtId="49" fontId="4" fillId="0" borderId="41" xfId="0" applyNumberFormat="1" applyFont="1" applyFill="1" applyBorder="1" applyAlignment="1">
      <alignment horizontal="left"/>
    </xf>
    <xf numFmtId="14" fontId="4" fillId="0" borderId="41" xfId="0" applyNumberFormat="1" applyFont="1" applyFill="1" applyBorder="1" applyAlignment="1">
      <alignment horizontal="left"/>
    </xf>
    <xf numFmtId="49" fontId="4" fillId="11" borderId="41" xfId="0" applyNumberFormat="1" applyFont="1" applyFill="1" applyBorder="1" applyAlignment="1">
      <alignment horizontal="right"/>
    </xf>
    <xf numFmtId="49" fontId="3" fillId="11" borderId="41" xfId="0" applyNumberFormat="1" applyFont="1" applyFill="1" applyBorder="1" applyAlignment="1">
      <alignment horizontal="left"/>
    </xf>
    <xf numFmtId="0" fontId="5" fillId="0" borderId="41" xfId="0" applyFont="1" applyFill="1" applyBorder="1" applyAlignment="1">
      <alignment horizontal="left"/>
    </xf>
    <xf numFmtId="0" fontId="3" fillId="11" borderId="41" xfId="0" applyFont="1" applyFill="1" applyBorder="1" applyAlignment="1">
      <alignment horizontal="center"/>
    </xf>
    <xf numFmtId="14" fontId="4" fillId="11" borderId="41" xfId="0" applyNumberFormat="1" applyFont="1" applyFill="1" applyBorder="1" applyAlignment="1">
      <alignment horizontal="left"/>
    </xf>
    <xf numFmtId="0" fontId="4" fillId="0" borderId="42" xfId="0" applyFont="1" applyBorder="1" applyAlignment="1">
      <alignment horizontal="left"/>
    </xf>
    <xf numFmtId="164" fontId="4" fillId="0" borderId="41" xfId="1" applyFont="1" applyBorder="1" applyAlignment="1">
      <alignment horizontal="center"/>
    </xf>
    <xf numFmtId="164" fontId="4" fillId="3" borderId="41" xfId="1" applyFont="1" applyFill="1" applyBorder="1"/>
    <xf numFmtId="0" fontId="4" fillId="3" borderId="41" xfId="0" applyFont="1" applyFill="1" applyBorder="1"/>
    <xf numFmtId="164" fontId="4" fillId="3" borderId="41" xfId="1" applyNumberFormat="1" applyFont="1" applyFill="1" applyBorder="1" applyAlignment="1">
      <alignment horizontal="center" vertical="top"/>
    </xf>
    <xf numFmtId="164" fontId="4" fillId="3" borderId="41" xfId="1" applyNumberFormat="1" applyFont="1" applyFill="1" applyBorder="1" applyAlignment="1">
      <alignment horizontal="center"/>
    </xf>
    <xf numFmtId="164" fontId="4" fillId="3" borderId="41" xfId="1" applyFont="1" applyFill="1" applyBorder="1" applyAlignment="1">
      <alignment horizontal="center"/>
    </xf>
    <xf numFmtId="164" fontId="4" fillId="3" borderId="41" xfId="0" applyNumberFormat="1" applyFont="1" applyFill="1" applyBorder="1"/>
    <xf numFmtId="0" fontId="4" fillId="11" borderId="41" xfId="0" applyFont="1" applyFill="1" applyBorder="1" applyAlignment="1">
      <alignment horizontal="left"/>
    </xf>
    <xf numFmtId="0" fontId="10" fillId="19" borderId="41" xfId="0" applyFont="1" applyFill="1" applyBorder="1" applyAlignment="1">
      <alignment horizontal="center"/>
    </xf>
    <xf numFmtId="164" fontId="4" fillId="0" borderId="41" xfId="1" applyFont="1" applyBorder="1" applyAlignment="1">
      <alignment horizontal="right"/>
    </xf>
    <xf numFmtId="164" fontId="4" fillId="0" borderId="41" xfId="1" applyFont="1" applyBorder="1"/>
    <xf numFmtId="43" fontId="4" fillId="0" borderId="41" xfId="0" applyNumberFormat="1" applyFont="1" applyBorder="1"/>
    <xf numFmtId="14" fontId="4" fillId="0" borderId="41" xfId="0" applyNumberFormat="1" applyFont="1" applyBorder="1" applyAlignment="1">
      <alignment horizontal="left" vertical="top"/>
    </xf>
    <xf numFmtId="0" fontId="3" fillId="0" borderId="41" xfId="0" applyFont="1" applyBorder="1" applyAlignment="1">
      <alignment horizontal="center"/>
    </xf>
    <xf numFmtId="0" fontId="3" fillId="0" borderId="41" xfId="0" applyFont="1" applyBorder="1" applyAlignment="1">
      <alignment horizontal="left"/>
    </xf>
    <xf numFmtId="0" fontId="4" fillId="12" borderId="41" xfId="0" applyFont="1" applyFill="1" applyBorder="1" applyAlignment="1">
      <alignment horizontal="center"/>
    </xf>
    <xf numFmtId="0" fontId="4" fillId="11" borderId="43" xfId="0" applyFont="1" applyFill="1" applyBorder="1" applyAlignment="1">
      <alignment horizontal="left"/>
    </xf>
    <xf numFmtId="0" fontId="4" fillId="11" borderId="43" xfId="0" applyFont="1" applyFill="1" applyBorder="1" applyAlignment="1">
      <alignment horizontal="center"/>
    </xf>
    <xf numFmtId="0" fontId="4" fillId="11" borderId="41" xfId="0" applyFont="1" applyFill="1" applyBorder="1" applyAlignment="1">
      <alignment horizontal="center"/>
    </xf>
    <xf numFmtId="0" fontId="4" fillId="13" borderId="42" xfId="0" applyFont="1" applyFill="1" applyBorder="1" applyAlignment="1">
      <alignment horizontal="left"/>
    </xf>
    <xf numFmtId="0" fontId="4" fillId="12" borderId="41" xfId="0" applyFont="1" applyFill="1" applyBorder="1" applyAlignment="1">
      <alignment horizontal="left"/>
    </xf>
    <xf numFmtId="0" fontId="4" fillId="0" borderId="44" xfId="0" applyFont="1" applyBorder="1"/>
    <xf numFmtId="0" fontId="3" fillId="14" borderId="45" xfId="0" applyFont="1" applyFill="1" applyBorder="1" applyAlignment="1">
      <alignment horizontal="left"/>
    </xf>
    <xf numFmtId="0" fontId="4" fillId="0" borderId="45" xfId="0" applyFont="1" applyBorder="1" applyAlignment="1">
      <alignment horizontal="left"/>
    </xf>
    <xf numFmtId="49" fontId="3" fillId="0" borderId="45" xfId="0" applyNumberFormat="1" applyFont="1" applyFill="1" applyBorder="1" applyAlignment="1">
      <alignment horizontal="right"/>
    </xf>
    <xf numFmtId="49" fontId="4" fillId="0" borderId="45" xfId="0" applyNumberFormat="1" applyFont="1" applyFill="1" applyBorder="1" applyAlignment="1">
      <alignment horizontal="left"/>
    </xf>
    <xf numFmtId="14" fontId="4" fillId="0" borderId="45" xfId="0" applyNumberFormat="1" applyFont="1" applyFill="1" applyBorder="1" applyAlignment="1">
      <alignment horizontal="left"/>
    </xf>
    <xf numFmtId="49" fontId="4" fillId="11" borderId="45" xfId="0" applyNumberFormat="1" applyFont="1" applyFill="1" applyBorder="1" applyAlignment="1">
      <alignment horizontal="right"/>
    </xf>
    <xf numFmtId="49" fontId="3" fillId="11" borderId="45" xfId="0" applyNumberFormat="1" applyFont="1" applyFill="1" applyBorder="1" applyAlignment="1">
      <alignment horizontal="left"/>
    </xf>
    <xf numFmtId="0" fontId="5" fillId="0" borderId="45" xfId="0" applyFont="1" applyFill="1" applyBorder="1" applyAlignment="1">
      <alignment horizontal="left"/>
    </xf>
    <xf numFmtId="0" fontId="3" fillId="11" borderId="45" xfId="0" applyFont="1" applyFill="1" applyBorder="1" applyAlignment="1">
      <alignment horizontal="center"/>
    </xf>
    <xf numFmtId="14" fontId="4" fillId="11" borderId="45" xfId="0" applyNumberFormat="1" applyFont="1" applyFill="1" applyBorder="1" applyAlignment="1">
      <alignment horizontal="left"/>
    </xf>
    <xf numFmtId="0" fontId="4" fillId="0" borderId="46" xfId="0" applyFont="1" applyBorder="1" applyAlignment="1">
      <alignment horizontal="left"/>
    </xf>
    <xf numFmtId="164" fontId="4" fillId="0" borderId="45" xfId="1" applyFont="1" applyBorder="1" applyAlignment="1">
      <alignment horizontal="center"/>
    </xf>
    <xf numFmtId="164" fontId="4" fillId="3" borderId="47" xfId="1" applyFont="1" applyFill="1" applyBorder="1"/>
    <xf numFmtId="0" fontId="4" fillId="3" borderId="45" xfId="0" applyFont="1" applyFill="1" applyBorder="1"/>
    <xf numFmtId="164" fontId="4" fillId="3" borderId="45" xfId="1" applyFont="1" applyFill="1" applyBorder="1"/>
    <xf numFmtId="164" fontId="4" fillId="3" borderId="45" xfId="1" applyNumberFormat="1" applyFont="1" applyFill="1" applyBorder="1" applyAlignment="1">
      <alignment horizontal="center" vertical="top"/>
    </xf>
    <xf numFmtId="164" fontId="4" fillId="3" borderId="45" xfId="1" applyNumberFormat="1" applyFont="1" applyFill="1" applyBorder="1" applyAlignment="1">
      <alignment horizontal="center"/>
    </xf>
    <xf numFmtId="164" fontId="4" fillId="3" borderId="45" xfId="1" applyFont="1" applyFill="1" applyBorder="1" applyAlignment="1">
      <alignment horizontal="center"/>
    </xf>
    <xf numFmtId="164" fontId="4" fillId="3" borderId="45" xfId="0" applyNumberFormat="1" applyFont="1" applyFill="1" applyBorder="1"/>
    <xf numFmtId="0" fontId="4" fillId="11" borderId="45" xfId="0" applyFont="1" applyFill="1" applyBorder="1" applyAlignment="1">
      <alignment horizontal="left"/>
    </xf>
    <xf numFmtId="0" fontId="10" fillId="19" borderId="45" xfId="0" applyFont="1" applyFill="1" applyBorder="1" applyAlignment="1">
      <alignment horizontal="center"/>
    </xf>
    <xf numFmtId="164" fontId="4" fillId="0" borderId="45" xfId="1" applyFont="1" applyBorder="1" applyAlignment="1">
      <alignment horizontal="right"/>
    </xf>
    <xf numFmtId="164" fontId="4" fillId="0" borderId="45" xfId="1" applyFont="1" applyBorder="1"/>
    <xf numFmtId="43" fontId="4" fillId="0" borderId="45" xfId="0" applyNumberFormat="1" applyFont="1" applyBorder="1"/>
    <xf numFmtId="14" fontId="4" fillId="0" borderId="45" xfId="0" applyNumberFormat="1" applyFont="1" applyBorder="1" applyAlignment="1">
      <alignment horizontal="left" vertical="top"/>
    </xf>
    <xf numFmtId="0" fontId="3" fillId="0" borderId="45" xfId="0" applyFont="1" applyBorder="1" applyAlignment="1">
      <alignment horizontal="center"/>
    </xf>
    <xf numFmtId="0" fontId="3" fillId="0" borderId="45" xfId="0" applyFont="1" applyBorder="1" applyAlignment="1">
      <alignment horizontal="left"/>
    </xf>
    <xf numFmtId="0" fontId="4" fillId="12" borderId="45" xfId="0" applyFont="1" applyFill="1" applyBorder="1" applyAlignment="1">
      <alignment horizontal="center"/>
    </xf>
    <xf numFmtId="0" fontId="4" fillId="11" borderId="47" xfId="0" applyFont="1" applyFill="1" applyBorder="1" applyAlignment="1">
      <alignment horizontal="left"/>
    </xf>
    <xf numFmtId="0" fontId="4" fillId="11" borderId="47" xfId="0" applyFont="1" applyFill="1" applyBorder="1" applyAlignment="1">
      <alignment horizontal="center"/>
    </xf>
    <xf numFmtId="0" fontId="4" fillId="11" borderId="45" xfId="0" applyFont="1" applyFill="1" applyBorder="1" applyAlignment="1">
      <alignment horizontal="center"/>
    </xf>
    <xf numFmtId="0" fontId="4" fillId="13" borderId="46" xfId="0" applyFont="1" applyFill="1" applyBorder="1" applyAlignment="1">
      <alignment horizontal="left"/>
    </xf>
    <xf numFmtId="0" fontId="4" fillId="12" borderId="45" xfId="0" applyFont="1" applyFill="1" applyBorder="1" applyAlignment="1">
      <alignment horizontal="left"/>
    </xf>
    <xf numFmtId="0" fontId="4" fillId="0" borderId="48" xfId="0" applyFont="1" applyBorder="1"/>
    <xf numFmtId="49" fontId="4" fillId="11" borderId="13" xfId="0" applyNumberFormat="1" applyFont="1" applyFill="1" applyBorder="1" applyAlignment="1">
      <alignment horizontal="left"/>
    </xf>
    <xf numFmtId="49" fontId="10" fillId="19" borderId="13" xfId="0" applyNumberFormat="1" applyFont="1" applyFill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14" fontId="4" fillId="0" borderId="13" xfId="1" applyNumberFormat="1" applyFont="1" applyBorder="1" applyAlignment="1">
      <alignment horizontal="left" vertical="top"/>
    </xf>
    <xf numFmtId="0" fontId="4" fillId="4" borderId="1" xfId="0" applyFont="1" applyFill="1" applyBorder="1" applyAlignment="1">
      <alignment vertical="top"/>
    </xf>
    <xf numFmtId="164" fontId="4" fillId="6" borderId="13" xfId="1" applyNumberFormat="1" applyFont="1" applyFill="1" applyBorder="1" applyAlignment="1">
      <alignment horizontal="center"/>
    </xf>
    <xf numFmtId="0" fontId="4" fillId="12" borderId="18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left"/>
    </xf>
    <xf numFmtId="49" fontId="20" fillId="0" borderId="1" xfId="0" applyNumberFormat="1" applyFont="1" applyFill="1" applyBorder="1" applyAlignment="1">
      <alignment horizontal="right"/>
    </xf>
    <xf numFmtId="49" fontId="3" fillId="3" borderId="25" xfId="0" applyNumberFormat="1" applyFont="1" applyFill="1" applyBorder="1" applyAlignment="1">
      <alignment horizontal="right"/>
    </xf>
    <xf numFmtId="49" fontId="4" fillId="3" borderId="25" xfId="0" applyNumberFormat="1" applyFont="1" applyFill="1" applyBorder="1" applyAlignment="1">
      <alignment horizontal="left"/>
    </xf>
    <xf numFmtId="14" fontId="4" fillId="3" borderId="25" xfId="0" applyNumberFormat="1" applyFont="1" applyFill="1" applyBorder="1" applyAlignment="1">
      <alignment horizontal="left"/>
    </xf>
    <xf numFmtId="49" fontId="4" fillId="3" borderId="25" xfId="0" applyNumberFormat="1" applyFont="1" applyFill="1" applyBorder="1" applyAlignment="1">
      <alignment horizontal="right"/>
    </xf>
    <xf numFmtId="49" fontId="3" fillId="3" borderId="25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left"/>
    </xf>
    <xf numFmtId="0" fontId="5" fillId="3" borderId="25" xfId="0" applyFont="1" applyFill="1" applyBorder="1" applyAlignment="1">
      <alignment horizontal="left"/>
    </xf>
    <xf numFmtId="0" fontId="3" fillId="3" borderId="25" xfId="0" applyFont="1" applyFill="1" applyBorder="1" applyAlignment="1">
      <alignment horizontal="center"/>
    </xf>
    <xf numFmtId="164" fontId="4" fillId="3" borderId="27" xfId="1" applyFont="1" applyFill="1" applyBorder="1"/>
    <xf numFmtId="0" fontId="4" fillId="3" borderId="25" xfId="0" applyFont="1" applyFill="1" applyBorder="1"/>
    <xf numFmtId="164" fontId="4" fillId="3" borderId="25" xfId="1" applyFont="1" applyFill="1" applyBorder="1"/>
    <xf numFmtId="164" fontId="4" fillId="3" borderId="25" xfId="1" applyNumberFormat="1" applyFont="1" applyFill="1" applyBorder="1" applyAlignment="1">
      <alignment horizontal="center" vertical="top"/>
    </xf>
    <xf numFmtId="164" fontId="4" fillId="3" borderId="25" xfId="1" applyNumberFormat="1" applyFont="1" applyFill="1" applyBorder="1" applyAlignment="1">
      <alignment horizontal="center"/>
    </xf>
    <xf numFmtId="164" fontId="4" fillId="3" borderId="25" xfId="1" applyFont="1" applyFill="1" applyBorder="1" applyAlignment="1">
      <alignment horizontal="center"/>
    </xf>
    <xf numFmtId="164" fontId="4" fillId="3" borderId="25" xfId="0" applyNumberFormat="1" applyFont="1" applyFill="1" applyBorder="1"/>
    <xf numFmtId="0" fontId="4" fillId="12" borderId="25" xfId="0" applyFont="1" applyFill="1" applyBorder="1" applyAlignment="1">
      <alignment horizontal="left"/>
    </xf>
    <xf numFmtId="49" fontId="3" fillId="0" borderId="11" xfId="0" applyNumberFormat="1" applyFont="1" applyFill="1" applyBorder="1" applyAlignment="1">
      <alignment horizontal="right" vertical="top"/>
    </xf>
    <xf numFmtId="49" fontId="4" fillId="0" borderId="11" xfId="0" applyNumberFormat="1" applyFont="1" applyFill="1" applyBorder="1" applyAlignment="1">
      <alignment horizontal="left" vertical="top"/>
    </xf>
    <xf numFmtId="14" fontId="4" fillId="0" borderId="11" xfId="0" applyNumberFormat="1" applyFont="1" applyFill="1" applyBorder="1" applyAlignment="1">
      <alignment horizontal="left" vertical="top" wrapText="1"/>
    </xf>
    <xf numFmtId="164" fontId="4" fillId="0" borderId="11" xfId="1" applyFont="1" applyBorder="1" applyAlignment="1">
      <alignment horizontal="center" vertical="top"/>
    </xf>
    <xf numFmtId="164" fontId="4" fillId="14" borderId="11" xfId="1" applyNumberFormat="1" applyFont="1" applyFill="1" applyBorder="1" applyAlignment="1">
      <alignment horizontal="center" vertical="top"/>
    </xf>
    <xf numFmtId="164" fontId="4" fillId="17" borderId="11" xfId="1" applyFont="1" applyFill="1" applyBorder="1" applyAlignment="1">
      <alignment horizontal="center" vertical="top"/>
    </xf>
    <xf numFmtId="164" fontId="4" fillId="17" borderId="11" xfId="1" applyNumberFormat="1" applyFont="1" applyFill="1" applyBorder="1" applyAlignment="1">
      <alignment horizontal="center" vertical="top"/>
    </xf>
    <xf numFmtId="164" fontId="4" fillId="18" borderId="11" xfId="1" applyNumberFormat="1" applyFont="1" applyFill="1" applyBorder="1" applyAlignment="1">
      <alignment horizontal="center" vertical="top"/>
    </xf>
    <xf numFmtId="164" fontId="4" fillId="7" borderId="11" xfId="1" applyFont="1" applyFill="1" applyBorder="1" applyAlignment="1">
      <alignment horizontal="center" vertical="top"/>
    </xf>
    <xf numFmtId="164" fontId="4" fillId="7" borderId="11" xfId="0" applyNumberFormat="1" applyFont="1" applyFill="1" applyBorder="1" applyAlignment="1">
      <alignment vertical="top"/>
    </xf>
    <xf numFmtId="0" fontId="10" fillId="19" borderId="11" xfId="0" applyFont="1" applyFill="1" applyBorder="1" applyAlignment="1">
      <alignment horizontal="center" vertical="top"/>
    </xf>
    <xf numFmtId="164" fontId="4" fillId="0" borderId="11" xfId="1" applyFont="1" applyBorder="1" applyAlignment="1">
      <alignment horizontal="right" vertical="top"/>
    </xf>
    <xf numFmtId="43" fontId="4" fillId="0" borderId="11" xfId="0" applyNumberFormat="1" applyFont="1" applyBorder="1" applyAlignment="1">
      <alignment vertical="top"/>
    </xf>
    <xf numFmtId="0" fontId="4" fillId="11" borderId="2" xfId="0" applyFont="1" applyFill="1" applyBorder="1" applyAlignment="1">
      <alignment horizontal="left" vertical="top"/>
    </xf>
    <xf numFmtId="0" fontId="4" fillId="13" borderId="10" xfId="0" applyFont="1" applyFill="1" applyBorder="1" applyAlignment="1">
      <alignment horizontal="left" vertical="top"/>
    </xf>
    <xf numFmtId="49" fontId="4" fillId="11" borderId="14" xfId="0" applyNumberFormat="1" applyFont="1" applyFill="1" applyBorder="1" applyAlignment="1">
      <alignment horizontal="right" vertical="top"/>
    </xf>
    <xf numFmtId="49" fontId="3" fillId="11" borderId="14" xfId="0" applyNumberFormat="1" applyFont="1" applyFill="1" applyBorder="1" applyAlignment="1">
      <alignment horizontal="left" vertical="top"/>
    </xf>
    <xf numFmtId="14" fontId="4" fillId="0" borderId="14" xfId="0" applyNumberFormat="1" applyFont="1" applyFill="1" applyBorder="1" applyAlignment="1">
      <alignment horizontal="left" vertical="top"/>
    </xf>
    <xf numFmtId="0" fontId="5" fillId="0" borderId="14" xfId="0" applyFont="1" applyFill="1" applyBorder="1" applyAlignment="1">
      <alignment horizontal="left" vertical="top"/>
    </xf>
    <xf numFmtId="0" fontId="3" fillId="11" borderId="14" xfId="0" applyFont="1" applyFill="1" applyBorder="1" applyAlignment="1">
      <alignment horizontal="center" vertical="top"/>
    </xf>
    <xf numFmtId="14" fontId="4" fillId="11" borderId="14" xfId="0" applyNumberFormat="1" applyFont="1" applyFill="1" applyBorder="1" applyAlignment="1">
      <alignment horizontal="left" vertical="top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4" fontId="4" fillId="0" borderId="25" xfId="0" applyNumberFormat="1" applyFont="1" applyBorder="1" applyAlignment="1">
      <alignment horizontal="left" vertical="top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3" fillId="0" borderId="49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4" fillId="11" borderId="49" xfId="0" applyFont="1" applyFill="1" applyBorder="1" applyAlignment="1">
      <alignment horizontal="left"/>
    </xf>
    <xf numFmtId="0" fontId="4" fillId="0" borderId="50" xfId="0" applyFont="1" applyBorder="1" applyAlignment="1">
      <alignment horizontal="left"/>
    </xf>
    <xf numFmtId="164" fontId="4" fillId="0" borderId="49" xfId="1" applyFont="1" applyBorder="1" applyAlignment="1">
      <alignment horizontal="center"/>
    </xf>
    <xf numFmtId="164" fontId="4" fillId="14" borderId="49" xfId="1" applyNumberFormat="1" applyFont="1" applyFill="1" applyBorder="1" applyAlignment="1">
      <alignment horizontal="center"/>
    </xf>
    <xf numFmtId="164" fontId="4" fillId="17" borderId="49" xfId="1" applyFont="1" applyFill="1" applyBorder="1" applyAlignment="1">
      <alignment horizontal="center"/>
    </xf>
    <xf numFmtId="164" fontId="4" fillId="17" borderId="49" xfId="1" applyNumberFormat="1" applyFont="1" applyFill="1" applyBorder="1" applyAlignment="1">
      <alignment horizontal="center"/>
    </xf>
    <xf numFmtId="164" fontId="4" fillId="18" borderId="49" xfId="1" applyNumberFormat="1" applyFont="1" applyFill="1" applyBorder="1" applyAlignment="1">
      <alignment horizontal="center"/>
    </xf>
    <xf numFmtId="164" fontId="4" fillId="7" borderId="49" xfId="1" applyFont="1" applyFill="1" applyBorder="1" applyAlignment="1">
      <alignment horizontal="center"/>
    </xf>
    <xf numFmtId="164" fontId="4" fillId="7" borderId="49" xfId="0" applyNumberFormat="1" applyFont="1" applyFill="1" applyBorder="1"/>
    <xf numFmtId="0" fontId="10" fillId="19" borderId="49" xfId="0" applyFont="1" applyFill="1" applyBorder="1" applyAlignment="1">
      <alignment horizontal="center"/>
    </xf>
    <xf numFmtId="164" fontId="4" fillId="0" borderId="49" xfId="1" applyFont="1" applyBorder="1" applyAlignment="1">
      <alignment horizontal="right"/>
    </xf>
    <xf numFmtId="164" fontId="4" fillId="0" borderId="49" xfId="1" applyFont="1" applyBorder="1"/>
    <xf numFmtId="43" fontId="4" fillId="0" borderId="49" xfId="0" applyNumberFormat="1" applyFont="1" applyBorder="1"/>
    <xf numFmtId="0" fontId="3" fillId="0" borderId="49" xfId="0" applyFont="1" applyBorder="1" applyAlignment="1">
      <alignment horizontal="center"/>
    </xf>
    <xf numFmtId="0" fontId="4" fillId="12" borderId="49" xfId="0" applyFont="1" applyFill="1" applyBorder="1" applyAlignment="1">
      <alignment horizontal="center"/>
    </xf>
    <xf numFmtId="0" fontId="4" fillId="11" borderId="51" xfId="0" applyFont="1" applyFill="1" applyBorder="1" applyAlignment="1">
      <alignment horizontal="left"/>
    </xf>
    <xf numFmtId="0" fontId="4" fillId="11" borderId="51" xfId="0" applyFont="1" applyFill="1" applyBorder="1" applyAlignment="1">
      <alignment horizontal="center"/>
    </xf>
    <xf numFmtId="0" fontId="4" fillId="11" borderId="49" xfId="0" applyFont="1" applyFill="1" applyBorder="1" applyAlignment="1">
      <alignment horizontal="center"/>
    </xf>
    <xf numFmtId="0" fontId="4" fillId="13" borderId="50" xfId="0" applyFont="1" applyFill="1" applyBorder="1" applyAlignment="1">
      <alignment horizontal="left"/>
    </xf>
    <xf numFmtId="0" fontId="4" fillId="0" borderId="52" xfId="0" applyFont="1" applyBorder="1"/>
    <xf numFmtId="49" fontId="3" fillId="3" borderId="49" xfId="0" applyNumberFormat="1" applyFont="1" applyFill="1" applyBorder="1" applyAlignment="1">
      <alignment horizontal="right"/>
    </xf>
    <xf numFmtId="49" fontId="4" fillId="3" borderId="49" xfId="0" applyNumberFormat="1" applyFont="1" applyFill="1" applyBorder="1" applyAlignment="1">
      <alignment horizontal="left"/>
    </xf>
    <xf numFmtId="14" fontId="4" fillId="3" borderId="49" xfId="0" applyNumberFormat="1" applyFont="1" applyFill="1" applyBorder="1" applyAlignment="1">
      <alignment horizontal="left"/>
    </xf>
    <xf numFmtId="49" fontId="4" fillId="3" borderId="49" xfId="0" applyNumberFormat="1" applyFont="1" applyFill="1" applyBorder="1" applyAlignment="1">
      <alignment horizontal="right"/>
    </xf>
    <xf numFmtId="49" fontId="3" fillId="3" borderId="49" xfId="0" applyNumberFormat="1" applyFont="1" applyFill="1" applyBorder="1" applyAlignment="1">
      <alignment horizontal="left"/>
    </xf>
    <xf numFmtId="0" fontId="4" fillId="3" borderId="49" xfId="0" applyFont="1" applyFill="1" applyBorder="1" applyAlignment="1">
      <alignment horizontal="left"/>
    </xf>
    <xf numFmtId="0" fontId="5" fillId="3" borderId="49" xfId="0" applyFont="1" applyFill="1" applyBorder="1" applyAlignment="1">
      <alignment horizontal="left"/>
    </xf>
    <xf numFmtId="0" fontId="3" fillId="3" borderId="49" xfId="0" applyFont="1" applyFill="1" applyBorder="1" applyAlignment="1">
      <alignment horizontal="center"/>
    </xf>
    <xf numFmtId="164" fontId="4" fillId="3" borderId="51" xfId="1" applyFont="1" applyFill="1" applyBorder="1"/>
    <xf numFmtId="0" fontId="4" fillId="3" borderId="49" xfId="0" applyFont="1" applyFill="1" applyBorder="1"/>
    <xf numFmtId="164" fontId="4" fillId="3" borderId="49" xfId="1" applyFont="1" applyFill="1" applyBorder="1"/>
    <xf numFmtId="164" fontId="4" fillId="3" borderId="49" xfId="1" applyNumberFormat="1" applyFont="1" applyFill="1" applyBorder="1" applyAlignment="1">
      <alignment horizontal="center" vertical="top"/>
    </xf>
    <xf numFmtId="164" fontId="4" fillId="3" borderId="49" xfId="1" applyNumberFormat="1" applyFont="1" applyFill="1" applyBorder="1" applyAlignment="1">
      <alignment horizontal="center"/>
    </xf>
    <xf numFmtId="14" fontId="4" fillId="0" borderId="49" xfId="0" applyNumberFormat="1" applyFont="1" applyBorder="1" applyAlignment="1">
      <alignment horizontal="left" vertical="top"/>
    </xf>
    <xf numFmtId="0" fontId="4" fillId="12" borderId="1" xfId="0" applyFont="1" applyFill="1" applyBorder="1" applyAlignment="1">
      <alignment horizontal="center"/>
    </xf>
    <xf numFmtId="0" fontId="4" fillId="12" borderId="49" xfId="0" applyFont="1" applyFill="1" applyBorder="1" applyAlignment="1">
      <alignment horizontal="left"/>
    </xf>
    <xf numFmtId="0" fontId="4" fillId="0" borderId="53" xfId="0" applyFont="1" applyBorder="1" applyAlignment="1">
      <alignment horizontal="left"/>
    </xf>
    <xf numFmtId="49" fontId="3" fillId="0" borderId="53" xfId="0" applyNumberFormat="1" applyFont="1" applyFill="1" applyBorder="1" applyAlignment="1">
      <alignment horizontal="right"/>
    </xf>
    <xf numFmtId="49" fontId="4" fillId="0" borderId="53" xfId="0" applyNumberFormat="1" applyFont="1" applyFill="1" applyBorder="1" applyAlignment="1">
      <alignment horizontal="left"/>
    </xf>
    <xf numFmtId="14" fontId="4" fillId="0" borderId="53" xfId="0" applyNumberFormat="1" applyFont="1" applyFill="1" applyBorder="1" applyAlignment="1">
      <alignment horizontal="left"/>
    </xf>
    <xf numFmtId="49" fontId="4" fillId="11" borderId="53" xfId="0" applyNumberFormat="1" applyFont="1" applyFill="1" applyBorder="1" applyAlignment="1">
      <alignment horizontal="right"/>
    </xf>
    <xf numFmtId="49" fontId="3" fillId="11" borderId="53" xfId="0" applyNumberFormat="1" applyFont="1" applyFill="1" applyBorder="1" applyAlignment="1">
      <alignment horizontal="left"/>
    </xf>
    <xf numFmtId="0" fontId="4" fillId="0" borderId="53" xfId="0" applyFont="1" applyFill="1" applyBorder="1" applyAlignment="1">
      <alignment horizontal="left"/>
    </xf>
    <xf numFmtId="0" fontId="5" fillId="0" borderId="53" xfId="0" applyFont="1" applyFill="1" applyBorder="1" applyAlignment="1">
      <alignment horizontal="left"/>
    </xf>
    <xf numFmtId="0" fontId="3" fillId="11" borderId="53" xfId="0" applyFont="1" applyFill="1" applyBorder="1" applyAlignment="1">
      <alignment horizontal="center"/>
    </xf>
    <xf numFmtId="0" fontId="4" fillId="11" borderId="53" xfId="0" applyFont="1" applyFill="1" applyBorder="1" applyAlignment="1">
      <alignment horizontal="left"/>
    </xf>
    <xf numFmtId="164" fontId="4" fillId="0" borderId="53" xfId="1" applyFont="1" applyBorder="1" applyAlignment="1">
      <alignment horizontal="center"/>
    </xf>
    <xf numFmtId="164" fontId="4" fillId="3" borderId="54" xfId="1" applyFont="1" applyFill="1" applyBorder="1"/>
    <xf numFmtId="0" fontId="4" fillId="3" borderId="53" xfId="0" applyFont="1" applyFill="1" applyBorder="1"/>
    <xf numFmtId="164" fontId="4" fillId="3" borderId="53" xfId="1" applyFont="1" applyFill="1" applyBorder="1"/>
    <xf numFmtId="164" fontId="4" fillId="3" borderId="53" xfId="1" applyNumberFormat="1" applyFont="1" applyFill="1" applyBorder="1" applyAlignment="1">
      <alignment horizontal="center" vertical="top"/>
    </xf>
    <xf numFmtId="164" fontId="4" fillId="3" borderId="53" xfId="1" applyNumberFormat="1" applyFont="1" applyFill="1" applyBorder="1" applyAlignment="1">
      <alignment horizontal="center"/>
    </xf>
    <xf numFmtId="164" fontId="4" fillId="17" borderId="53" xfId="1" applyFont="1" applyFill="1" applyBorder="1" applyAlignment="1">
      <alignment horizontal="center"/>
    </xf>
    <xf numFmtId="164" fontId="4" fillId="17" borderId="53" xfId="1" applyNumberFormat="1" applyFont="1" applyFill="1" applyBorder="1" applyAlignment="1">
      <alignment horizontal="center"/>
    </xf>
    <xf numFmtId="164" fontId="4" fillId="7" borderId="53" xfId="1" applyFont="1" applyFill="1" applyBorder="1" applyAlignment="1">
      <alignment horizontal="center"/>
    </xf>
    <xf numFmtId="164" fontId="4" fillId="7" borderId="53" xfId="0" applyNumberFormat="1" applyFont="1" applyFill="1" applyBorder="1"/>
    <xf numFmtId="0" fontId="4" fillId="12" borderId="53" xfId="0" applyFont="1" applyFill="1" applyBorder="1" applyAlignment="1">
      <alignment horizontal="center"/>
    </xf>
    <xf numFmtId="0" fontId="4" fillId="11" borderId="54" xfId="0" applyFont="1" applyFill="1" applyBorder="1" applyAlignment="1">
      <alignment horizontal="left"/>
    </xf>
    <xf numFmtId="0" fontId="4" fillId="11" borderId="54" xfId="0" applyFont="1" applyFill="1" applyBorder="1" applyAlignment="1">
      <alignment horizontal="center"/>
    </xf>
    <xf numFmtId="0" fontId="4" fillId="11" borderId="53" xfId="0" applyFont="1" applyFill="1" applyBorder="1" applyAlignment="1">
      <alignment horizontal="center"/>
    </xf>
    <xf numFmtId="0" fontId="4" fillId="13" borderId="55" xfId="0" applyFont="1" applyFill="1" applyBorder="1" applyAlignment="1">
      <alignment horizontal="left"/>
    </xf>
    <xf numFmtId="0" fontId="4" fillId="12" borderId="53" xfId="0" applyFont="1" applyFill="1" applyBorder="1" applyAlignment="1">
      <alignment horizontal="left"/>
    </xf>
    <xf numFmtId="0" fontId="4" fillId="11" borderId="56" xfId="0" applyFont="1" applyFill="1" applyBorder="1" applyAlignment="1">
      <alignment horizontal="left"/>
    </xf>
    <xf numFmtId="0" fontId="10" fillId="19" borderId="56" xfId="0" applyFont="1" applyFill="1" applyBorder="1" applyAlignment="1">
      <alignment horizontal="center"/>
    </xf>
    <xf numFmtId="164" fontId="4" fillId="0" borderId="56" xfId="1" applyFont="1" applyBorder="1" applyAlignment="1">
      <alignment horizontal="right"/>
    </xf>
    <xf numFmtId="164" fontId="4" fillId="0" borderId="56" xfId="1" applyFont="1" applyBorder="1"/>
    <xf numFmtId="43" fontId="4" fillId="0" borderId="56" xfId="0" applyNumberFormat="1" applyFont="1" applyBorder="1"/>
    <xf numFmtId="14" fontId="4" fillId="0" borderId="56" xfId="0" applyNumberFormat="1" applyFont="1" applyBorder="1" applyAlignment="1">
      <alignment horizontal="left" vertical="top"/>
    </xf>
    <xf numFmtId="0" fontId="3" fillId="0" borderId="56" xfId="0" applyFont="1" applyBorder="1" applyAlignment="1">
      <alignment horizontal="center"/>
    </xf>
    <xf numFmtId="0" fontId="3" fillId="0" borderId="56" xfId="0" applyFont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4" fontId="2" fillId="0" borderId="1" xfId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/>
    </xf>
    <xf numFmtId="0" fontId="18" fillId="0" borderId="3" xfId="0" applyFont="1" applyBorder="1" applyAlignment="1">
      <alignment horizontal="left"/>
    </xf>
    <xf numFmtId="9" fontId="6" fillId="0" borderId="13" xfId="0" applyNumberFormat="1" applyFont="1" applyBorder="1" applyAlignment="1">
      <alignment horizontal="left"/>
    </xf>
    <xf numFmtId="0" fontId="19" fillId="19" borderId="1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3" fillId="0" borderId="57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49" fontId="3" fillId="0" borderId="57" xfId="0" applyNumberFormat="1" applyFont="1" applyFill="1" applyBorder="1" applyAlignment="1">
      <alignment horizontal="right"/>
    </xf>
    <xf numFmtId="49" fontId="4" fillId="0" borderId="57" xfId="0" applyNumberFormat="1" applyFont="1" applyFill="1" applyBorder="1" applyAlignment="1">
      <alignment horizontal="left"/>
    </xf>
    <xf numFmtId="14" fontId="4" fillId="0" borderId="57" xfId="0" applyNumberFormat="1" applyFont="1" applyFill="1" applyBorder="1" applyAlignment="1">
      <alignment horizontal="left"/>
    </xf>
    <xf numFmtId="49" fontId="4" fillId="11" borderId="57" xfId="0" applyNumberFormat="1" applyFont="1" applyFill="1" applyBorder="1" applyAlignment="1">
      <alignment horizontal="right"/>
    </xf>
    <xf numFmtId="49" fontId="3" fillId="11" borderId="57" xfId="0" applyNumberFormat="1" applyFont="1" applyFill="1" applyBorder="1" applyAlignment="1">
      <alignment horizontal="left"/>
    </xf>
    <xf numFmtId="0" fontId="4" fillId="0" borderId="57" xfId="0" applyFont="1" applyFill="1" applyBorder="1" applyAlignment="1">
      <alignment horizontal="left"/>
    </xf>
    <xf numFmtId="0" fontId="5" fillId="0" borderId="57" xfId="0" applyFont="1" applyFill="1" applyBorder="1" applyAlignment="1">
      <alignment horizontal="left"/>
    </xf>
    <xf numFmtId="0" fontId="3" fillId="11" borderId="57" xfId="0" applyFont="1" applyFill="1" applyBorder="1" applyAlignment="1">
      <alignment horizontal="center"/>
    </xf>
    <xf numFmtId="0" fontId="4" fillId="11" borderId="57" xfId="0" applyFont="1" applyFill="1" applyBorder="1" applyAlignment="1">
      <alignment horizontal="left"/>
    </xf>
    <xf numFmtId="0" fontId="4" fillId="0" borderId="58" xfId="0" applyFont="1" applyBorder="1" applyAlignment="1">
      <alignment horizontal="left"/>
    </xf>
    <xf numFmtId="164" fontId="4" fillId="0" borderId="57" xfId="1" applyFont="1" applyBorder="1" applyAlignment="1">
      <alignment horizontal="center"/>
    </xf>
    <xf numFmtId="0" fontId="10" fillId="19" borderId="57" xfId="0" applyFont="1" applyFill="1" applyBorder="1" applyAlignment="1">
      <alignment horizontal="center"/>
    </xf>
    <xf numFmtId="164" fontId="4" fillId="0" borderId="57" xfId="1" applyFont="1" applyBorder="1" applyAlignment="1">
      <alignment horizontal="right"/>
    </xf>
    <xf numFmtId="164" fontId="4" fillId="0" borderId="57" xfId="1" applyFont="1" applyBorder="1"/>
    <xf numFmtId="43" fontId="4" fillId="0" borderId="57" xfId="0" applyNumberFormat="1" applyFont="1" applyBorder="1"/>
    <xf numFmtId="0" fontId="4" fillId="0" borderId="57" xfId="0" applyFont="1" applyBorder="1" applyAlignment="1">
      <alignment horizontal="left" vertical="top"/>
    </xf>
    <xf numFmtId="0" fontId="3" fillId="0" borderId="57" xfId="0" applyFont="1" applyBorder="1" applyAlignment="1">
      <alignment horizontal="center"/>
    </xf>
    <xf numFmtId="0" fontId="4" fillId="12" borderId="57" xfId="0" applyFont="1" applyFill="1" applyBorder="1" applyAlignment="1">
      <alignment horizontal="center"/>
    </xf>
    <xf numFmtId="0" fontId="4" fillId="11" borderId="59" xfId="0" applyFont="1" applyFill="1" applyBorder="1" applyAlignment="1">
      <alignment horizontal="left"/>
    </xf>
    <xf numFmtId="0" fontId="4" fillId="11" borderId="59" xfId="0" applyFont="1" applyFill="1" applyBorder="1" applyAlignment="1">
      <alignment horizontal="center"/>
    </xf>
    <xf numFmtId="0" fontId="4" fillId="11" borderId="57" xfId="0" applyFont="1" applyFill="1" applyBorder="1" applyAlignment="1">
      <alignment horizontal="center"/>
    </xf>
    <xf numFmtId="0" fontId="4" fillId="13" borderId="58" xfId="0" applyFont="1" applyFill="1" applyBorder="1" applyAlignment="1">
      <alignment horizontal="left"/>
    </xf>
    <xf numFmtId="0" fontId="4" fillId="0" borderId="60" xfId="0" applyFont="1" applyBorder="1"/>
    <xf numFmtId="0" fontId="3" fillId="14" borderId="53" xfId="0" applyFont="1" applyFill="1" applyBorder="1" applyAlignment="1">
      <alignment horizontal="left"/>
    </xf>
    <xf numFmtId="0" fontId="3" fillId="14" borderId="21" xfId="0" applyFont="1" applyFill="1" applyBorder="1" applyAlignment="1">
      <alignment horizontal="left"/>
    </xf>
    <xf numFmtId="0" fontId="3" fillId="14" borderId="29" xfId="0" applyFont="1" applyFill="1" applyBorder="1" applyAlignment="1">
      <alignment horizontal="left"/>
    </xf>
    <xf numFmtId="0" fontId="3" fillId="14" borderId="49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right"/>
    </xf>
    <xf numFmtId="49" fontId="4" fillId="4" borderId="4" xfId="0" applyNumberFormat="1" applyFont="1" applyFill="1" applyBorder="1" applyAlignment="1">
      <alignment horizontal="left"/>
    </xf>
    <xf numFmtId="14" fontId="4" fillId="4" borderId="4" xfId="0" applyNumberFormat="1" applyFon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right"/>
    </xf>
    <xf numFmtId="49" fontId="3" fillId="4" borderId="4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164" fontId="4" fillId="4" borderId="4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0" fontId="10" fillId="4" borderId="4" xfId="0" applyFont="1" applyFill="1" applyBorder="1" applyAlignment="1">
      <alignment horizontal="center"/>
    </xf>
    <xf numFmtId="164" fontId="4" fillId="4" borderId="4" xfId="1" applyFont="1" applyFill="1" applyBorder="1" applyAlignment="1">
      <alignment horizontal="right"/>
    </xf>
    <xf numFmtId="43" fontId="4" fillId="4" borderId="4" xfId="0" applyNumberFormat="1" applyFont="1" applyFill="1" applyBorder="1"/>
    <xf numFmtId="0" fontId="4" fillId="4" borderId="4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center"/>
    </xf>
    <xf numFmtId="164" fontId="4" fillId="3" borderId="59" xfId="1" applyFont="1" applyFill="1" applyBorder="1"/>
    <xf numFmtId="0" fontId="4" fillId="3" borderId="57" xfId="0" applyFont="1" applyFill="1" applyBorder="1"/>
    <xf numFmtId="164" fontId="4" fillId="3" borderId="57" xfId="1" applyFont="1" applyFill="1" applyBorder="1"/>
    <xf numFmtId="164" fontId="4" fillId="3" borderId="57" xfId="1" applyNumberFormat="1" applyFont="1" applyFill="1" applyBorder="1" applyAlignment="1">
      <alignment horizontal="center" vertical="top"/>
    </xf>
    <xf numFmtId="164" fontId="4" fillId="3" borderId="57" xfId="1" applyNumberFormat="1" applyFont="1" applyFill="1" applyBorder="1" applyAlignment="1">
      <alignment horizontal="center"/>
    </xf>
    <xf numFmtId="164" fontId="4" fillId="3" borderId="57" xfId="1" applyFont="1" applyFill="1" applyBorder="1" applyAlignment="1">
      <alignment horizontal="center"/>
    </xf>
    <xf numFmtId="164" fontId="4" fillId="3" borderId="57" xfId="0" applyNumberFormat="1" applyFont="1" applyFill="1" applyBorder="1"/>
    <xf numFmtId="0" fontId="4" fillId="12" borderId="57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vertical="top"/>
    </xf>
    <xf numFmtId="0" fontId="4" fillId="6" borderId="4" xfId="0" applyFont="1" applyFill="1" applyBorder="1" applyAlignment="1">
      <alignment vertical="top" wrapText="1"/>
    </xf>
    <xf numFmtId="0" fontId="4" fillId="6" borderId="3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/>
    </xf>
    <xf numFmtId="0" fontId="4" fillId="11" borderId="4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vertical="top"/>
    </xf>
    <xf numFmtId="0" fontId="10" fillId="19" borderId="3" xfId="0" applyFont="1" applyFill="1" applyBorder="1" applyAlignment="1">
      <alignment horizontal="center" vertical="top"/>
    </xf>
    <xf numFmtId="164" fontId="4" fillId="0" borderId="3" xfId="1" applyFont="1" applyBorder="1" applyAlignment="1">
      <alignment horizontal="right" vertical="top"/>
    </xf>
    <xf numFmtId="43" fontId="4" fillId="0" borderId="3" xfId="0" applyNumberFormat="1" applyFont="1" applyBorder="1" applyAlignment="1">
      <alignment vertical="top"/>
    </xf>
    <xf numFmtId="0" fontId="4" fillId="11" borderId="3" xfId="0" applyFont="1" applyFill="1" applyBorder="1" applyAlignment="1">
      <alignment horizontal="left" vertical="top" wrapText="1"/>
    </xf>
    <xf numFmtId="0" fontId="9" fillId="2" borderId="3" xfId="0" applyFont="1" applyFill="1" applyBorder="1"/>
    <xf numFmtId="0" fontId="4" fillId="12" borderId="1" xfId="0" applyFont="1" applyFill="1" applyBorder="1" applyAlignment="1">
      <alignment horizontal="center"/>
    </xf>
    <xf numFmtId="0" fontId="3" fillId="0" borderId="61" xfId="0" applyFont="1" applyBorder="1" applyAlignment="1">
      <alignment horizontal="left"/>
    </xf>
    <xf numFmtId="0" fontId="4" fillId="0" borderId="61" xfId="0" applyFont="1" applyBorder="1" applyAlignment="1">
      <alignment horizontal="left"/>
    </xf>
    <xf numFmtId="49" fontId="3" fillId="3" borderId="61" xfId="0" applyNumberFormat="1" applyFont="1" applyFill="1" applyBorder="1" applyAlignment="1">
      <alignment horizontal="right"/>
    </xf>
    <xf numFmtId="49" fontId="4" fillId="3" borderId="61" xfId="0" applyNumberFormat="1" applyFont="1" applyFill="1" applyBorder="1" applyAlignment="1">
      <alignment horizontal="left"/>
    </xf>
    <xf numFmtId="14" fontId="4" fillId="3" borderId="61" xfId="0" applyNumberFormat="1" applyFont="1" applyFill="1" applyBorder="1" applyAlignment="1">
      <alignment horizontal="left"/>
    </xf>
    <xf numFmtId="49" fontId="4" fillId="3" borderId="61" xfId="0" applyNumberFormat="1" applyFont="1" applyFill="1" applyBorder="1" applyAlignment="1">
      <alignment horizontal="right"/>
    </xf>
    <xf numFmtId="49" fontId="3" fillId="3" borderId="61" xfId="0" applyNumberFormat="1" applyFont="1" applyFill="1" applyBorder="1" applyAlignment="1">
      <alignment horizontal="left"/>
    </xf>
    <xf numFmtId="0" fontId="4" fillId="3" borderId="61" xfId="0" applyFont="1" applyFill="1" applyBorder="1" applyAlignment="1">
      <alignment horizontal="left"/>
    </xf>
    <xf numFmtId="0" fontId="5" fillId="3" borderId="61" xfId="0" applyFont="1" applyFill="1" applyBorder="1" applyAlignment="1">
      <alignment horizontal="left"/>
    </xf>
    <xf numFmtId="0" fontId="3" fillId="3" borderId="61" xfId="0" applyFont="1" applyFill="1" applyBorder="1" applyAlignment="1">
      <alignment horizontal="center"/>
    </xf>
    <xf numFmtId="0" fontId="4" fillId="0" borderId="62" xfId="0" applyFont="1" applyBorder="1" applyAlignment="1">
      <alignment horizontal="left"/>
    </xf>
    <xf numFmtId="164" fontId="4" fillId="0" borderId="61" xfId="1" applyFont="1" applyBorder="1" applyAlignment="1">
      <alignment horizontal="center"/>
    </xf>
    <xf numFmtId="0" fontId="4" fillId="11" borderId="61" xfId="0" applyFont="1" applyFill="1" applyBorder="1" applyAlignment="1">
      <alignment horizontal="left"/>
    </xf>
    <xf numFmtId="0" fontId="10" fillId="19" borderId="61" xfId="0" applyFont="1" applyFill="1" applyBorder="1" applyAlignment="1">
      <alignment horizontal="center"/>
    </xf>
    <xf numFmtId="164" fontId="4" fillId="0" borderId="61" xfId="1" applyFont="1" applyBorder="1" applyAlignment="1">
      <alignment horizontal="right"/>
    </xf>
    <xf numFmtId="164" fontId="4" fillId="0" borderId="61" xfId="1" applyFont="1" applyBorder="1"/>
    <xf numFmtId="43" fontId="4" fillId="0" borderId="61" xfId="0" applyNumberFormat="1" applyFont="1" applyBorder="1"/>
    <xf numFmtId="0" fontId="3" fillId="0" borderId="61" xfId="0" applyFont="1" applyBorder="1" applyAlignment="1">
      <alignment horizontal="center"/>
    </xf>
    <xf numFmtId="0" fontId="4" fillId="12" borderId="61" xfId="0" applyFont="1" applyFill="1" applyBorder="1" applyAlignment="1">
      <alignment horizontal="center"/>
    </xf>
    <xf numFmtId="0" fontId="4" fillId="11" borderId="63" xfId="0" applyFont="1" applyFill="1" applyBorder="1" applyAlignment="1">
      <alignment horizontal="left"/>
    </xf>
    <xf numFmtId="0" fontId="4" fillId="11" borderId="63" xfId="0" applyFont="1" applyFill="1" applyBorder="1" applyAlignment="1">
      <alignment horizontal="center"/>
    </xf>
    <xf numFmtId="0" fontId="4" fillId="11" borderId="61" xfId="0" applyFont="1" applyFill="1" applyBorder="1" applyAlignment="1">
      <alignment horizontal="center"/>
    </xf>
    <xf numFmtId="0" fontId="4" fillId="13" borderId="62" xfId="0" applyFont="1" applyFill="1" applyBorder="1" applyAlignment="1">
      <alignment horizontal="left"/>
    </xf>
    <xf numFmtId="0" fontId="4" fillId="0" borderId="64" xfId="0" applyFont="1" applyBorder="1"/>
    <xf numFmtId="164" fontId="4" fillId="3" borderId="63" xfId="1" applyFont="1" applyFill="1" applyBorder="1"/>
    <xf numFmtId="0" fontId="4" fillId="3" borderId="61" xfId="0" applyFont="1" applyFill="1" applyBorder="1"/>
    <xf numFmtId="164" fontId="4" fillId="3" borderId="61" xfId="1" applyFont="1" applyFill="1" applyBorder="1"/>
    <xf numFmtId="164" fontId="4" fillId="3" borderId="61" xfId="1" applyNumberFormat="1" applyFont="1" applyFill="1" applyBorder="1" applyAlignment="1">
      <alignment horizontal="center" vertical="top"/>
    </xf>
    <xf numFmtId="164" fontId="4" fillId="3" borderId="61" xfId="1" applyNumberFormat="1" applyFont="1" applyFill="1" applyBorder="1" applyAlignment="1">
      <alignment horizontal="center"/>
    </xf>
    <xf numFmtId="164" fontId="4" fillId="3" borderId="61" xfId="1" applyFont="1" applyFill="1" applyBorder="1" applyAlignment="1">
      <alignment horizontal="center"/>
    </xf>
    <xf numFmtId="164" fontId="4" fillId="3" borderId="61" xfId="0" applyNumberFormat="1" applyFont="1" applyFill="1" applyBorder="1"/>
    <xf numFmtId="0" fontId="4" fillId="12" borderId="61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4" fontId="4" fillId="0" borderId="61" xfId="0" applyNumberFormat="1" applyFont="1" applyBorder="1" applyAlignment="1">
      <alignment horizontal="left" vertical="top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4" fontId="2" fillId="6" borderId="1" xfId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3" fillId="0" borderId="65" xfId="0" applyFont="1" applyBorder="1" applyAlignment="1">
      <alignment horizontal="left"/>
    </xf>
    <xf numFmtId="0" fontId="4" fillId="0" borderId="65" xfId="0" applyFont="1" applyBorder="1" applyAlignment="1">
      <alignment horizontal="left"/>
    </xf>
    <xf numFmtId="0" fontId="4" fillId="11" borderId="65" xfId="0" applyFont="1" applyFill="1" applyBorder="1" applyAlignment="1">
      <alignment horizontal="left"/>
    </xf>
    <xf numFmtId="0" fontId="4" fillId="0" borderId="66" xfId="0" applyFont="1" applyBorder="1" applyAlignment="1">
      <alignment horizontal="left"/>
    </xf>
    <xf numFmtId="164" fontId="4" fillId="0" borderId="65" xfId="1" applyFont="1" applyBorder="1" applyAlignment="1">
      <alignment horizontal="center"/>
    </xf>
    <xf numFmtId="0" fontId="10" fillId="19" borderId="65" xfId="0" applyFont="1" applyFill="1" applyBorder="1" applyAlignment="1">
      <alignment horizontal="center"/>
    </xf>
    <xf numFmtId="164" fontId="4" fillId="0" borderId="65" xfId="1" applyFont="1" applyBorder="1" applyAlignment="1">
      <alignment horizontal="right"/>
    </xf>
    <xf numFmtId="164" fontId="4" fillId="0" borderId="65" xfId="1" applyFont="1" applyBorder="1"/>
    <xf numFmtId="43" fontId="4" fillId="0" borderId="65" xfId="0" applyNumberFormat="1" applyFont="1" applyBorder="1"/>
    <xf numFmtId="0" fontId="3" fillId="0" borderId="65" xfId="0" applyFont="1" applyBorder="1" applyAlignment="1">
      <alignment horizontal="center"/>
    </xf>
    <xf numFmtId="0" fontId="4" fillId="12" borderId="65" xfId="0" applyFont="1" applyFill="1" applyBorder="1" applyAlignment="1">
      <alignment horizontal="center"/>
    </xf>
    <xf numFmtId="0" fontId="4" fillId="11" borderId="67" xfId="0" applyFont="1" applyFill="1" applyBorder="1" applyAlignment="1">
      <alignment horizontal="left"/>
    </xf>
    <xf numFmtId="0" fontId="4" fillId="11" borderId="67" xfId="0" applyFont="1" applyFill="1" applyBorder="1" applyAlignment="1">
      <alignment horizontal="center"/>
    </xf>
    <xf numFmtId="0" fontId="4" fillId="11" borderId="65" xfId="0" applyFont="1" applyFill="1" applyBorder="1" applyAlignment="1">
      <alignment horizontal="center"/>
    </xf>
    <xf numFmtId="0" fontId="4" fillId="13" borderId="66" xfId="0" applyFont="1" applyFill="1" applyBorder="1" applyAlignment="1">
      <alignment horizontal="left"/>
    </xf>
    <xf numFmtId="0" fontId="4" fillId="13" borderId="65" xfId="0" applyFont="1" applyFill="1" applyBorder="1" applyAlignment="1">
      <alignment horizontal="left"/>
    </xf>
    <xf numFmtId="0" fontId="4" fillId="0" borderId="68" xfId="0" applyFont="1" applyBorder="1"/>
    <xf numFmtId="49" fontId="3" fillId="3" borderId="65" xfId="0" applyNumberFormat="1" applyFont="1" applyFill="1" applyBorder="1" applyAlignment="1">
      <alignment horizontal="right"/>
    </xf>
    <xf numFmtId="49" fontId="4" fillId="3" borderId="65" xfId="0" applyNumberFormat="1" applyFont="1" applyFill="1" applyBorder="1" applyAlignment="1">
      <alignment horizontal="left"/>
    </xf>
    <xf numFmtId="14" fontId="4" fillId="3" borderId="65" xfId="0" applyNumberFormat="1" applyFont="1" applyFill="1" applyBorder="1" applyAlignment="1">
      <alignment horizontal="left"/>
    </xf>
    <xf numFmtId="49" fontId="4" fillId="3" borderId="65" xfId="0" applyNumberFormat="1" applyFont="1" applyFill="1" applyBorder="1" applyAlignment="1">
      <alignment horizontal="right"/>
    </xf>
    <xf numFmtId="49" fontId="3" fillId="3" borderId="65" xfId="0" applyNumberFormat="1" applyFont="1" applyFill="1" applyBorder="1" applyAlignment="1">
      <alignment horizontal="left"/>
    </xf>
    <xf numFmtId="0" fontId="4" fillId="3" borderId="65" xfId="0" applyFont="1" applyFill="1" applyBorder="1" applyAlignment="1">
      <alignment horizontal="left"/>
    </xf>
    <xf numFmtId="0" fontId="5" fillId="3" borderId="65" xfId="0" applyFont="1" applyFill="1" applyBorder="1" applyAlignment="1">
      <alignment horizontal="left"/>
    </xf>
    <xf numFmtId="0" fontId="3" fillId="3" borderId="65" xfId="0" applyFont="1" applyFill="1" applyBorder="1" applyAlignment="1">
      <alignment horizontal="center"/>
    </xf>
    <xf numFmtId="164" fontId="4" fillId="3" borderId="67" xfId="1" applyFont="1" applyFill="1" applyBorder="1"/>
    <xf numFmtId="0" fontId="4" fillId="3" borderId="65" xfId="0" applyFont="1" applyFill="1" applyBorder="1"/>
    <xf numFmtId="164" fontId="4" fillId="3" borderId="65" xfId="1" applyFont="1" applyFill="1" applyBorder="1"/>
    <xf numFmtId="164" fontId="4" fillId="3" borderId="65" xfId="1" applyNumberFormat="1" applyFont="1" applyFill="1" applyBorder="1" applyAlignment="1">
      <alignment horizontal="center" vertical="top"/>
    </xf>
    <xf numFmtId="164" fontId="4" fillId="3" borderId="65" xfId="1" applyNumberFormat="1" applyFont="1" applyFill="1" applyBorder="1" applyAlignment="1">
      <alignment horizontal="center"/>
    </xf>
    <xf numFmtId="164" fontId="4" fillId="3" borderId="65" xfId="1" applyFont="1" applyFill="1" applyBorder="1" applyAlignment="1">
      <alignment horizontal="center"/>
    </xf>
    <xf numFmtId="164" fontId="4" fillId="3" borderId="65" xfId="0" applyNumberFormat="1" applyFont="1" applyFill="1" applyBorder="1"/>
    <xf numFmtId="0" fontId="4" fillId="12" borderId="65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1" borderId="69" xfId="0" applyFont="1" applyFill="1" applyBorder="1" applyAlignment="1">
      <alignment horizontal="left"/>
    </xf>
    <xf numFmtId="0" fontId="10" fillId="19" borderId="69" xfId="0" applyFont="1" applyFill="1" applyBorder="1" applyAlignment="1">
      <alignment horizontal="center"/>
    </xf>
    <xf numFmtId="164" fontId="4" fillId="0" borderId="69" xfId="1" applyFont="1" applyBorder="1" applyAlignment="1">
      <alignment horizontal="right"/>
    </xf>
    <xf numFmtId="164" fontId="4" fillId="0" borderId="69" xfId="1" applyFont="1" applyBorder="1"/>
    <xf numFmtId="43" fontId="4" fillId="0" borderId="69" xfId="0" applyNumberFormat="1" applyFont="1" applyBorder="1"/>
    <xf numFmtId="14" fontId="4" fillId="0" borderId="69" xfId="0" applyNumberFormat="1" applyFont="1" applyBorder="1" applyAlignment="1">
      <alignment horizontal="left" vertical="top"/>
    </xf>
    <xf numFmtId="0" fontId="3" fillId="0" borderId="69" xfId="0" applyFont="1" applyBorder="1" applyAlignment="1">
      <alignment horizontal="center"/>
    </xf>
    <xf numFmtId="9" fontId="3" fillId="0" borderId="69" xfId="0" applyNumberFormat="1" applyFont="1" applyBorder="1" applyAlignment="1">
      <alignment horizontal="left"/>
    </xf>
    <xf numFmtId="0" fontId="4" fillId="12" borderId="70" xfId="0" applyFont="1" applyFill="1" applyBorder="1" applyAlignment="1">
      <alignment horizontal="center"/>
    </xf>
    <xf numFmtId="0" fontId="4" fillId="11" borderId="71" xfId="0" applyFont="1" applyFill="1" applyBorder="1" applyAlignment="1">
      <alignment horizontal="left"/>
    </xf>
    <xf numFmtId="0" fontId="4" fillId="11" borderId="71" xfId="0" applyFont="1" applyFill="1" applyBorder="1" applyAlignment="1">
      <alignment horizontal="center"/>
    </xf>
    <xf numFmtId="0" fontId="4" fillId="11" borderId="70" xfId="0" applyFont="1" applyFill="1" applyBorder="1" applyAlignment="1">
      <alignment horizontal="center"/>
    </xf>
    <xf numFmtId="0" fontId="4" fillId="13" borderId="72" xfId="0" applyFont="1" applyFill="1" applyBorder="1" applyAlignment="1">
      <alignment horizontal="left"/>
    </xf>
    <xf numFmtId="0" fontId="4" fillId="11" borderId="70" xfId="0" applyFont="1" applyFill="1" applyBorder="1" applyAlignment="1">
      <alignment horizontal="left"/>
    </xf>
    <xf numFmtId="0" fontId="4" fillId="13" borderId="70" xfId="0" applyFont="1" applyFill="1" applyBorder="1" applyAlignment="1">
      <alignment horizontal="left"/>
    </xf>
    <xf numFmtId="0" fontId="4" fillId="12" borderId="70" xfId="0" applyFont="1" applyFill="1" applyBorder="1" applyAlignment="1">
      <alignment horizontal="left"/>
    </xf>
    <xf numFmtId="0" fontId="3" fillId="0" borderId="70" xfId="0" applyFont="1" applyBorder="1" applyAlignment="1">
      <alignment horizontal="left"/>
    </xf>
    <xf numFmtId="0" fontId="4" fillId="0" borderId="70" xfId="0" applyFont="1" applyBorder="1" applyAlignment="1">
      <alignment horizontal="left"/>
    </xf>
    <xf numFmtId="49" fontId="3" fillId="0" borderId="70" xfId="0" applyNumberFormat="1" applyFont="1" applyFill="1" applyBorder="1" applyAlignment="1">
      <alignment horizontal="right"/>
    </xf>
    <xf numFmtId="49" fontId="4" fillId="0" borderId="70" xfId="0" applyNumberFormat="1" applyFont="1" applyFill="1" applyBorder="1" applyAlignment="1">
      <alignment horizontal="left"/>
    </xf>
    <xf numFmtId="14" fontId="4" fillId="0" borderId="70" xfId="0" applyNumberFormat="1" applyFont="1" applyFill="1" applyBorder="1" applyAlignment="1">
      <alignment horizontal="left"/>
    </xf>
    <xf numFmtId="49" fontId="4" fillId="11" borderId="70" xfId="0" applyNumberFormat="1" applyFont="1" applyFill="1" applyBorder="1" applyAlignment="1">
      <alignment horizontal="right"/>
    </xf>
    <xf numFmtId="49" fontId="3" fillId="11" borderId="70" xfId="0" applyNumberFormat="1" applyFont="1" applyFill="1" applyBorder="1" applyAlignment="1">
      <alignment horizontal="left"/>
    </xf>
    <xf numFmtId="0" fontId="4" fillId="0" borderId="70" xfId="0" applyFont="1" applyFill="1" applyBorder="1" applyAlignment="1">
      <alignment horizontal="left"/>
    </xf>
    <xf numFmtId="0" fontId="5" fillId="0" borderId="70" xfId="0" applyFont="1" applyFill="1" applyBorder="1" applyAlignment="1">
      <alignment horizontal="left"/>
    </xf>
    <xf numFmtId="0" fontId="3" fillId="11" borderId="70" xfId="0" applyFont="1" applyFill="1" applyBorder="1" applyAlignment="1">
      <alignment horizontal="center"/>
    </xf>
    <xf numFmtId="0" fontId="4" fillId="0" borderId="72" xfId="0" applyFont="1" applyBorder="1" applyAlignment="1">
      <alignment horizontal="left"/>
    </xf>
    <xf numFmtId="164" fontId="4" fillId="0" borderId="70" xfId="1" applyFont="1" applyBorder="1" applyAlignment="1">
      <alignment horizontal="center"/>
    </xf>
    <xf numFmtId="164" fontId="4" fillId="9" borderId="71" xfId="1" applyFont="1" applyFill="1" applyBorder="1"/>
    <xf numFmtId="0" fontId="4" fillId="6" borderId="70" xfId="0" applyFont="1" applyFill="1" applyBorder="1"/>
    <xf numFmtId="164" fontId="4" fillId="6" borderId="70" xfId="1" applyFont="1" applyFill="1" applyBorder="1"/>
    <xf numFmtId="164" fontId="4" fillId="6" borderId="70" xfId="1" applyNumberFormat="1" applyFont="1" applyFill="1" applyBorder="1" applyAlignment="1">
      <alignment horizontal="center" vertical="top"/>
    </xf>
    <xf numFmtId="164" fontId="4" fillId="6" borderId="70" xfId="1" applyNumberFormat="1" applyFont="1" applyFill="1" applyBorder="1" applyAlignment="1">
      <alignment horizontal="center"/>
    </xf>
    <xf numFmtId="164" fontId="4" fillId="14" borderId="70" xfId="1" applyNumberFormat="1" applyFont="1" applyFill="1" applyBorder="1" applyAlignment="1">
      <alignment horizontal="center"/>
    </xf>
    <xf numFmtId="164" fontId="4" fillId="17" borderId="70" xfId="1" applyFont="1" applyFill="1" applyBorder="1" applyAlignment="1">
      <alignment horizontal="center"/>
    </xf>
    <xf numFmtId="164" fontId="4" fillId="17" borderId="70" xfId="1" applyNumberFormat="1" applyFont="1" applyFill="1" applyBorder="1" applyAlignment="1">
      <alignment horizontal="center"/>
    </xf>
    <xf numFmtId="164" fontId="4" fillId="18" borderId="70" xfId="1" applyNumberFormat="1" applyFont="1" applyFill="1" applyBorder="1" applyAlignment="1">
      <alignment horizontal="center"/>
    </xf>
    <xf numFmtId="164" fontId="4" fillId="7" borderId="70" xfId="1" applyFont="1" applyFill="1" applyBorder="1" applyAlignment="1">
      <alignment horizontal="center"/>
    </xf>
    <xf numFmtId="164" fontId="4" fillId="7" borderId="70" xfId="0" applyNumberFormat="1" applyFont="1" applyFill="1" applyBorder="1"/>
    <xf numFmtId="14" fontId="4" fillId="0" borderId="65" xfId="0" applyNumberFormat="1" applyFont="1" applyBorder="1" applyAlignment="1">
      <alignment horizontal="left" vertical="top"/>
    </xf>
    <xf numFmtId="49" fontId="4" fillId="11" borderId="13" xfId="0" applyNumberFormat="1" applyFont="1" applyFill="1" applyBorder="1" applyAlignment="1">
      <alignment horizontal="right" vertical="top"/>
    </xf>
    <xf numFmtId="49" fontId="3" fillId="11" borderId="13" xfId="0" applyNumberFormat="1" applyFont="1" applyFill="1" applyBorder="1" applyAlignment="1">
      <alignment horizontal="left" vertical="top"/>
    </xf>
    <xf numFmtId="49" fontId="4" fillId="4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left"/>
    </xf>
    <xf numFmtId="0" fontId="4" fillId="0" borderId="10" xfId="0" applyFont="1" applyBorder="1" applyAlignment="1">
      <alignment horizontal="left" vertical="top"/>
    </xf>
    <xf numFmtId="164" fontId="4" fillId="3" borderId="2" xfId="1" applyFont="1" applyFill="1" applyBorder="1" applyAlignment="1">
      <alignment vertical="top"/>
    </xf>
    <xf numFmtId="0" fontId="4" fillId="6" borderId="11" xfId="0" applyFont="1" applyFill="1" applyBorder="1" applyAlignment="1">
      <alignment vertical="top" wrapText="1"/>
    </xf>
    <xf numFmtId="49" fontId="4" fillId="11" borderId="15" xfId="0" applyNumberFormat="1" applyFont="1" applyFill="1" applyBorder="1" applyAlignment="1">
      <alignment horizontal="right" vertical="top"/>
    </xf>
    <xf numFmtId="49" fontId="3" fillId="11" borderId="15" xfId="0" applyNumberFormat="1" applyFont="1" applyFill="1" applyBorder="1" applyAlignment="1">
      <alignment horizontal="left" vertical="top"/>
    </xf>
    <xf numFmtId="14" fontId="4" fillId="0" borderId="15" xfId="0" applyNumberFormat="1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left" vertical="top"/>
    </xf>
    <xf numFmtId="0" fontId="3" fillId="11" borderId="15" xfId="0" applyFont="1" applyFill="1" applyBorder="1" applyAlignment="1">
      <alignment horizontal="center" vertical="top"/>
    </xf>
    <xf numFmtId="14" fontId="4" fillId="11" borderId="15" xfId="0" applyNumberFormat="1" applyFont="1" applyFill="1" applyBorder="1" applyAlignment="1">
      <alignment horizontal="left" vertical="top"/>
    </xf>
    <xf numFmtId="164" fontId="4" fillId="4" borderId="2" xfId="1" applyFont="1" applyFill="1" applyBorder="1"/>
    <xf numFmtId="164" fontId="4" fillId="4" borderId="11" xfId="1" applyFont="1" applyFill="1" applyBorder="1"/>
    <xf numFmtId="164" fontId="4" fillId="4" borderId="11" xfId="1" applyNumberFormat="1" applyFont="1" applyFill="1" applyBorder="1" applyAlignment="1">
      <alignment horizontal="center" vertical="top"/>
    </xf>
    <xf numFmtId="164" fontId="4" fillId="4" borderId="11" xfId="1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4" fontId="2" fillId="0" borderId="8" xfId="1" applyFont="1" applyFill="1" applyBorder="1" applyAlignment="1">
      <alignment horizontal="center" vertical="center"/>
    </xf>
    <xf numFmtId="164" fontId="2" fillId="0" borderId="7" xfId="1" applyFont="1" applyFill="1" applyBorder="1" applyAlignment="1">
      <alignment horizontal="center" vertical="center"/>
    </xf>
    <xf numFmtId="164" fontId="2" fillId="0" borderId="18" xfId="1" applyFont="1" applyFill="1" applyBorder="1" applyAlignment="1">
      <alignment horizontal="center" vertical="center"/>
    </xf>
    <xf numFmtId="164" fontId="2" fillId="6" borderId="1" xfId="1" applyFont="1" applyFill="1" applyBorder="1" applyAlignment="1">
      <alignment horizontal="center" vertical="center"/>
    </xf>
    <xf numFmtId="164" fontId="2" fillId="9" borderId="5" xfId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164" fontId="2" fillId="10" borderId="8" xfId="1" applyFont="1" applyFill="1" applyBorder="1" applyAlignment="1">
      <alignment horizontal="center" vertical="center"/>
    </xf>
    <xf numFmtId="164" fontId="2" fillId="10" borderId="7" xfId="1" applyFont="1" applyFill="1" applyBorder="1" applyAlignment="1">
      <alignment horizontal="center" vertical="center"/>
    </xf>
    <xf numFmtId="164" fontId="2" fillId="10" borderId="18" xfId="1" applyFont="1" applyFill="1" applyBorder="1" applyAlignment="1">
      <alignment horizontal="center" vertical="center"/>
    </xf>
    <xf numFmtId="164" fontId="2" fillId="0" borderId="3" xfId="1" applyFont="1" applyFill="1" applyBorder="1" applyAlignment="1">
      <alignment horizontal="center" vertical="center"/>
    </xf>
    <xf numFmtId="164" fontId="2" fillId="0" borderId="4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2" fillId="11" borderId="1" xfId="1" applyFont="1" applyFill="1" applyBorder="1" applyAlignment="1">
      <alignment horizontal="left" vertical="center"/>
    </xf>
    <xf numFmtId="164" fontId="2" fillId="8" borderId="1" xfId="1" applyFont="1" applyFill="1" applyBorder="1" applyAlignment="1">
      <alignment horizontal="center" vertical="center"/>
    </xf>
    <xf numFmtId="165" fontId="2" fillId="7" borderId="1" xfId="1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49" fontId="2" fillId="11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2" borderId="7" xfId="0" applyFont="1" applyFill="1" applyBorder="1" applyAlignment="1">
      <alignment horizontal="left"/>
    </xf>
    <xf numFmtId="164" fontId="2" fillId="17" borderId="6" xfId="1" applyFont="1" applyFill="1" applyBorder="1" applyAlignment="1">
      <alignment horizontal="center" vertical="center"/>
    </xf>
    <xf numFmtId="164" fontId="2" fillId="17" borderId="20" xfId="1" applyFont="1" applyFill="1" applyBorder="1" applyAlignment="1">
      <alignment horizontal="center" vertical="center"/>
    </xf>
    <xf numFmtId="164" fontId="2" fillId="17" borderId="5" xfId="1" applyFont="1" applyFill="1" applyBorder="1" applyAlignment="1">
      <alignment horizontal="center" vertical="center"/>
    </xf>
    <xf numFmtId="164" fontId="2" fillId="19" borderId="3" xfId="1" applyFont="1" applyFill="1" applyBorder="1" applyAlignment="1">
      <alignment horizontal="center" vertical="center"/>
    </xf>
    <xf numFmtId="164" fontId="2" fillId="19" borderId="4" xfId="1" applyFont="1" applyFill="1" applyBorder="1" applyAlignment="1">
      <alignment horizontal="center" vertical="center"/>
    </xf>
    <xf numFmtId="164" fontId="2" fillId="18" borderId="6" xfId="1" applyFont="1" applyFill="1" applyBorder="1" applyAlignment="1">
      <alignment horizontal="center" vertical="center"/>
    </xf>
    <xf numFmtId="164" fontId="2" fillId="18" borderId="5" xfId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/>
    </xf>
    <xf numFmtId="49" fontId="4" fillId="11" borderId="11" xfId="0" applyNumberFormat="1" applyFont="1" applyFill="1" applyBorder="1" applyAlignment="1">
      <alignment horizontal="right" vertical="top"/>
    </xf>
    <xf numFmtId="49" fontId="3" fillId="11" borderId="11" xfId="0" applyNumberFormat="1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3" fillId="11" borderId="11" xfId="0" applyFont="1" applyFill="1" applyBorder="1" applyAlignment="1">
      <alignment horizontal="center" vertical="top"/>
    </xf>
    <xf numFmtId="14" fontId="4" fillId="11" borderId="11" xfId="0" applyNumberFormat="1" applyFont="1" applyFill="1" applyBorder="1" applyAlignment="1">
      <alignment horizontal="left" vertical="top"/>
    </xf>
    <xf numFmtId="0" fontId="7" fillId="11" borderId="15" xfId="0" applyFont="1" applyFill="1" applyBorder="1" applyAlignment="1">
      <alignment horizontal="left" vertical="top"/>
    </xf>
    <xf numFmtId="0" fontId="19" fillId="19" borderId="15" xfId="0" applyFont="1" applyFill="1" applyBorder="1" applyAlignment="1">
      <alignment horizontal="center" vertical="top"/>
    </xf>
    <xf numFmtId="164" fontId="7" fillId="0" borderId="15" xfId="1" applyFont="1" applyBorder="1" applyAlignment="1">
      <alignment horizontal="right" vertical="top"/>
    </xf>
    <xf numFmtId="164" fontId="7" fillId="0" borderId="15" xfId="1" applyFont="1" applyBorder="1" applyAlignment="1">
      <alignment vertical="top"/>
    </xf>
    <xf numFmtId="43" fontId="7" fillId="0" borderId="15" xfId="0" applyNumberFormat="1" applyFont="1" applyBorder="1" applyAlignment="1">
      <alignment vertical="top"/>
    </xf>
    <xf numFmtId="0" fontId="6" fillId="0" borderId="15" xfId="0" applyFont="1" applyBorder="1" applyAlignment="1">
      <alignment horizontal="center" vertical="top"/>
    </xf>
    <xf numFmtId="0" fontId="10" fillId="19" borderId="14" xfId="0" applyFont="1" applyFill="1" applyBorder="1" applyAlignment="1">
      <alignment horizontal="center" vertical="top"/>
    </xf>
    <xf numFmtId="164" fontId="4" fillId="0" borderId="14" xfId="1" applyFont="1" applyBorder="1" applyAlignment="1">
      <alignment horizontal="right" vertical="top"/>
    </xf>
    <xf numFmtId="164" fontId="4" fillId="0" borderId="14" xfId="1" applyFont="1" applyBorder="1" applyAlignment="1">
      <alignment vertical="top"/>
    </xf>
    <xf numFmtId="43" fontId="4" fillId="0" borderId="14" xfId="0" applyNumberFormat="1" applyFont="1" applyBorder="1" applyAlignment="1">
      <alignment vertical="top"/>
    </xf>
    <xf numFmtId="0" fontId="3" fillId="0" borderId="14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9966FF"/>
      <color rgb="FFFF99CC"/>
      <color rgb="FFCC3399"/>
      <color rgb="FFFC5432"/>
      <color rgb="FFFF66CC"/>
      <color rgb="FF33CCCC"/>
      <color rgb="FF9900CC"/>
      <color rgb="FF6600FF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769"/>
  <sheetViews>
    <sheetView zoomScale="120" zoomScaleNormal="12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J19" sqref="J19"/>
    </sheetView>
  </sheetViews>
  <sheetFormatPr defaultColWidth="9" defaultRowHeight="21.75" x14ac:dyDescent="0.5"/>
  <cols>
    <col min="1" max="1" width="12.33203125" style="21" bestFit="1" customWidth="1"/>
    <col min="2" max="2" width="18.1640625" style="22" bestFit="1" customWidth="1"/>
    <col min="3" max="3" width="7.5" style="23" bestFit="1" customWidth="1"/>
    <col min="4" max="4" width="6" style="24" bestFit="1" customWidth="1"/>
    <col min="5" max="5" width="7.5" style="25" customWidth="1"/>
    <col min="6" max="6" width="6" style="26" customWidth="1"/>
    <col min="7" max="7" width="13" style="22" bestFit="1" customWidth="1"/>
    <col min="8" max="8" width="10" style="27" bestFit="1" customWidth="1"/>
    <col min="9" max="9" width="5.83203125" style="39" bestFit="1" customWidth="1"/>
    <col min="10" max="10" width="13" style="22" bestFit="1" customWidth="1"/>
    <col min="11" max="11" width="58.6640625" style="42" bestFit="1" customWidth="1"/>
    <col min="12" max="12" width="56.83203125" style="520" bestFit="1" customWidth="1"/>
    <col min="13" max="13" width="14.1640625" style="22" bestFit="1" customWidth="1"/>
    <col min="14" max="14" width="18.5" style="63" bestFit="1" customWidth="1"/>
    <col min="15" max="15" width="16" style="63" bestFit="1" customWidth="1"/>
    <col min="16" max="16" width="18.1640625" style="63" bestFit="1" customWidth="1"/>
    <col min="17" max="17" width="16" style="30" bestFit="1" customWidth="1"/>
    <col min="18" max="18" width="26" style="31" bestFit="1" customWidth="1"/>
    <col min="19" max="19" width="19.6640625" style="32" bestFit="1" customWidth="1"/>
    <col min="20" max="20" width="8.5" style="33" bestFit="1" customWidth="1"/>
    <col min="21" max="21" width="16.33203125" style="516" bestFit="1" customWidth="1"/>
    <col min="22" max="22" width="19.6640625" style="517" bestFit="1" customWidth="1"/>
    <col min="23" max="23" width="9.83203125" style="518" bestFit="1" customWidth="1"/>
    <col min="24" max="24" width="14.83203125" style="518" bestFit="1" customWidth="1"/>
    <col min="25" max="25" width="8.5" style="519" bestFit="1" customWidth="1"/>
    <col min="26" max="26" width="14.83203125" style="38" bestFit="1" customWidth="1"/>
    <col min="27" max="27" width="19.33203125" style="40" bestFit="1" customWidth="1"/>
    <col min="28" max="28" width="18.5" style="41" bestFit="1" customWidth="1"/>
    <col min="29" max="29" width="16" style="42" bestFit="1" customWidth="1"/>
    <col min="30" max="30" width="18.5" style="42" bestFit="1" customWidth="1"/>
    <col min="31" max="31" width="15.6640625" style="43" bestFit="1" customWidth="1"/>
    <col min="32" max="32" width="7.83203125" style="39" bestFit="1" customWidth="1"/>
    <col min="33" max="33" width="10.6640625" style="39" bestFit="1" customWidth="1"/>
    <col min="34" max="34" width="13.1640625" style="39" bestFit="1" customWidth="1"/>
    <col min="35" max="35" width="50.83203125" style="21" bestFit="1" customWidth="1"/>
    <col min="36" max="36" width="7.83203125" style="44" bestFit="1" customWidth="1"/>
    <col min="37" max="37" width="27.6640625" style="45" bestFit="1" customWidth="1"/>
    <col min="38" max="39" width="7.1640625" style="46" bestFit="1" customWidth="1"/>
    <col min="40" max="40" width="10.83203125" style="47" bestFit="1" customWidth="1"/>
    <col min="41" max="41" width="11.83203125" style="48" bestFit="1" customWidth="1"/>
    <col min="42" max="42" width="7.83203125" style="44" bestFit="1" customWidth="1"/>
    <col min="43" max="43" width="22.83203125" style="40" bestFit="1" customWidth="1"/>
    <col min="44" max="45" width="7.1640625" style="47" bestFit="1" customWidth="1"/>
    <col min="46" max="46" width="10.83203125" style="47" bestFit="1" customWidth="1"/>
    <col min="47" max="47" width="11.83203125" style="49" bestFit="1" customWidth="1"/>
    <col min="48" max="48" width="6.83203125" style="44" bestFit="1" customWidth="1"/>
    <col min="49" max="49" width="26.6640625" style="40" bestFit="1" customWidth="1"/>
    <col min="50" max="51" width="7.1640625" style="47" bestFit="1" customWidth="1"/>
    <col min="52" max="52" width="10.83203125" style="47" bestFit="1" customWidth="1"/>
    <col min="53" max="53" width="11.83203125" style="49" bestFit="1" customWidth="1"/>
    <col min="54" max="54" width="7.83203125" style="44" bestFit="1" customWidth="1"/>
    <col min="55" max="55" width="18.83203125" style="40" bestFit="1" customWidth="1"/>
    <col min="56" max="57" width="7.1640625" style="47" bestFit="1" customWidth="1"/>
    <col min="58" max="58" width="10.83203125" style="47" bestFit="1" customWidth="1"/>
    <col min="59" max="59" width="11.83203125" style="49" bestFit="1" customWidth="1"/>
    <col min="60" max="60" width="7.83203125" style="44" bestFit="1" customWidth="1"/>
    <col min="61" max="61" width="17" style="40" bestFit="1" customWidth="1"/>
    <col min="62" max="63" width="7.1640625" style="47" bestFit="1" customWidth="1"/>
    <col min="64" max="64" width="10.83203125" style="47" bestFit="1" customWidth="1"/>
    <col min="65" max="65" width="11.83203125" style="50" bestFit="1" customWidth="1"/>
    <col min="66" max="66" width="7.83203125" style="44" bestFit="1" customWidth="1"/>
    <col min="67" max="67" width="17.33203125" style="40" bestFit="1" customWidth="1"/>
    <col min="68" max="69" width="7.1640625" style="47" bestFit="1" customWidth="1"/>
    <col min="70" max="70" width="10.83203125" style="47" bestFit="1" customWidth="1"/>
    <col min="71" max="71" width="11.83203125" style="50" bestFit="1" customWidth="1"/>
    <col min="72" max="72" width="7.83203125" style="44" bestFit="1" customWidth="1"/>
    <col min="73" max="73" width="17.83203125" style="40" bestFit="1" customWidth="1"/>
    <col min="74" max="75" width="7.1640625" style="47" bestFit="1" customWidth="1"/>
    <col min="76" max="76" width="10.83203125" style="47" bestFit="1" customWidth="1"/>
    <col min="77" max="77" width="11.83203125" style="50" bestFit="1" customWidth="1"/>
    <col min="78" max="78" width="7.83203125" style="44" bestFit="1" customWidth="1"/>
    <col min="79" max="79" width="13.6640625" style="40" bestFit="1" customWidth="1"/>
    <col min="80" max="81" width="7.1640625" style="47" bestFit="1" customWidth="1"/>
    <col min="82" max="82" width="10.83203125" style="47" bestFit="1" customWidth="1"/>
    <col min="83" max="83" width="11.83203125" style="50" bestFit="1" customWidth="1"/>
    <col min="84" max="84" width="21.5" style="51" bestFit="1" customWidth="1"/>
    <col min="85" max="16384" width="9" style="51"/>
  </cols>
  <sheetData>
    <row r="1" spans="1:87" s="3" customFormat="1" ht="19.899999999999999" customHeight="1" x14ac:dyDescent="0.5">
      <c r="A1" s="2002" t="s">
        <v>6</v>
      </c>
      <c r="B1" s="2003" t="s">
        <v>7</v>
      </c>
      <c r="C1" s="2005" t="s">
        <v>182</v>
      </c>
      <c r="D1" s="2005"/>
      <c r="E1" s="2005" t="s">
        <v>183</v>
      </c>
      <c r="F1" s="2005"/>
      <c r="G1" s="2002" t="s">
        <v>865</v>
      </c>
      <c r="H1" s="2002"/>
      <c r="I1" s="2006" t="s">
        <v>56</v>
      </c>
      <c r="J1" s="2006"/>
      <c r="K1" s="2002" t="s">
        <v>8</v>
      </c>
      <c r="L1" s="2007" t="s">
        <v>25</v>
      </c>
      <c r="M1" s="2002" t="s">
        <v>49</v>
      </c>
      <c r="N1" s="2008" t="s">
        <v>46</v>
      </c>
      <c r="O1" s="2008" t="s">
        <v>47</v>
      </c>
      <c r="P1" s="2008" t="s">
        <v>48</v>
      </c>
      <c r="Q1" s="1995" t="s">
        <v>404</v>
      </c>
      <c r="R1" s="1994" t="s">
        <v>55</v>
      </c>
      <c r="S1" s="1994"/>
      <c r="T1" s="1994"/>
      <c r="U1" s="1994"/>
      <c r="V1" s="2010" t="s">
        <v>54</v>
      </c>
      <c r="W1" s="2010"/>
      <c r="X1" s="2010"/>
      <c r="Y1" s="2011" t="s">
        <v>557</v>
      </c>
      <c r="Z1" s="2011"/>
      <c r="AA1" s="2009" t="s">
        <v>163</v>
      </c>
      <c r="AB1" s="1996" t="s">
        <v>46</v>
      </c>
      <c r="AC1" s="1996" t="s">
        <v>164</v>
      </c>
      <c r="AD1" s="1996" t="s">
        <v>48</v>
      </c>
      <c r="AE1" s="2000" t="s">
        <v>863</v>
      </c>
      <c r="AF1" s="1991" t="s">
        <v>867</v>
      </c>
      <c r="AG1" s="1992"/>
      <c r="AH1" s="1992"/>
      <c r="AI1" s="1993"/>
      <c r="AJ1" s="1997" t="s">
        <v>579</v>
      </c>
      <c r="AK1" s="1998"/>
      <c r="AL1" s="1998"/>
      <c r="AM1" s="1998"/>
      <c r="AN1" s="1998"/>
      <c r="AO1" s="1998"/>
      <c r="AP1" s="1998"/>
      <c r="AQ1" s="1998"/>
      <c r="AR1" s="1998"/>
      <c r="AS1" s="1998"/>
      <c r="AT1" s="1998"/>
      <c r="AU1" s="1998"/>
      <c r="AV1" s="1998"/>
      <c r="AW1" s="1998"/>
      <c r="AX1" s="1998"/>
      <c r="AY1" s="1998"/>
      <c r="AZ1" s="1998"/>
      <c r="BA1" s="1998"/>
      <c r="BB1" s="1998"/>
      <c r="BC1" s="1998"/>
      <c r="BD1" s="1998"/>
      <c r="BE1" s="1998"/>
      <c r="BF1" s="1998"/>
      <c r="BG1" s="1998"/>
      <c r="BH1" s="1998"/>
      <c r="BI1" s="1998"/>
      <c r="BJ1" s="1998"/>
      <c r="BK1" s="1998"/>
      <c r="BL1" s="1998"/>
      <c r="BM1" s="1998"/>
      <c r="BN1" s="1998"/>
      <c r="BO1" s="1998"/>
      <c r="BP1" s="1998"/>
      <c r="BQ1" s="1998"/>
      <c r="BR1" s="1998"/>
      <c r="BS1" s="1998"/>
      <c r="BT1" s="1998"/>
      <c r="BU1" s="1998"/>
      <c r="BV1" s="1998"/>
      <c r="BW1" s="1998"/>
      <c r="BX1" s="1998"/>
      <c r="BY1" s="1998"/>
      <c r="BZ1" s="1998"/>
      <c r="CA1" s="1998"/>
      <c r="CB1" s="1998"/>
      <c r="CC1" s="1998"/>
      <c r="CD1" s="1998"/>
      <c r="CE1" s="1999"/>
      <c r="CF1" s="1"/>
      <c r="CG1" s="2"/>
      <c r="CH1" s="2"/>
      <c r="CI1" s="2"/>
    </row>
    <row r="2" spans="1:87" s="3" customFormat="1" x14ac:dyDescent="0.5">
      <c r="A2" s="2002"/>
      <c r="B2" s="2004"/>
      <c r="C2" s="2005"/>
      <c r="D2" s="2005"/>
      <c r="E2" s="2005"/>
      <c r="F2" s="2005"/>
      <c r="G2" s="4" t="s">
        <v>866</v>
      </c>
      <c r="H2" s="274" t="s">
        <v>583</v>
      </c>
      <c r="I2" s="12" t="s">
        <v>57</v>
      </c>
      <c r="J2" s="12" t="s">
        <v>58</v>
      </c>
      <c r="K2" s="2002"/>
      <c r="L2" s="2007"/>
      <c r="M2" s="2002"/>
      <c r="N2" s="2008"/>
      <c r="O2" s="2008"/>
      <c r="P2" s="2008"/>
      <c r="Q2" s="1995"/>
      <c r="R2" s="5" t="s">
        <v>556</v>
      </c>
      <c r="S2" s="5" t="s">
        <v>560</v>
      </c>
      <c r="T2" s="6" t="s">
        <v>561</v>
      </c>
      <c r="U2" s="7" t="s">
        <v>559</v>
      </c>
      <c r="V2" s="8" t="s">
        <v>560</v>
      </c>
      <c r="W2" s="9" t="s">
        <v>561</v>
      </c>
      <c r="X2" s="9" t="s">
        <v>559</v>
      </c>
      <c r="Y2" s="10" t="s">
        <v>561</v>
      </c>
      <c r="Z2" s="11" t="s">
        <v>559</v>
      </c>
      <c r="AA2" s="2009"/>
      <c r="AB2" s="1996"/>
      <c r="AC2" s="1996"/>
      <c r="AD2" s="1996"/>
      <c r="AE2" s="2001"/>
      <c r="AF2" s="13" t="s">
        <v>57</v>
      </c>
      <c r="AG2" s="13" t="s">
        <v>868</v>
      </c>
      <c r="AH2" s="13" t="s">
        <v>871</v>
      </c>
      <c r="AI2" s="13" t="s">
        <v>872</v>
      </c>
      <c r="AJ2" s="14" t="s">
        <v>583</v>
      </c>
      <c r="AK2" s="15" t="s">
        <v>584</v>
      </c>
      <c r="AL2" s="15" t="s">
        <v>586</v>
      </c>
      <c r="AM2" s="15" t="s">
        <v>585</v>
      </c>
      <c r="AN2" s="16" t="s">
        <v>581</v>
      </c>
      <c r="AO2" s="17" t="s">
        <v>627</v>
      </c>
      <c r="AP2" s="14" t="s">
        <v>583</v>
      </c>
      <c r="AQ2" s="16" t="s">
        <v>584</v>
      </c>
      <c r="AR2" s="16" t="s">
        <v>586</v>
      </c>
      <c r="AS2" s="16" t="s">
        <v>585</v>
      </c>
      <c r="AT2" s="16" t="s">
        <v>581</v>
      </c>
      <c r="AU2" s="18" t="s">
        <v>627</v>
      </c>
      <c r="AV2" s="14" t="s">
        <v>583</v>
      </c>
      <c r="AW2" s="16" t="s">
        <v>584</v>
      </c>
      <c r="AX2" s="16" t="s">
        <v>586</v>
      </c>
      <c r="AY2" s="16" t="s">
        <v>585</v>
      </c>
      <c r="AZ2" s="16" t="s">
        <v>581</v>
      </c>
      <c r="BA2" s="18" t="s">
        <v>627</v>
      </c>
      <c r="BB2" s="14" t="s">
        <v>583</v>
      </c>
      <c r="BC2" s="16" t="s">
        <v>584</v>
      </c>
      <c r="BD2" s="16" t="s">
        <v>586</v>
      </c>
      <c r="BE2" s="16" t="s">
        <v>585</v>
      </c>
      <c r="BF2" s="16" t="s">
        <v>581</v>
      </c>
      <c r="BG2" s="18" t="s">
        <v>627</v>
      </c>
      <c r="BH2" s="14" t="s">
        <v>583</v>
      </c>
      <c r="BI2" s="16" t="s">
        <v>584</v>
      </c>
      <c r="BJ2" s="16" t="s">
        <v>586</v>
      </c>
      <c r="BK2" s="16" t="s">
        <v>585</v>
      </c>
      <c r="BL2" s="16" t="s">
        <v>581</v>
      </c>
      <c r="BM2" s="18" t="s">
        <v>627</v>
      </c>
      <c r="BN2" s="14" t="s">
        <v>583</v>
      </c>
      <c r="BO2" s="16" t="s">
        <v>584</v>
      </c>
      <c r="BP2" s="16" t="s">
        <v>586</v>
      </c>
      <c r="BQ2" s="16" t="s">
        <v>585</v>
      </c>
      <c r="BR2" s="16" t="s">
        <v>581</v>
      </c>
      <c r="BS2" s="18" t="s">
        <v>627</v>
      </c>
      <c r="BT2" s="14" t="s">
        <v>583</v>
      </c>
      <c r="BU2" s="16" t="s">
        <v>584</v>
      </c>
      <c r="BV2" s="16" t="s">
        <v>586</v>
      </c>
      <c r="BW2" s="16" t="s">
        <v>585</v>
      </c>
      <c r="BX2" s="16" t="s">
        <v>581</v>
      </c>
      <c r="BY2" s="18" t="s">
        <v>627</v>
      </c>
      <c r="BZ2" s="14" t="s">
        <v>583</v>
      </c>
      <c r="CA2" s="16" t="s">
        <v>584</v>
      </c>
      <c r="CB2" s="16" t="s">
        <v>586</v>
      </c>
      <c r="CC2" s="16" t="s">
        <v>585</v>
      </c>
      <c r="CD2" s="16" t="s">
        <v>581</v>
      </c>
      <c r="CE2" s="18" t="s">
        <v>627</v>
      </c>
      <c r="CF2" s="19"/>
      <c r="CG2" s="20"/>
      <c r="CH2" s="20"/>
      <c r="CI2" s="20"/>
    </row>
    <row r="3" spans="1:87" x14ac:dyDescent="0.5">
      <c r="K3" s="22"/>
      <c r="L3" s="28"/>
      <c r="N3" s="29"/>
      <c r="O3" s="29"/>
      <c r="P3" s="29"/>
      <c r="U3" s="34"/>
      <c r="V3" s="35"/>
      <c r="W3" s="36"/>
      <c r="X3" s="36"/>
      <c r="Y3" s="37"/>
      <c r="AJ3" s="44">
        <v>1</v>
      </c>
      <c r="AP3" s="44">
        <v>2</v>
      </c>
      <c r="AV3" s="44">
        <v>3</v>
      </c>
      <c r="BB3" s="44">
        <v>4</v>
      </c>
      <c r="BH3" s="44">
        <v>5</v>
      </c>
      <c r="BN3" s="44">
        <v>6</v>
      </c>
      <c r="BT3" s="44">
        <v>7</v>
      </c>
      <c r="BZ3" s="44">
        <v>8</v>
      </c>
    </row>
    <row r="4" spans="1:87" x14ac:dyDescent="0.5">
      <c r="K4" s="22"/>
      <c r="L4" s="28"/>
      <c r="N4" s="29"/>
      <c r="O4" s="29"/>
      <c r="P4" s="29"/>
      <c r="U4" s="34"/>
      <c r="V4" s="35"/>
      <c r="W4" s="36"/>
      <c r="X4" s="36"/>
      <c r="Y4" s="37"/>
      <c r="AJ4" s="977"/>
      <c r="AP4" s="977"/>
      <c r="AV4" s="977"/>
      <c r="BB4" s="977"/>
      <c r="BH4" s="977"/>
      <c r="BN4" s="977"/>
      <c r="BT4" s="977"/>
      <c r="BZ4" s="977"/>
    </row>
    <row r="5" spans="1:87" x14ac:dyDescent="0.5">
      <c r="K5" s="22"/>
      <c r="L5" s="28"/>
      <c r="N5" s="29"/>
      <c r="O5" s="29"/>
      <c r="P5" s="29"/>
      <c r="U5" s="34"/>
      <c r="V5" s="35"/>
      <c r="W5" s="36"/>
      <c r="X5" s="36"/>
      <c r="Y5" s="37"/>
    </row>
    <row r="6" spans="1:87" x14ac:dyDescent="0.5">
      <c r="A6" s="259">
        <v>18126078</v>
      </c>
      <c r="B6" s="104">
        <v>18121117</v>
      </c>
      <c r="C6" s="242"/>
      <c r="D6" s="243"/>
      <c r="E6" s="244"/>
      <c r="F6" s="245"/>
      <c r="G6" s="246"/>
      <c r="H6" s="247"/>
      <c r="I6" s="306"/>
      <c r="J6" s="246"/>
      <c r="K6" s="104" t="s">
        <v>1311</v>
      </c>
      <c r="L6" s="110" t="s">
        <v>1312</v>
      </c>
      <c r="M6" s="104" t="s">
        <v>51</v>
      </c>
      <c r="N6" s="111">
        <v>1546540</v>
      </c>
      <c r="O6" s="111">
        <f t="shared" ref="O6:O17" si="0">N6*7/100</f>
        <v>108257.8</v>
      </c>
      <c r="P6" s="111">
        <f t="shared" ref="P6:P17" si="1">N6+O6</f>
        <v>1654797.8</v>
      </c>
      <c r="Q6" s="212"/>
      <c r="R6" s="165"/>
      <c r="S6" s="166"/>
      <c r="T6" s="167"/>
      <c r="U6" s="168"/>
      <c r="V6" s="231"/>
      <c r="W6" s="168"/>
      <c r="X6" s="168"/>
      <c r="Y6" s="231"/>
      <c r="Z6" s="232"/>
      <c r="AA6" s="123">
        <v>18120527</v>
      </c>
      <c r="AB6" s="230">
        <v>154654</v>
      </c>
      <c r="AC6" s="275">
        <f t="shared" ref="AC6:AC12" si="2">AB6*7/100</f>
        <v>10825.78</v>
      </c>
      <c r="AD6" s="234">
        <f t="shared" ref="AD6:AD12" si="3">AB6+AC6</f>
        <v>165479.78</v>
      </c>
      <c r="AE6" s="221">
        <v>43458</v>
      </c>
      <c r="AF6" s="121" t="s">
        <v>869</v>
      </c>
      <c r="AG6" s="121"/>
      <c r="AH6" s="121"/>
      <c r="AI6" s="342" t="s">
        <v>2863</v>
      </c>
      <c r="AJ6" s="128">
        <v>1</v>
      </c>
      <c r="AK6" s="129" t="s">
        <v>1313</v>
      </c>
      <c r="AL6" s="131"/>
      <c r="AM6" s="130"/>
      <c r="AN6" s="131">
        <v>1</v>
      </c>
      <c r="AO6" s="132" t="s">
        <v>628</v>
      </c>
      <c r="AP6" s="128"/>
      <c r="AQ6" s="133"/>
      <c r="AR6" s="128"/>
      <c r="AS6" s="128"/>
      <c r="AT6" s="128"/>
      <c r="AU6" s="133"/>
      <c r="AV6" s="128"/>
      <c r="AW6" s="133"/>
      <c r="AX6" s="128"/>
      <c r="AY6" s="128"/>
      <c r="AZ6" s="128"/>
      <c r="BA6" s="133"/>
      <c r="BB6" s="128"/>
      <c r="BC6" s="133"/>
      <c r="BD6" s="128"/>
      <c r="BE6" s="128"/>
      <c r="BF6" s="128"/>
      <c r="BG6" s="133"/>
      <c r="BH6" s="128"/>
      <c r="BI6" s="133"/>
      <c r="BJ6" s="128"/>
      <c r="BK6" s="128"/>
      <c r="BL6" s="128"/>
      <c r="BM6" s="128"/>
      <c r="BN6" s="128"/>
      <c r="BO6" s="133"/>
      <c r="BP6" s="128"/>
      <c r="BQ6" s="128"/>
      <c r="BR6" s="128"/>
      <c r="BS6" s="128"/>
      <c r="BT6" s="128"/>
      <c r="BU6" s="133"/>
      <c r="BV6" s="128"/>
      <c r="BW6" s="128"/>
      <c r="BX6" s="128"/>
      <c r="BY6" s="128"/>
      <c r="BZ6" s="128"/>
      <c r="CA6" s="133"/>
      <c r="CB6" s="128"/>
      <c r="CC6" s="128"/>
      <c r="CD6" s="128"/>
      <c r="CE6" s="128"/>
    </row>
    <row r="7" spans="1:87" x14ac:dyDescent="0.5">
      <c r="A7" s="262"/>
      <c r="B7" s="135"/>
      <c r="C7" s="276"/>
      <c r="D7" s="277"/>
      <c r="E7" s="278"/>
      <c r="F7" s="279"/>
      <c r="G7" s="280"/>
      <c r="H7" s="281"/>
      <c r="I7" s="836"/>
      <c r="J7" s="280"/>
      <c r="K7" s="135"/>
      <c r="L7" s="135"/>
      <c r="M7" s="135"/>
      <c r="N7" s="142"/>
      <c r="O7" s="142"/>
      <c r="P7" s="142"/>
      <c r="Q7" s="213"/>
      <c r="R7" s="172"/>
      <c r="S7" s="173"/>
      <c r="T7" s="174"/>
      <c r="U7" s="175"/>
      <c r="V7" s="282"/>
      <c r="W7" s="175"/>
      <c r="X7" s="175"/>
      <c r="Y7" s="282"/>
      <c r="Z7" s="283"/>
      <c r="AA7" s="292">
        <v>19020036</v>
      </c>
      <c r="AB7" s="293">
        <v>463962</v>
      </c>
      <c r="AC7" s="307">
        <f>AB7*7/100</f>
        <v>32477.34</v>
      </c>
      <c r="AD7" s="532">
        <f>AB7+AC7</f>
        <v>496439.34</v>
      </c>
      <c r="AE7" s="295">
        <v>43497</v>
      </c>
      <c r="AF7" s="639" t="s">
        <v>869</v>
      </c>
      <c r="AG7" s="639"/>
      <c r="AH7" s="639"/>
      <c r="AI7" s="1053" t="s">
        <v>2864</v>
      </c>
      <c r="AJ7" s="158"/>
      <c r="AK7" s="159"/>
      <c r="AL7" s="160"/>
      <c r="AM7" s="160"/>
      <c r="AN7" s="161"/>
      <c r="AO7" s="162"/>
      <c r="AP7" s="158"/>
      <c r="AQ7" s="163"/>
      <c r="AR7" s="158"/>
      <c r="AS7" s="158"/>
      <c r="AT7" s="158"/>
      <c r="AU7" s="163"/>
      <c r="AV7" s="158"/>
      <c r="AW7" s="163"/>
      <c r="AX7" s="158"/>
      <c r="AY7" s="158"/>
      <c r="AZ7" s="158"/>
      <c r="BA7" s="163"/>
      <c r="BB7" s="158"/>
      <c r="BC7" s="163"/>
      <c r="BD7" s="158"/>
      <c r="BE7" s="158"/>
      <c r="BF7" s="158"/>
      <c r="BG7" s="163"/>
      <c r="BH7" s="158"/>
      <c r="BI7" s="163"/>
      <c r="BJ7" s="158"/>
      <c r="BK7" s="158"/>
      <c r="BL7" s="158"/>
      <c r="BM7" s="158"/>
      <c r="BN7" s="158"/>
      <c r="BO7" s="163"/>
      <c r="BP7" s="158"/>
      <c r="BQ7" s="158"/>
      <c r="BR7" s="158"/>
      <c r="BS7" s="158"/>
      <c r="BT7" s="158"/>
      <c r="BU7" s="163"/>
      <c r="BV7" s="158"/>
      <c r="BW7" s="158"/>
      <c r="BX7" s="158"/>
      <c r="BY7" s="158"/>
      <c r="BZ7" s="158"/>
      <c r="CA7" s="163"/>
      <c r="CB7" s="158"/>
      <c r="CC7" s="158"/>
      <c r="CD7" s="158"/>
      <c r="CE7" s="158"/>
    </row>
    <row r="8" spans="1:87" x14ac:dyDescent="0.5">
      <c r="A8" s="262"/>
      <c r="B8" s="135"/>
      <c r="C8" s="276"/>
      <c r="D8" s="277"/>
      <c r="E8" s="278"/>
      <c r="F8" s="279"/>
      <c r="G8" s="280"/>
      <c r="H8" s="281"/>
      <c r="I8" s="836"/>
      <c r="J8" s="280"/>
      <c r="K8" s="135"/>
      <c r="L8" s="135"/>
      <c r="M8" s="135"/>
      <c r="N8" s="142"/>
      <c r="O8" s="142"/>
      <c r="P8" s="142"/>
      <c r="Q8" s="213"/>
      <c r="R8" s="172"/>
      <c r="S8" s="173"/>
      <c r="T8" s="174"/>
      <c r="U8" s="175"/>
      <c r="V8" s="282"/>
      <c r="W8" s="175"/>
      <c r="X8" s="175"/>
      <c r="Y8" s="282"/>
      <c r="Z8" s="283"/>
      <c r="AA8" s="637">
        <v>19030083</v>
      </c>
      <c r="AB8" s="537">
        <v>618616</v>
      </c>
      <c r="AC8" s="827">
        <f>AB8*7/100</f>
        <v>43303.12</v>
      </c>
      <c r="AD8" s="538">
        <f>AB8+AC8</f>
        <v>661919.12</v>
      </c>
      <c r="AE8" s="539">
        <v>43536</v>
      </c>
      <c r="AF8" s="639" t="s">
        <v>869</v>
      </c>
      <c r="AG8" s="639"/>
      <c r="AH8" s="639"/>
      <c r="AI8" s="1053" t="s">
        <v>2865</v>
      </c>
      <c r="AJ8" s="158"/>
      <c r="AK8" s="159"/>
      <c r="AL8" s="160"/>
      <c r="AM8" s="160"/>
      <c r="AN8" s="161"/>
      <c r="AO8" s="162"/>
      <c r="AP8" s="158"/>
      <c r="AQ8" s="163"/>
      <c r="AR8" s="158"/>
      <c r="AS8" s="158"/>
      <c r="AT8" s="158"/>
      <c r="AU8" s="163"/>
      <c r="AV8" s="158"/>
      <c r="AW8" s="163"/>
      <c r="AX8" s="158"/>
      <c r="AY8" s="158"/>
      <c r="AZ8" s="158"/>
      <c r="BA8" s="163"/>
      <c r="BB8" s="158"/>
      <c r="BC8" s="163"/>
      <c r="BD8" s="158"/>
      <c r="BE8" s="158"/>
      <c r="BF8" s="158"/>
      <c r="BG8" s="163"/>
      <c r="BH8" s="158"/>
      <c r="BI8" s="163"/>
      <c r="BJ8" s="158"/>
      <c r="BK8" s="158"/>
      <c r="BL8" s="158"/>
      <c r="BM8" s="158"/>
      <c r="BN8" s="158"/>
      <c r="BO8" s="163"/>
      <c r="BP8" s="158"/>
      <c r="BQ8" s="158"/>
      <c r="BR8" s="158"/>
      <c r="BS8" s="158"/>
      <c r="BT8" s="158"/>
      <c r="BU8" s="163"/>
      <c r="BV8" s="158"/>
      <c r="BW8" s="158"/>
      <c r="BX8" s="158"/>
      <c r="BY8" s="158"/>
      <c r="BZ8" s="158"/>
      <c r="CA8" s="163"/>
      <c r="CB8" s="158"/>
      <c r="CC8" s="158"/>
      <c r="CD8" s="158"/>
      <c r="CE8" s="158"/>
    </row>
    <row r="9" spans="1:87" x14ac:dyDescent="0.5">
      <c r="A9" s="262"/>
      <c r="B9" s="135"/>
      <c r="C9" s="276"/>
      <c r="D9" s="277"/>
      <c r="E9" s="278"/>
      <c r="F9" s="279"/>
      <c r="G9" s="280"/>
      <c r="H9" s="281"/>
      <c r="I9" s="836"/>
      <c r="J9" s="280"/>
      <c r="K9" s="135"/>
      <c r="L9" s="141"/>
      <c r="M9" s="135"/>
      <c r="N9" s="142"/>
      <c r="O9" s="142"/>
      <c r="P9" s="142"/>
      <c r="Q9" s="213"/>
      <c r="R9" s="172"/>
      <c r="S9" s="173"/>
      <c r="T9" s="174"/>
      <c r="U9" s="175"/>
      <c r="V9" s="282"/>
      <c r="W9" s="175"/>
      <c r="X9" s="175"/>
      <c r="Y9" s="282"/>
      <c r="Z9" s="283"/>
      <c r="AA9" s="154">
        <v>19040123</v>
      </c>
      <c r="AB9" s="155">
        <v>309308</v>
      </c>
      <c r="AC9" s="156">
        <f>AB9*7/100</f>
        <v>21651.56</v>
      </c>
      <c r="AD9" s="263">
        <f>AB9+AC9</f>
        <v>330959.56</v>
      </c>
      <c r="AE9" s="157">
        <v>43559</v>
      </c>
      <c r="AF9" s="152" t="s">
        <v>869</v>
      </c>
      <c r="AG9" s="152"/>
      <c r="AH9" s="152"/>
      <c r="AI9" s="900" t="s">
        <v>2866</v>
      </c>
      <c r="AJ9" s="158"/>
      <c r="AK9" s="159"/>
      <c r="AL9" s="160"/>
      <c r="AM9" s="160"/>
      <c r="AN9" s="161"/>
      <c r="AO9" s="162"/>
      <c r="AP9" s="158"/>
      <c r="AQ9" s="163"/>
      <c r="AR9" s="158"/>
      <c r="AS9" s="158"/>
      <c r="AT9" s="158"/>
      <c r="AU9" s="163"/>
      <c r="AV9" s="158"/>
      <c r="AW9" s="163"/>
      <c r="AX9" s="158"/>
      <c r="AY9" s="158"/>
      <c r="AZ9" s="158"/>
      <c r="BA9" s="163"/>
      <c r="BB9" s="158"/>
      <c r="BC9" s="163"/>
      <c r="BD9" s="158"/>
      <c r="BE9" s="158"/>
      <c r="BF9" s="158"/>
      <c r="BG9" s="163"/>
      <c r="BH9" s="158"/>
      <c r="BI9" s="163"/>
      <c r="BJ9" s="158"/>
      <c r="BK9" s="158"/>
      <c r="BL9" s="158"/>
      <c r="BM9" s="158"/>
      <c r="BN9" s="158"/>
      <c r="BO9" s="163"/>
      <c r="BP9" s="158"/>
      <c r="BQ9" s="158"/>
      <c r="BR9" s="158"/>
      <c r="BS9" s="158"/>
      <c r="BT9" s="158"/>
      <c r="BU9" s="163"/>
      <c r="BV9" s="158"/>
      <c r="BW9" s="158"/>
      <c r="BX9" s="158"/>
      <c r="BY9" s="158"/>
      <c r="BZ9" s="158"/>
      <c r="CA9" s="163"/>
      <c r="CB9" s="158"/>
      <c r="CC9" s="158"/>
      <c r="CD9" s="158"/>
      <c r="CE9" s="158"/>
    </row>
    <row r="10" spans="1:87" x14ac:dyDescent="0.5">
      <c r="A10" s="259">
        <v>18126077</v>
      </c>
      <c r="B10" s="104">
        <v>18121103</v>
      </c>
      <c r="C10" s="105">
        <v>270</v>
      </c>
      <c r="D10" s="106" t="s">
        <v>184</v>
      </c>
      <c r="E10" s="107" t="s">
        <v>1324</v>
      </c>
      <c r="F10" s="108" t="s">
        <v>1353</v>
      </c>
      <c r="G10" s="122">
        <v>43473</v>
      </c>
      <c r="H10" s="109">
        <v>19008</v>
      </c>
      <c r="I10" s="127" t="s">
        <v>869</v>
      </c>
      <c r="J10" s="122">
        <v>43474</v>
      </c>
      <c r="K10" s="104" t="s">
        <v>1314</v>
      </c>
      <c r="L10" s="110" t="s">
        <v>1315</v>
      </c>
      <c r="M10" s="104" t="s">
        <v>53</v>
      </c>
      <c r="N10" s="111">
        <v>128700</v>
      </c>
      <c r="O10" s="111">
        <f t="shared" si="0"/>
        <v>9009</v>
      </c>
      <c r="P10" s="111">
        <f t="shared" si="1"/>
        <v>137709</v>
      </c>
      <c r="Q10" s="212"/>
      <c r="R10" s="113" t="s">
        <v>1322</v>
      </c>
      <c r="S10" s="114">
        <f>N10</f>
        <v>128700</v>
      </c>
      <c r="T10" s="115">
        <v>5</v>
      </c>
      <c r="U10" s="116">
        <f>S10*T10/100</f>
        <v>6435</v>
      </c>
      <c r="V10" s="117">
        <f>S10-U10</f>
        <v>122265</v>
      </c>
      <c r="W10" s="118">
        <v>0.31</v>
      </c>
      <c r="X10" s="118">
        <f>V10*W10/100</f>
        <v>379.0215</v>
      </c>
      <c r="Y10" s="119">
        <v>0.2</v>
      </c>
      <c r="Z10" s="120">
        <f>V10*Y10/100</f>
        <v>244.53</v>
      </c>
      <c r="AA10" s="229">
        <v>18120526</v>
      </c>
      <c r="AB10" s="230">
        <v>25740</v>
      </c>
      <c r="AC10" s="220">
        <f t="shared" si="2"/>
        <v>1801.8</v>
      </c>
      <c r="AD10" s="220">
        <f t="shared" si="3"/>
        <v>27541.8</v>
      </c>
      <c r="AE10" s="221">
        <v>43458</v>
      </c>
      <c r="AF10" s="121" t="s">
        <v>869</v>
      </c>
      <c r="AG10" s="121"/>
      <c r="AH10" s="121"/>
      <c r="AI10" s="222" t="s">
        <v>1456</v>
      </c>
      <c r="AJ10" s="128">
        <v>1</v>
      </c>
      <c r="AK10" s="129" t="s">
        <v>1316</v>
      </c>
      <c r="AL10" s="130"/>
      <c r="AM10" s="130" t="s">
        <v>869</v>
      </c>
      <c r="AN10" s="131">
        <v>1</v>
      </c>
      <c r="AO10" s="132" t="s">
        <v>634</v>
      </c>
      <c r="AP10" s="128">
        <v>2</v>
      </c>
      <c r="AQ10" s="123" t="s">
        <v>739</v>
      </c>
      <c r="AR10" s="131"/>
      <c r="AS10" s="131" t="s">
        <v>869</v>
      </c>
      <c r="AT10" s="131">
        <v>1</v>
      </c>
      <c r="AU10" s="169" t="s">
        <v>634</v>
      </c>
      <c r="AV10" s="128"/>
      <c r="AW10" s="133"/>
      <c r="AX10" s="128"/>
      <c r="AY10" s="128"/>
      <c r="AZ10" s="128"/>
      <c r="BA10" s="133"/>
      <c r="BB10" s="128"/>
      <c r="BC10" s="133"/>
      <c r="BD10" s="128"/>
      <c r="BE10" s="128"/>
      <c r="BF10" s="128"/>
      <c r="BG10" s="133"/>
      <c r="BH10" s="128"/>
      <c r="BI10" s="133"/>
      <c r="BJ10" s="128"/>
      <c r="BK10" s="128"/>
      <c r="BL10" s="128"/>
      <c r="BM10" s="128"/>
      <c r="BN10" s="128"/>
      <c r="BO10" s="133"/>
      <c r="BP10" s="128"/>
      <c r="BQ10" s="128"/>
      <c r="BR10" s="128"/>
      <c r="BS10" s="128"/>
      <c r="BT10" s="128"/>
      <c r="BU10" s="133"/>
      <c r="BV10" s="128"/>
      <c r="BW10" s="128"/>
      <c r="BX10" s="128"/>
      <c r="BY10" s="128"/>
      <c r="BZ10" s="128"/>
      <c r="CA10" s="133"/>
      <c r="CB10" s="128"/>
      <c r="CC10" s="128"/>
      <c r="CD10" s="128"/>
      <c r="CE10" s="128"/>
    </row>
    <row r="11" spans="1:87" x14ac:dyDescent="0.5">
      <c r="A11" s="268"/>
      <c r="B11" s="181"/>
      <c r="C11" s="182"/>
      <c r="D11" s="183"/>
      <c r="E11" s="184"/>
      <c r="F11" s="185"/>
      <c r="G11" s="181"/>
      <c r="H11" s="187"/>
      <c r="I11" s="199"/>
      <c r="J11" s="186"/>
      <c r="K11" s="181"/>
      <c r="L11" s="188"/>
      <c r="M11" s="181"/>
      <c r="N11" s="189"/>
      <c r="O11" s="189"/>
      <c r="P11" s="189"/>
      <c r="Q11" s="214"/>
      <c r="R11" s="215"/>
      <c r="S11" s="216"/>
      <c r="T11" s="217"/>
      <c r="U11" s="218"/>
      <c r="V11" s="195"/>
      <c r="W11" s="196"/>
      <c r="X11" s="196"/>
      <c r="Y11" s="197"/>
      <c r="Z11" s="198"/>
      <c r="AA11" s="200">
        <v>19010003</v>
      </c>
      <c r="AB11" s="201">
        <v>102960</v>
      </c>
      <c r="AC11" s="202">
        <f t="shared" si="2"/>
        <v>7207.2</v>
      </c>
      <c r="AD11" s="202">
        <f t="shared" si="3"/>
        <v>110167.2</v>
      </c>
      <c r="AE11" s="203">
        <v>43473</v>
      </c>
      <c r="AF11" s="199" t="s">
        <v>869</v>
      </c>
      <c r="AG11" s="199"/>
      <c r="AH11" s="199"/>
      <c r="AI11" s="180" t="s">
        <v>1663</v>
      </c>
      <c r="AJ11" s="204"/>
      <c r="AK11" s="205"/>
      <c r="AL11" s="206"/>
      <c r="AM11" s="206"/>
      <c r="AN11" s="207"/>
      <c r="AO11" s="208"/>
      <c r="AP11" s="204"/>
      <c r="AQ11" s="200"/>
      <c r="AR11" s="207"/>
      <c r="AS11" s="207"/>
      <c r="AT11" s="207"/>
      <c r="AU11" s="209"/>
      <c r="AV11" s="204"/>
      <c r="AW11" s="210"/>
      <c r="AX11" s="204"/>
      <c r="AY11" s="204"/>
      <c r="AZ11" s="204"/>
      <c r="BA11" s="210"/>
      <c r="BB11" s="204"/>
      <c r="BC11" s="210"/>
      <c r="BD11" s="204"/>
      <c r="BE11" s="204"/>
      <c r="BF11" s="204"/>
      <c r="BG11" s="210"/>
      <c r="BH11" s="204"/>
      <c r="BI11" s="210"/>
      <c r="BJ11" s="204"/>
      <c r="BK11" s="204"/>
      <c r="BL11" s="204"/>
      <c r="BM11" s="204"/>
      <c r="BN11" s="204"/>
      <c r="BO11" s="210"/>
      <c r="BP11" s="204"/>
      <c r="BQ11" s="204"/>
      <c r="BR11" s="204"/>
      <c r="BS11" s="204"/>
      <c r="BT11" s="204"/>
      <c r="BU11" s="210"/>
      <c r="BV11" s="204"/>
      <c r="BW11" s="204"/>
      <c r="BX11" s="204"/>
      <c r="BY11" s="204"/>
      <c r="BZ11" s="204"/>
      <c r="CA11" s="210"/>
      <c r="CB11" s="204"/>
      <c r="CC11" s="204"/>
      <c r="CD11" s="204"/>
      <c r="CE11" s="204"/>
    </row>
    <row r="12" spans="1:87" x14ac:dyDescent="0.5">
      <c r="A12" s="227">
        <v>18126076</v>
      </c>
      <c r="B12" s="22">
        <v>18121116</v>
      </c>
      <c r="C12" s="23" t="s">
        <v>1355</v>
      </c>
      <c r="D12" s="24" t="s">
        <v>184</v>
      </c>
      <c r="E12" s="57"/>
      <c r="F12" s="58"/>
      <c r="G12" s="59"/>
      <c r="H12" s="60"/>
      <c r="I12" s="830" t="s">
        <v>869</v>
      </c>
      <c r="J12" s="831"/>
      <c r="K12" s="22" t="s">
        <v>154</v>
      </c>
      <c r="L12" s="28" t="s">
        <v>1320</v>
      </c>
      <c r="M12" s="22" t="s">
        <v>51</v>
      </c>
      <c r="N12" s="29">
        <v>11100</v>
      </c>
      <c r="O12" s="29">
        <f t="shared" si="0"/>
        <v>777</v>
      </c>
      <c r="P12" s="29">
        <f t="shared" si="1"/>
        <v>11877</v>
      </c>
      <c r="Q12" s="61"/>
      <c r="R12" s="96"/>
      <c r="S12" s="97"/>
      <c r="T12" s="98"/>
      <c r="U12" s="99"/>
      <c r="V12" s="100"/>
      <c r="W12" s="99"/>
      <c r="X12" s="99"/>
      <c r="Y12" s="100"/>
      <c r="Z12" s="101"/>
      <c r="AA12" s="40">
        <v>19040126</v>
      </c>
      <c r="AB12" s="41">
        <v>11100</v>
      </c>
      <c r="AC12" s="63">
        <f t="shared" si="2"/>
        <v>777</v>
      </c>
      <c r="AD12" s="63">
        <f t="shared" si="3"/>
        <v>11877</v>
      </c>
      <c r="AE12" s="53">
        <v>43593</v>
      </c>
      <c r="AF12" s="39" t="s">
        <v>869</v>
      </c>
      <c r="AI12" s="21" t="s">
        <v>2172</v>
      </c>
      <c r="AJ12" s="44">
        <v>1</v>
      </c>
      <c r="AK12" s="45" t="s">
        <v>1321</v>
      </c>
      <c r="AN12" s="47">
        <v>3</v>
      </c>
      <c r="AO12" s="48" t="s">
        <v>628</v>
      </c>
      <c r="AQ12" s="54"/>
      <c r="AR12" s="44"/>
      <c r="AS12" s="44"/>
      <c r="AT12" s="44"/>
      <c r="AU12" s="54"/>
      <c r="AW12" s="54"/>
      <c r="AX12" s="44"/>
      <c r="AY12" s="44"/>
      <c r="AZ12" s="44"/>
      <c r="BA12" s="54"/>
      <c r="BC12" s="54"/>
      <c r="BD12" s="44"/>
      <c r="BE12" s="44"/>
      <c r="BF12" s="44"/>
      <c r="BG12" s="54"/>
      <c r="BI12" s="54"/>
      <c r="BJ12" s="44"/>
      <c r="BK12" s="44"/>
      <c r="BL12" s="44"/>
      <c r="BM12" s="44"/>
      <c r="BO12" s="54"/>
      <c r="BP12" s="44"/>
      <c r="BQ12" s="44"/>
      <c r="BR12" s="44"/>
      <c r="BS12" s="44"/>
      <c r="BU12" s="54"/>
      <c r="BV12" s="44"/>
      <c r="BW12" s="44"/>
      <c r="BX12" s="44"/>
      <c r="BY12" s="44"/>
      <c r="CA12" s="54"/>
      <c r="CB12" s="44"/>
      <c r="CC12" s="44"/>
      <c r="CD12" s="44"/>
      <c r="CE12" s="44"/>
    </row>
    <row r="13" spans="1:87" x14ac:dyDescent="0.5">
      <c r="A13" s="227">
        <v>18126075</v>
      </c>
      <c r="B13" s="22">
        <v>18121115</v>
      </c>
      <c r="C13" s="55"/>
      <c r="D13" s="56"/>
      <c r="E13" s="57"/>
      <c r="F13" s="58"/>
      <c r="G13" s="59"/>
      <c r="H13" s="60"/>
      <c r="I13" s="269"/>
      <c r="J13" s="59"/>
      <c r="K13" s="22" t="s">
        <v>214</v>
      </c>
      <c r="L13" s="28" t="s">
        <v>1317</v>
      </c>
      <c r="M13" s="22" t="s">
        <v>51</v>
      </c>
      <c r="N13" s="29">
        <v>22500</v>
      </c>
      <c r="O13" s="29">
        <f t="shared" si="0"/>
        <v>1575</v>
      </c>
      <c r="P13" s="29">
        <f t="shared" si="1"/>
        <v>24075</v>
      </c>
      <c r="Q13" s="61"/>
      <c r="R13" s="96"/>
      <c r="S13" s="97"/>
      <c r="T13" s="98"/>
      <c r="U13" s="99"/>
      <c r="V13" s="100"/>
      <c r="W13" s="99"/>
      <c r="X13" s="99"/>
      <c r="Y13" s="100"/>
      <c r="Z13" s="101"/>
      <c r="AA13" s="40">
        <v>19010032</v>
      </c>
      <c r="AB13" s="41">
        <v>22500</v>
      </c>
      <c r="AC13" s="52">
        <f>AB13*7/100</f>
        <v>1575</v>
      </c>
      <c r="AD13" s="52">
        <f>AB13+AC13</f>
        <v>24075</v>
      </c>
      <c r="AE13" s="53">
        <v>43525</v>
      </c>
      <c r="AF13" s="39" t="s">
        <v>869</v>
      </c>
      <c r="AI13" s="21" t="s">
        <v>1866</v>
      </c>
      <c r="AJ13" s="44">
        <v>1</v>
      </c>
      <c r="AK13" s="45" t="s">
        <v>1318</v>
      </c>
      <c r="AN13" s="47">
        <v>1</v>
      </c>
      <c r="AO13" s="48" t="s">
        <v>628</v>
      </c>
      <c r="AP13" s="44">
        <v>2</v>
      </c>
      <c r="AQ13" s="40" t="s">
        <v>1319</v>
      </c>
      <c r="AT13" s="47">
        <v>1</v>
      </c>
      <c r="AU13" s="49" t="s">
        <v>628</v>
      </c>
      <c r="AW13" s="54"/>
      <c r="AX13" s="44"/>
      <c r="AY13" s="44"/>
      <c r="AZ13" s="44"/>
      <c r="BA13" s="54"/>
      <c r="BC13" s="54"/>
      <c r="BD13" s="44"/>
      <c r="BE13" s="44"/>
      <c r="BF13" s="44"/>
      <c r="BG13" s="54"/>
      <c r="BI13" s="54"/>
      <c r="BJ13" s="44"/>
      <c r="BK13" s="44"/>
      <c r="BL13" s="44"/>
      <c r="BM13" s="44"/>
      <c r="BO13" s="54"/>
      <c r="BP13" s="44"/>
      <c r="BQ13" s="44"/>
      <c r="BR13" s="44"/>
      <c r="BS13" s="44"/>
      <c r="BU13" s="54"/>
      <c r="BV13" s="44"/>
      <c r="BW13" s="44"/>
      <c r="BX13" s="44"/>
      <c r="BY13" s="44"/>
      <c r="CA13" s="54"/>
      <c r="CB13" s="44"/>
      <c r="CC13" s="44"/>
      <c r="CD13" s="44"/>
      <c r="CE13" s="44"/>
    </row>
    <row r="14" spans="1:87" x14ac:dyDescent="0.5">
      <c r="A14" s="227">
        <v>18126074</v>
      </c>
      <c r="B14" s="22">
        <v>18121111</v>
      </c>
      <c r="C14" s="23">
        <v>268</v>
      </c>
      <c r="D14" s="24" t="s">
        <v>184</v>
      </c>
      <c r="E14" s="25" t="s">
        <v>185</v>
      </c>
      <c r="F14" s="26">
        <v>290</v>
      </c>
      <c r="G14" s="62">
        <v>43458</v>
      </c>
      <c r="H14" s="27">
        <v>18474</v>
      </c>
      <c r="I14" s="39" t="s">
        <v>869</v>
      </c>
      <c r="J14" s="62">
        <v>43459</v>
      </c>
      <c r="K14" s="22" t="s">
        <v>23</v>
      </c>
      <c r="L14" s="28" t="s">
        <v>160</v>
      </c>
      <c r="M14" s="22" t="s">
        <v>51</v>
      </c>
      <c r="N14" s="29">
        <v>12800</v>
      </c>
      <c r="O14" s="29">
        <f t="shared" si="0"/>
        <v>896</v>
      </c>
      <c r="P14" s="29">
        <f t="shared" si="1"/>
        <v>13696</v>
      </c>
      <c r="Q14" s="61"/>
      <c r="R14" s="96"/>
      <c r="S14" s="97"/>
      <c r="T14" s="98"/>
      <c r="U14" s="99"/>
      <c r="V14" s="100"/>
      <c r="W14" s="99"/>
      <c r="X14" s="99"/>
      <c r="Y14" s="100"/>
      <c r="Z14" s="101"/>
      <c r="AA14" s="40">
        <v>19010005</v>
      </c>
      <c r="AB14" s="41">
        <v>12800</v>
      </c>
      <c r="AC14" s="52">
        <f t="shared" ref="AC14:AC20" si="4">AB14*7/100</f>
        <v>896</v>
      </c>
      <c r="AD14" s="52">
        <f t="shared" ref="AD14:AD20" si="5">AB14+AC14</f>
        <v>13696</v>
      </c>
      <c r="AE14" s="53">
        <v>43503</v>
      </c>
      <c r="AF14" s="39" t="s">
        <v>869</v>
      </c>
      <c r="AI14" s="21" t="s">
        <v>1808</v>
      </c>
      <c r="AJ14" s="44">
        <v>1</v>
      </c>
      <c r="AK14" s="45" t="s">
        <v>661</v>
      </c>
      <c r="AM14" s="46" t="s">
        <v>869</v>
      </c>
      <c r="AN14" s="47">
        <v>2</v>
      </c>
      <c r="AO14" s="48" t="s">
        <v>633</v>
      </c>
      <c r="AQ14" s="54"/>
      <c r="AR14" s="44"/>
      <c r="AS14" s="44"/>
      <c r="AT14" s="44"/>
      <c r="AU14" s="54"/>
      <c r="AW14" s="54"/>
      <c r="AX14" s="44"/>
      <c r="AY14" s="44"/>
      <c r="AZ14" s="44"/>
      <c r="BA14" s="54"/>
      <c r="BC14" s="54"/>
      <c r="BD14" s="44"/>
      <c r="BE14" s="44"/>
      <c r="BF14" s="44"/>
      <c r="BG14" s="54"/>
      <c r="BI14" s="54"/>
      <c r="BJ14" s="44"/>
      <c r="BK14" s="44"/>
      <c r="BL14" s="44"/>
      <c r="BM14" s="44"/>
      <c r="BO14" s="54"/>
      <c r="BP14" s="44"/>
      <c r="BQ14" s="44"/>
      <c r="BR14" s="44"/>
      <c r="BS14" s="44"/>
      <c r="BU14" s="54"/>
      <c r="BV14" s="44"/>
      <c r="BW14" s="44"/>
      <c r="BX14" s="44"/>
      <c r="BY14" s="44"/>
      <c r="CA14" s="54"/>
      <c r="CB14" s="44"/>
      <c r="CC14" s="44"/>
      <c r="CD14" s="44"/>
      <c r="CE14" s="44"/>
    </row>
    <row r="15" spans="1:87" x14ac:dyDescent="0.5">
      <c r="A15" s="227">
        <v>18126073</v>
      </c>
      <c r="B15" s="22">
        <v>18121110</v>
      </c>
      <c r="C15" s="55"/>
      <c r="D15" s="56"/>
      <c r="E15" s="57"/>
      <c r="F15" s="58"/>
      <c r="G15" s="59"/>
      <c r="H15" s="60"/>
      <c r="I15" s="269"/>
      <c r="J15" s="59"/>
      <c r="K15" s="22" t="s">
        <v>448</v>
      </c>
      <c r="L15" s="28" t="s">
        <v>1287</v>
      </c>
      <c r="M15" s="22" t="s">
        <v>51</v>
      </c>
      <c r="N15" s="29">
        <v>10800</v>
      </c>
      <c r="O15" s="29">
        <f t="shared" si="0"/>
        <v>756</v>
      </c>
      <c r="P15" s="29">
        <f t="shared" si="1"/>
        <v>11556</v>
      </c>
      <c r="Q15" s="61"/>
      <c r="R15" s="96"/>
      <c r="S15" s="97"/>
      <c r="T15" s="98"/>
      <c r="U15" s="99"/>
      <c r="V15" s="100"/>
      <c r="W15" s="99"/>
      <c r="X15" s="99"/>
      <c r="Y15" s="100"/>
      <c r="Z15" s="101"/>
      <c r="AA15" s="40">
        <v>19010013</v>
      </c>
      <c r="AB15" s="41">
        <v>10800</v>
      </c>
      <c r="AC15" s="52">
        <f t="shared" si="4"/>
        <v>756</v>
      </c>
      <c r="AD15" s="52">
        <f t="shared" si="5"/>
        <v>11556</v>
      </c>
      <c r="AE15" s="53">
        <v>43509</v>
      </c>
      <c r="AF15" s="39" t="s">
        <v>869</v>
      </c>
      <c r="AI15" s="21" t="s">
        <v>1863</v>
      </c>
      <c r="AJ15" s="44">
        <v>1</v>
      </c>
      <c r="AK15" s="45" t="s">
        <v>1288</v>
      </c>
      <c r="AN15" s="47">
        <v>1</v>
      </c>
      <c r="AO15" s="48" t="s">
        <v>628</v>
      </c>
      <c r="AP15" s="44">
        <v>2</v>
      </c>
      <c r="AQ15" s="40" t="s">
        <v>1289</v>
      </c>
      <c r="AT15" s="47">
        <v>1</v>
      </c>
      <c r="AU15" s="49" t="s">
        <v>628</v>
      </c>
      <c r="AW15" s="54"/>
      <c r="AX15" s="44"/>
      <c r="AY15" s="44"/>
      <c r="AZ15" s="44"/>
      <c r="BA15" s="54"/>
      <c r="BC15" s="54"/>
      <c r="BD15" s="44"/>
      <c r="BE15" s="44"/>
      <c r="BF15" s="44"/>
      <c r="BG15" s="54"/>
      <c r="BI15" s="54"/>
      <c r="BJ15" s="44"/>
      <c r="BK15" s="44"/>
      <c r="BL15" s="44"/>
      <c r="BM15" s="44"/>
      <c r="BO15" s="54"/>
      <c r="BP15" s="44"/>
      <c r="BQ15" s="44"/>
      <c r="BR15" s="44"/>
      <c r="BS15" s="44"/>
      <c r="BU15" s="54"/>
      <c r="BV15" s="44"/>
      <c r="BW15" s="44"/>
      <c r="BX15" s="44"/>
      <c r="BY15" s="44"/>
      <c r="CA15" s="54"/>
      <c r="CB15" s="44"/>
      <c r="CC15" s="44"/>
      <c r="CD15" s="44"/>
      <c r="CE15" s="44"/>
    </row>
    <row r="16" spans="1:87" x14ac:dyDescent="0.5">
      <c r="A16" s="227">
        <v>18126072</v>
      </c>
      <c r="B16" s="22">
        <v>18121107</v>
      </c>
      <c r="C16" s="55"/>
      <c r="D16" s="56"/>
      <c r="E16" s="57"/>
      <c r="F16" s="58"/>
      <c r="G16" s="59"/>
      <c r="H16" s="60"/>
      <c r="I16" s="269"/>
      <c r="J16" s="59"/>
      <c r="K16" s="22" t="s">
        <v>14</v>
      </c>
      <c r="L16" s="28" t="s">
        <v>181</v>
      </c>
      <c r="M16" s="22" t="s">
        <v>51</v>
      </c>
      <c r="N16" s="29">
        <v>8000</v>
      </c>
      <c r="O16" s="29">
        <f t="shared" si="0"/>
        <v>560</v>
      </c>
      <c r="P16" s="29">
        <f t="shared" si="1"/>
        <v>8560</v>
      </c>
      <c r="Q16" s="61"/>
      <c r="R16" s="96"/>
      <c r="S16" s="97"/>
      <c r="T16" s="98"/>
      <c r="U16" s="99"/>
      <c r="V16" s="100"/>
      <c r="W16" s="99"/>
      <c r="X16" s="99"/>
      <c r="Y16" s="100"/>
      <c r="Z16" s="101"/>
      <c r="AA16" s="40">
        <v>18120523</v>
      </c>
      <c r="AB16" s="41">
        <v>8000</v>
      </c>
      <c r="AC16" s="52">
        <f t="shared" si="4"/>
        <v>560</v>
      </c>
      <c r="AD16" s="52">
        <f t="shared" si="5"/>
        <v>8560</v>
      </c>
      <c r="AE16" s="53">
        <v>43485</v>
      </c>
      <c r="AF16" s="39" t="s">
        <v>869</v>
      </c>
      <c r="AI16" s="21" t="s">
        <v>1804</v>
      </c>
      <c r="AJ16" s="44">
        <v>1</v>
      </c>
      <c r="AK16" s="45" t="s">
        <v>1290</v>
      </c>
      <c r="AN16" s="47">
        <v>1</v>
      </c>
      <c r="AO16" s="48" t="s">
        <v>628</v>
      </c>
      <c r="AQ16" s="54"/>
      <c r="AR16" s="44"/>
      <c r="AS16" s="44"/>
      <c r="AT16" s="44"/>
      <c r="AU16" s="54"/>
      <c r="AW16" s="54"/>
      <c r="AX16" s="44"/>
      <c r="AY16" s="44"/>
      <c r="AZ16" s="44"/>
      <c r="BA16" s="54"/>
      <c r="BC16" s="54"/>
      <c r="BD16" s="44"/>
      <c r="BE16" s="44"/>
      <c r="BF16" s="44"/>
      <c r="BG16" s="54"/>
      <c r="BI16" s="54"/>
      <c r="BJ16" s="44"/>
      <c r="BK16" s="44"/>
      <c r="BL16" s="44"/>
      <c r="BM16" s="44"/>
      <c r="BO16" s="54"/>
      <c r="BP16" s="44"/>
      <c r="BQ16" s="44"/>
      <c r="BR16" s="44"/>
      <c r="BS16" s="44"/>
      <c r="BU16" s="54"/>
      <c r="BV16" s="44"/>
      <c r="BW16" s="44"/>
      <c r="BX16" s="44"/>
      <c r="BY16" s="44"/>
      <c r="CA16" s="54"/>
      <c r="CB16" s="44"/>
      <c r="CC16" s="44"/>
      <c r="CD16" s="44"/>
      <c r="CE16" s="44"/>
    </row>
    <row r="17" spans="1:83" x14ac:dyDescent="0.5">
      <c r="A17" s="259">
        <v>18126071</v>
      </c>
      <c r="B17" s="104">
        <v>18121105</v>
      </c>
      <c r="C17" s="242"/>
      <c r="D17" s="243"/>
      <c r="E17" s="244"/>
      <c r="F17" s="245"/>
      <c r="G17" s="246"/>
      <c r="H17" s="247"/>
      <c r="I17" s="306"/>
      <c r="J17" s="246"/>
      <c r="K17" s="104" t="s">
        <v>129</v>
      </c>
      <c r="L17" s="110" t="s">
        <v>404</v>
      </c>
      <c r="M17" s="104" t="s">
        <v>50</v>
      </c>
      <c r="N17" s="111">
        <v>59500</v>
      </c>
      <c r="O17" s="111">
        <f t="shared" si="0"/>
        <v>4165</v>
      </c>
      <c r="P17" s="111">
        <f t="shared" si="1"/>
        <v>63665</v>
      </c>
      <c r="Q17" s="212"/>
      <c r="R17" s="165"/>
      <c r="S17" s="166"/>
      <c r="T17" s="167"/>
      <c r="U17" s="168"/>
      <c r="V17" s="231"/>
      <c r="W17" s="168"/>
      <c r="X17" s="168"/>
      <c r="Y17" s="231"/>
      <c r="Z17" s="232"/>
      <c r="AA17" s="229">
        <v>18120511</v>
      </c>
      <c r="AB17" s="230">
        <v>37000</v>
      </c>
      <c r="AC17" s="220">
        <f t="shared" si="4"/>
        <v>2590</v>
      </c>
      <c r="AD17" s="220">
        <f t="shared" si="5"/>
        <v>39590</v>
      </c>
      <c r="AE17" s="221">
        <v>43451</v>
      </c>
      <c r="AF17" s="121" t="s">
        <v>869</v>
      </c>
      <c r="AG17" s="121"/>
      <c r="AH17" s="121"/>
      <c r="AI17" s="222" t="s">
        <v>1468</v>
      </c>
      <c r="AJ17" s="128">
        <v>1</v>
      </c>
      <c r="AK17" s="129" t="s">
        <v>1291</v>
      </c>
      <c r="AL17" s="130"/>
      <c r="AM17" s="130"/>
      <c r="AN17" s="131">
        <v>5</v>
      </c>
      <c r="AO17" s="284"/>
      <c r="AP17" s="128">
        <v>2</v>
      </c>
      <c r="AQ17" s="123" t="s">
        <v>1292</v>
      </c>
      <c r="AR17" s="131"/>
      <c r="AS17" s="131"/>
      <c r="AT17" s="131">
        <v>2</v>
      </c>
      <c r="AU17" s="284"/>
      <c r="AV17" s="128"/>
      <c r="AW17" s="133"/>
      <c r="AX17" s="128"/>
      <c r="AY17" s="128"/>
      <c r="AZ17" s="128"/>
      <c r="BA17" s="133"/>
      <c r="BB17" s="128"/>
      <c r="BC17" s="133"/>
      <c r="BD17" s="128"/>
      <c r="BE17" s="128"/>
      <c r="BF17" s="128"/>
      <c r="BG17" s="133"/>
      <c r="BH17" s="128"/>
      <c r="BI17" s="133"/>
      <c r="BJ17" s="128"/>
      <c r="BK17" s="128"/>
      <c r="BL17" s="128"/>
      <c r="BM17" s="128"/>
      <c r="BN17" s="128"/>
      <c r="BO17" s="133"/>
      <c r="BP17" s="128"/>
      <c r="BQ17" s="128"/>
      <c r="BR17" s="128"/>
      <c r="BS17" s="128"/>
      <c r="BT17" s="128"/>
      <c r="BU17" s="133"/>
      <c r="BV17" s="128"/>
      <c r="BW17" s="128"/>
      <c r="BX17" s="128"/>
      <c r="BY17" s="128"/>
      <c r="BZ17" s="128"/>
      <c r="CA17" s="133"/>
      <c r="CB17" s="128"/>
      <c r="CC17" s="128"/>
      <c r="CD17" s="128"/>
      <c r="CE17" s="128"/>
    </row>
    <row r="18" spans="1:83" x14ac:dyDescent="0.5">
      <c r="A18" s="268"/>
      <c r="B18" s="181"/>
      <c r="C18" s="285"/>
      <c r="D18" s="286"/>
      <c r="E18" s="287"/>
      <c r="F18" s="288"/>
      <c r="G18" s="289"/>
      <c r="H18" s="290"/>
      <c r="I18" s="832"/>
      <c r="J18" s="289"/>
      <c r="K18" s="181"/>
      <c r="L18" s="188"/>
      <c r="M18" s="181"/>
      <c r="N18" s="189"/>
      <c r="O18" s="189"/>
      <c r="P18" s="189"/>
      <c r="Q18" s="214"/>
      <c r="R18" s="191"/>
      <c r="S18" s="192"/>
      <c r="T18" s="193"/>
      <c r="U18" s="194"/>
      <c r="V18" s="235"/>
      <c r="W18" s="194"/>
      <c r="X18" s="194"/>
      <c r="Y18" s="235"/>
      <c r="Z18" s="236"/>
      <c r="AA18" s="200">
        <v>18120517</v>
      </c>
      <c r="AB18" s="201">
        <v>22500</v>
      </c>
      <c r="AC18" s="202">
        <f t="shared" si="4"/>
        <v>1575</v>
      </c>
      <c r="AD18" s="202">
        <f t="shared" si="5"/>
        <v>24075</v>
      </c>
      <c r="AE18" s="203">
        <v>43453</v>
      </c>
      <c r="AF18" s="199" t="s">
        <v>869</v>
      </c>
      <c r="AG18" s="199"/>
      <c r="AH18" s="199"/>
      <c r="AI18" s="180" t="s">
        <v>1462</v>
      </c>
      <c r="AJ18" s="204"/>
      <c r="AK18" s="205"/>
      <c r="AL18" s="206"/>
      <c r="AM18" s="206"/>
      <c r="AN18" s="207"/>
      <c r="AO18" s="291"/>
      <c r="AP18" s="204"/>
      <c r="AQ18" s="200"/>
      <c r="AR18" s="207"/>
      <c r="AS18" s="207"/>
      <c r="AT18" s="207"/>
      <c r="AU18" s="291"/>
      <c r="AV18" s="204"/>
      <c r="AW18" s="210"/>
      <c r="AX18" s="204"/>
      <c r="AY18" s="204"/>
      <c r="AZ18" s="204"/>
      <c r="BA18" s="210"/>
      <c r="BB18" s="204"/>
      <c r="BC18" s="210"/>
      <c r="BD18" s="204"/>
      <c r="BE18" s="204"/>
      <c r="BF18" s="204"/>
      <c r="BG18" s="210"/>
      <c r="BH18" s="204"/>
      <c r="BI18" s="210"/>
      <c r="BJ18" s="204"/>
      <c r="BK18" s="204"/>
      <c r="BL18" s="204"/>
      <c r="BM18" s="204"/>
      <c r="BN18" s="204"/>
      <c r="BO18" s="210"/>
      <c r="BP18" s="204"/>
      <c r="BQ18" s="204"/>
      <c r="BR18" s="204"/>
      <c r="BS18" s="204"/>
      <c r="BT18" s="204"/>
      <c r="BU18" s="210"/>
      <c r="BV18" s="204"/>
      <c r="BW18" s="204"/>
      <c r="BX18" s="204"/>
      <c r="BY18" s="204"/>
      <c r="BZ18" s="204"/>
      <c r="CA18" s="210"/>
      <c r="CB18" s="204"/>
      <c r="CC18" s="204"/>
      <c r="CD18" s="204"/>
      <c r="CE18" s="204"/>
    </row>
    <row r="19" spans="1:83" x14ac:dyDescent="0.5">
      <c r="A19" s="259">
        <v>18126070</v>
      </c>
      <c r="B19" s="104">
        <v>18121104</v>
      </c>
      <c r="C19" s="105">
        <v>269</v>
      </c>
      <c r="D19" s="106" t="s">
        <v>184</v>
      </c>
      <c r="E19" s="107" t="s">
        <v>1324</v>
      </c>
      <c r="F19" s="108" t="s">
        <v>1432</v>
      </c>
      <c r="G19" s="211">
        <v>43508</v>
      </c>
      <c r="H19" s="164">
        <v>19049</v>
      </c>
      <c r="I19" s="127" t="s">
        <v>869</v>
      </c>
      <c r="J19" s="122">
        <v>43509</v>
      </c>
      <c r="K19" s="104" t="s">
        <v>139</v>
      </c>
      <c r="L19" s="110" t="s">
        <v>1293</v>
      </c>
      <c r="M19" s="104" t="s">
        <v>50</v>
      </c>
      <c r="N19" s="111">
        <v>411214.96</v>
      </c>
      <c r="O19" s="111">
        <f>N19*7/100</f>
        <v>28785.047200000001</v>
      </c>
      <c r="P19" s="111">
        <f>N19+O19</f>
        <v>440000.00719999999</v>
      </c>
      <c r="Q19" s="212"/>
      <c r="R19" s="165"/>
      <c r="S19" s="166"/>
      <c r="T19" s="167"/>
      <c r="U19" s="168"/>
      <c r="V19" s="117">
        <f>N19</f>
        <v>411214.96</v>
      </c>
      <c r="W19" s="118">
        <v>0.39</v>
      </c>
      <c r="X19" s="118">
        <f>V19*W19/100</f>
        <v>1603.7383440000003</v>
      </c>
      <c r="Y19" s="119">
        <v>0.2</v>
      </c>
      <c r="Z19" s="120">
        <f>V19*Y19/100</f>
        <v>822.42992000000015</v>
      </c>
      <c r="AA19" s="229">
        <v>19010007</v>
      </c>
      <c r="AB19" s="230">
        <v>123364.49</v>
      </c>
      <c r="AC19" s="233">
        <f t="shared" si="4"/>
        <v>8635.5143000000007</v>
      </c>
      <c r="AD19" s="233">
        <f t="shared" si="5"/>
        <v>132000.0043</v>
      </c>
      <c r="AE19" s="221">
        <v>43473</v>
      </c>
      <c r="AF19" s="121" t="s">
        <v>869</v>
      </c>
      <c r="AG19" s="121"/>
      <c r="AH19" s="121"/>
      <c r="AI19" s="222" t="s">
        <v>1651</v>
      </c>
      <c r="AJ19" s="128">
        <v>1</v>
      </c>
      <c r="AK19" s="129" t="s">
        <v>651</v>
      </c>
      <c r="AL19" s="130"/>
      <c r="AM19" s="130" t="s">
        <v>869</v>
      </c>
      <c r="AN19" s="131">
        <v>2</v>
      </c>
      <c r="AO19" s="132" t="s">
        <v>636</v>
      </c>
      <c r="AP19" s="128"/>
      <c r="AQ19" s="133"/>
      <c r="AR19" s="128"/>
      <c r="AS19" s="128"/>
      <c r="AT19" s="128"/>
      <c r="AU19" s="133"/>
      <c r="AV19" s="128"/>
      <c r="AW19" s="133"/>
      <c r="AX19" s="128"/>
      <c r="AY19" s="128"/>
      <c r="AZ19" s="128"/>
      <c r="BA19" s="133"/>
      <c r="BB19" s="128"/>
      <c r="BC19" s="133"/>
      <c r="BD19" s="128"/>
      <c r="BE19" s="128"/>
      <c r="BF19" s="128"/>
      <c r="BG19" s="133"/>
      <c r="BH19" s="128"/>
      <c r="BI19" s="133"/>
      <c r="BJ19" s="128"/>
      <c r="BK19" s="128"/>
      <c r="BL19" s="128"/>
      <c r="BM19" s="128"/>
      <c r="BN19" s="128"/>
      <c r="BO19" s="133"/>
      <c r="BP19" s="128"/>
      <c r="BQ19" s="128"/>
      <c r="BR19" s="128"/>
      <c r="BS19" s="128"/>
      <c r="BT19" s="128"/>
      <c r="BU19" s="133"/>
      <c r="BV19" s="128"/>
      <c r="BW19" s="128"/>
      <c r="BX19" s="128"/>
      <c r="BY19" s="128"/>
      <c r="BZ19" s="128"/>
      <c r="CA19" s="133"/>
      <c r="CB19" s="128"/>
      <c r="CC19" s="128"/>
      <c r="CD19" s="128"/>
      <c r="CE19" s="128"/>
    </row>
    <row r="20" spans="1:83" x14ac:dyDescent="0.5">
      <c r="A20" s="268"/>
      <c r="B20" s="181"/>
      <c r="C20" s="182"/>
      <c r="D20" s="183"/>
      <c r="E20" s="184"/>
      <c r="F20" s="185"/>
      <c r="G20" s="186">
        <v>43508</v>
      </c>
      <c r="H20" s="187">
        <v>19050</v>
      </c>
      <c r="I20" s="199"/>
      <c r="J20" s="181"/>
      <c r="K20" s="181"/>
      <c r="L20" s="188"/>
      <c r="M20" s="181"/>
      <c r="N20" s="189"/>
      <c r="O20" s="189"/>
      <c r="P20" s="189"/>
      <c r="Q20" s="214"/>
      <c r="R20" s="191"/>
      <c r="S20" s="192"/>
      <c r="T20" s="193"/>
      <c r="U20" s="194"/>
      <c r="V20" s="195"/>
      <c r="W20" s="196"/>
      <c r="X20" s="196"/>
      <c r="Y20" s="197"/>
      <c r="Z20" s="198"/>
      <c r="AA20" s="200">
        <v>19010008</v>
      </c>
      <c r="AB20" s="201">
        <v>287850.46999999997</v>
      </c>
      <c r="AC20" s="237">
        <f t="shared" si="4"/>
        <v>20149.532899999998</v>
      </c>
      <c r="AD20" s="237">
        <f t="shared" si="5"/>
        <v>308000.00289999996</v>
      </c>
      <c r="AE20" s="203">
        <v>43473</v>
      </c>
      <c r="AF20" s="199" t="s">
        <v>869</v>
      </c>
      <c r="AG20" s="199"/>
      <c r="AH20" s="199"/>
      <c r="AI20" s="180" t="s">
        <v>1761</v>
      </c>
      <c r="AJ20" s="204"/>
      <c r="AK20" s="205"/>
      <c r="AL20" s="206"/>
      <c r="AM20" s="206"/>
      <c r="AN20" s="207"/>
      <c r="AO20" s="208"/>
      <c r="AP20" s="204"/>
      <c r="AQ20" s="210"/>
      <c r="AR20" s="204"/>
      <c r="AS20" s="204"/>
      <c r="AT20" s="204"/>
      <c r="AU20" s="210"/>
      <c r="AV20" s="204"/>
      <c r="AW20" s="210"/>
      <c r="AX20" s="204"/>
      <c r="AY20" s="204"/>
      <c r="AZ20" s="204"/>
      <c r="BA20" s="210"/>
      <c r="BB20" s="204"/>
      <c r="BC20" s="210"/>
      <c r="BD20" s="204"/>
      <c r="BE20" s="204"/>
      <c r="BF20" s="204"/>
      <c r="BG20" s="210"/>
      <c r="BH20" s="204"/>
      <c r="BI20" s="210"/>
      <c r="BJ20" s="204"/>
      <c r="BK20" s="204"/>
      <c r="BL20" s="204"/>
      <c r="BM20" s="204"/>
      <c r="BN20" s="204"/>
      <c r="BO20" s="210"/>
      <c r="BP20" s="204"/>
      <c r="BQ20" s="204"/>
      <c r="BR20" s="204"/>
      <c r="BS20" s="204"/>
      <c r="BT20" s="204"/>
      <c r="BU20" s="210"/>
      <c r="BV20" s="204"/>
      <c r="BW20" s="204"/>
      <c r="BX20" s="204"/>
      <c r="BY20" s="204"/>
      <c r="BZ20" s="204"/>
      <c r="CA20" s="210"/>
      <c r="CB20" s="204"/>
      <c r="CC20" s="204"/>
      <c r="CD20" s="204"/>
      <c r="CE20" s="204"/>
    </row>
    <row r="21" spans="1:83" x14ac:dyDescent="0.5">
      <c r="A21" s="227">
        <v>18126069</v>
      </c>
      <c r="B21" s="22">
        <v>18121099</v>
      </c>
      <c r="C21" s="23">
        <v>266</v>
      </c>
      <c r="D21" s="24" t="s">
        <v>184</v>
      </c>
      <c r="E21" s="25" t="s">
        <v>1324</v>
      </c>
      <c r="F21" s="26" t="s">
        <v>1437</v>
      </c>
      <c r="G21" s="62">
        <v>43498</v>
      </c>
      <c r="H21" s="27">
        <v>19040</v>
      </c>
      <c r="I21" s="39" t="s">
        <v>869</v>
      </c>
      <c r="J21" s="62">
        <v>43498</v>
      </c>
      <c r="K21" s="22" t="s">
        <v>543</v>
      </c>
      <c r="L21" s="28" t="s">
        <v>1294</v>
      </c>
      <c r="M21" s="22" t="s">
        <v>51</v>
      </c>
      <c r="N21" s="29">
        <v>128200</v>
      </c>
      <c r="O21" s="29" t="s">
        <v>402</v>
      </c>
      <c r="P21" s="29">
        <f>N21</f>
        <v>128200</v>
      </c>
      <c r="Q21" s="61"/>
      <c r="R21" s="96"/>
      <c r="S21" s="97"/>
      <c r="T21" s="98"/>
      <c r="U21" s="99"/>
      <c r="V21" s="100"/>
      <c r="W21" s="99"/>
      <c r="X21" s="99"/>
      <c r="Y21" s="100"/>
      <c r="Z21" s="101"/>
      <c r="AA21" s="40">
        <v>19030062</v>
      </c>
      <c r="AB21" s="41">
        <v>128200</v>
      </c>
      <c r="AC21" s="42" t="s">
        <v>402</v>
      </c>
      <c r="AD21" s="64">
        <f>AB21</f>
        <v>128200</v>
      </c>
      <c r="AE21" s="53">
        <v>43525</v>
      </c>
      <c r="AF21" s="39" t="s">
        <v>869</v>
      </c>
      <c r="AI21" s="21" t="s">
        <v>1810</v>
      </c>
      <c r="AJ21" s="44">
        <v>1</v>
      </c>
      <c r="AK21" s="45" t="s">
        <v>1295</v>
      </c>
      <c r="AM21" s="46" t="s">
        <v>869</v>
      </c>
      <c r="AN21" s="47">
        <v>2</v>
      </c>
      <c r="AO21" s="48" t="s">
        <v>634</v>
      </c>
      <c r="AQ21" s="54"/>
      <c r="AR21" s="44"/>
      <c r="AS21" s="44"/>
      <c r="AT21" s="44"/>
      <c r="AU21" s="54"/>
      <c r="AW21" s="54"/>
      <c r="AX21" s="44"/>
      <c r="AY21" s="44"/>
      <c r="AZ21" s="44"/>
      <c r="BA21" s="54"/>
      <c r="BC21" s="54"/>
      <c r="BD21" s="44"/>
      <c r="BE21" s="44"/>
      <c r="BF21" s="44"/>
      <c r="BG21" s="54"/>
      <c r="BI21" s="54"/>
      <c r="BJ21" s="44"/>
      <c r="BK21" s="44"/>
      <c r="BL21" s="44"/>
      <c r="BM21" s="44"/>
      <c r="BO21" s="54"/>
      <c r="BP21" s="44"/>
      <c r="BQ21" s="44"/>
      <c r="BR21" s="44"/>
      <c r="BS21" s="44"/>
      <c r="BU21" s="54"/>
      <c r="BV21" s="44"/>
      <c r="BW21" s="44"/>
      <c r="BX21" s="44"/>
      <c r="BY21" s="44"/>
      <c r="CA21" s="54"/>
      <c r="CB21" s="44"/>
      <c r="CC21" s="44"/>
      <c r="CD21" s="44"/>
      <c r="CE21" s="44"/>
    </row>
    <row r="22" spans="1:83" x14ac:dyDescent="0.5">
      <c r="A22" s="227">
        <v>18126068</v>
      </c>
      <c r="B22" s="22">
        <v>18126068</v>
      </c>
      <c r="C22" s="23">
        <v>267</v>
      </c>
      <c r="D22" s="24" t="s">
        <v>184</v>
      </c>
      <c r="E22" s="25" t="s">
        <v>1324</v>
      </c>
      <c r="F22" s="26" t="s">
        <v>1445</v>
      </c>
      <c r="G22" s="62">
        <v>43494</v>
      </c>
      <c r="H22" s="27">
        <v>19029</v>
      </c>
      <c r="I22" s="39" t="s">
        <v>869</v>
      </c>
      <c r="J22" s="62">
        <v>43494</v>
      </c>
      <c r="K22" s="22" t="s">
        <v>19</v>
      </c>
      <c r="L22" s="28" t="s">
        <v>1296</v>
      </c>
      <c r="M22" s="22" t="s">
        <v>51</v>
      </c>
      <c r="N22" s="29">
        <v>31560</v>
      </c>
      <c r="O22" s="29">
        <f>N22*7/100</f>
        <v>2209.1999999999998</v>
      </c>
      <c r="P22" s="29">
        <f>N22+O22</f>
        <v>33769.199999999997</v>
      </c>
      <c r="Q22" s="61"/>
      <c r="R22" s="96"/>
      <c r="S22" s="97"/>
      <c r="T22" s="98"/>
      <c r="U22" s="99"/>
      <c r="V22" s="100"/>
      <c r="W22" s="99"/>
      <c r="X22" s="99"/>
      <c r="Y22" s="100"/>
      <c r="Z22" s="101"/>
      <c r="AA22" s="40">
        <v>19010030</v>
      </c>
      <c r="AB22" s="41">
        <v>31560</v>
      </c>
      <c r="AC22" s="52">
        <f>AB22*7/100</f>
        <v>2209.1999999999998</v>
      </c>
      <c r="AD22" s="52">
        <f>AB22+AC22</f>
        <v>33769.199999999997</v>
      </c>
      <c r="AE22" s="53">
        <v>43525</v>
      </c>
      <c r="AF22" s="39" t="s">
        <v>869</v>
      </c>
      <c r="AI22" s="21" t="s">
        <v>1753</v>
      </c>
      <c r="AJ22" s="44">
        <v>1</v>
      </c>
      <c r="AK22" s="45" t="s">
        <v>1297</v>
      </c>
      <c r="AM22" s="46" t="s">
        <v>869</v>
      </c>
      <c r="AN22" s="47">
        <v>1</v>
      </c>
      <c r="AO22" s="48" t="s">
        <v>633</v>
      </c>
      <c r="AP22" s="44">
        <v>2</v>
      </c>
      <c r="AQ22" s="40" t="s">
        <v>1298</v>
      </c>
      <c r="AS22" s="47" t="s">
        <v>869</v>
      </c>
      <c r="AT22" s="47">
        <v>1</v>
      </c>
      <c r="AU22" s="49" t="s">
        <v>633</v>
      </c>
      <c r="AW22" s="54"/>
      <c r="AX22" s="44"/>
      <c r="AY22" s="44"/>
      <c r="AZ22" s="44"/>
      <c r="BA22" s="54"/>
      <c r="BC22" s="54"/>
      <c r="BD22" s="44"/>
      <c r="BE22" s="44"/>
      <c r="BF22" s="44"/>
      <c r="BG22" s="54"/>
      <c r="BI22" s="54"/>
      <c r="BJ22" s="44"/>
      <c r="BK22" s="44"/>
      <c r="BL22" s="44"/>
      <c r="BM22" s="44"/>
      <c r="BO22" s="54"/>
      <c r="BP22" s="44"/>
      <c r="BQ22" s="44"/>
      <c r="BR22" s="44"/>
      <c r="BS22" s="44"/>
      <c r="BU22" s="54"/>
      <c r="BV22" s="44"/>
      <c r="BW22" s="44"/>
      <c r="BX22" s="44"/>
      <c r="BY22" s="44"/>
      <c r="CA22" s="54"/>
      <c r="CB22" s="44"/>
      <c r="CC22" s="44"/>
      <c r="CD22" s="44"/>
      <c r="CE22" s="44"/>
    </row>
    <row r="23" spans="1:83" x14ac:dyDescent="0.5">
      <c r="A23" s="227">
        <v>18126067</v>
      </c>
      <c r="B23" s="22">
        <v>18121098</v>
      </c>
      <c r="C23" s="23" t="s">
        <v>1352</v>
      </c>
      <c r="D23" s="24" t="s">
        <v>184</v>
      </c>
      <c r="E23" s="57"/>
      <c r="F23" s="58"/>
      <c r="G23" s="59"/>
      <c r="H23" s="60"/>
      <c r="I23" s="830" t="s">
        <v>869</v>
      </c>
      <c r="J23" s="831"/>
      <c r="K23" s="22" t="s">
        <v>154</v>
      </c>
      <c r="L23" s="28" t="s">
        <v>1283</v>
      </c>
      <c r="M23" s="22" t="s">
        <v>51</v>
      </c>
      <c r="N23" s="29">
        <v>53400</v>
      </c>
      <c r="O23" s="29">
        <f>N23*7/100</f>
        <v>3738</v>
      </c>
      <c r="P23" s="29">
        <f>N23+O23</f>
        <v>57138</v>
      </c>
      <c r="Q23" s="61"/>
      <c r="R23" s="96"/>
      <c r="S23" s="97"/>
      <c r="T23" s="98"/>
      <c r="U23" s="99"/>
      <c r="V23" s="100"/>
      <c r="W23" s="99"/>
      <c r="X23" s="99"/>
      <c r="Y23" s="100"/>
      <c r="Z23" s="101"/>
      <c r="AA23" s="40">
        <v>18120504</v>
      </c>
      <c r="AB23" s="41">
        <v>53400</v>
      </c>
      <c r="AC23" s="52">
        <f>AB23*7/100</f>
        <v>3738</v>
      </c>
      <c r="AD23" s="52">
        <f>AB23+AC23</f>
        <v>57138</v>
      </c>
      <c r="AE23" s="53">
        <v>43477</v>
      </c>
      <c r="AF23" s="39" t="s">
        <v>869</v>
      </c>
      <c r="AI23" s="21" t="s">
        <v>1654</v>
      </c>
      <c r="AJ23" s="44">
        <v>1</v>
      </c>
      <c r="AK23" s="45" t="s">
        <v>1284</v>
      </c>
      <c r="AO23" s="48" t="s">
        <v>628</v>
      </c>
      <c r="AQ23" s="54"/>
      <c r="AR23" s="44"/>
      <c r="AS23" s="44"/>
      <c r="AT23" s="44"/>
      <c r="AU23" s="54"/>
      <c r="AW23" s="54"/>
      <c r="AX23" s="44"/>
      <c r="AY23" s="44"/>
      <c r="AZ23" s="44"/>
      <c r="BA23" s="54"/>
      <c r="BC23" s="54"/>
      <c r="BD23" s="44"/>
      <c r="BE23" s="44"/>
      <c r="BF23" s="44"/>
      <c r="BG23" s="54"/>
      <c r="BI23" s="54"/>
      <c r="BJ23" s="44"/>
      <c r="BK23" s="44"/>
      <c r="BL23" s="44"/>
      <c r="BM23" s="44"/>
      <c r="BO23" s="54"/>
      <c r="BP23" s="44"/>
      <c r="BQ23" s="44"/>
      <c r="BR23" s="44"/>
      <c r="BS23" s="44"/>
      <c r="BU23" s="54"/>
      <c r="BV23" s="44"/>
      <c r="BW23" s="44"/>
      <c r="BX23" s="44"/>
      <c r="BY23" s="44"/>
      <c r="CA23" s="54"/>
      <c r="CB23" s="44"/>
      <c r="CC23" s="44"/>
      <c r="CD23" s="44"/>
      <c r="CE23" s="44"/>
    </row>
    <row r="24" spans="1:83" x14ac:dyDescent="0.5">
      <c r="A24" s="227" t="s">
        <v>1477</v>
      </c>
      <c r="B24" s="22">
        <v>18121088</v>
      </c>
      <c r="C24" s="23">
        <v>265</v>
      </c>
      <c r="D24" s="24" t="s">
        <v>184</v>
      </c>
      <c r="E24" s="25" t="s">
        <v>185</v>
      </c>
      <c r="F24" s="26">
        <v>284</v>
      </c>
      <c r="G24" s="62">
        <v>43451</v>
      </c>
      <c r="H24" s="27">
        <v>18461</v>
      </c>
      <c r="I24" s="39" t="s">
        <v>869</v>
      </c>
      <c r="J24" s="62">
        <v>43453</v>
      </c>
      <c r="K24" s="22" t="s">
        <v>1280</v>
      </c>
      <c r="L24" s="28" t="s">
        <v>1281</v>
      </c>
      <c r="M24" s="22" t="s">
        <v>52</v>
      </c>
      <c r="N24" s="29">
        <v>80000</v>
      </c>
      <c r="O24" s="29" t="s">
        <v>402</v>
      </c>
      <c r="P24" s="29">
        <f>N24</f>
        <v>80000</v>
      </c>
      <c r="Q24" s="61"/>
      <c r="R24" s="31" t="s">
        <v>1286</v>
      </c>
      <c r="S24" s="32">
        <f>N24</f>
        <v>80000</v>
      </c>
      <c r="T24" s="33">
        <v>5</v>
      </c>
      <c r="U24" s="34">
        <f>S24*T24/100</f>
        <v>4000</v>
      </c>
      <c r="V24" s="35">
        <f>S24-U24</f>
        <v>76000</v>
      </c>
      <c r="W24" s="36">
        <v>0.28999999999999998</v>
      </c>
      <c r="X24" s="36">
        <f>V24*W24/100</f>
        <v>220.4</v>
      </c>
      <c r="Y24" s="37">
        <v>0.2</v>
      </c>
      <c r="Z24" s="38">
        <f>V24*Y24/100</f>
        <v>152</v>
      </c>
      <c r="AF24" s="39" t="s">
        <v>869</v>
      </c>
      <c r="AI24" s="21" t="s">
        <v>1299</v>
      </c>
      <c r="AJ24" s="44">
        <v>1</v>
      </c>
      <c r="AK24" s="45" t="s">
        <v>1282</v>
      </c>
      <c r="AM24" s="46" t="s">
        <v>869</v>
      </c>
      <c r="AN24" s="47">
        <v>1</v>
      </c>
      <c r="AO24" s="48" t="s">
        <v>634</v>
      </c>
      <c r="AQ24" s="54"/>
      <c r="AR24" s="44"/>
      <c r="AS24" s="44"/>
      <c r="AT24" s="44"/>
      <c r="AU24" s="54"/>
      <c r="AW24" s="54"/>
      <c r="AX24" s="44"/>
      <c r="AY24" s="44"/>
      <c r="AZ24" s="44"/>
      <c r="BA24" s="54"/>
      <c r="BC24" s="54"/>
      <c r="BD24" s="44"/>
      <c r="BE24" s="44"/>
      <c r="BF24" s="44"/>
      <c r="BG24" s="54"/>
      <c r="BI24" s="54"/>
      <c r="BJ24" s="44"/>
      <c r="BK24" s="44"/>
      <c r="BL24" s="44"/>
      <c r="BM24" s="44"/>
      <c r="BO24" s="54"/>
      <c r="BP24" s="44"/>
      <c r="BQ24" s="44"/>
      <c r="BR24" s="44"/>
      <c r="BS24" s="44"/>
      <c r="BU24" s="54"/>
      <c r="BV24" s="44"/>
      <c r="BW24" s="44"/>
      <c r="BX24" s="44"/>
      <c r="BY24" s="44"/>
      <c r="CA24" s="54"/>
      <c r="CB24" s="44"/>
      <c r="CC24" s="44"/>
      <c r="CD24" s="44"/>
      <c r="CE24" s="44"/>
    </row>
    <row r="25" spans="1:83" x14ac:dyDescent="0.5">
      <c r="A25" s="227">
        <v>18126066</v>
      </c>
      <c r="B25" s="22">
        <v>18121089</v>
      </c>
      <c r="C25" s="23">
        <v>264</v>
      </c>
      <c r="D25" s="24" t="s">
        <v>184</v>
      </c>
      <c r="E25" s="25" t="s">
        <v>185</v>
      </c>
      <c r="F25" s="26">
        <v>285</v>
      </c>
      <c r="G25" s="62">
        <v>43451</v>
      </c>
      <c r="H25" s="27">
        <v>18462</v>
      </c>
      <c r="I25" s="39" t="s">
        <v>869</v>
      </c>
      <c r="J25" s="62">
        <v>43452</v>
      </c>
      <c r="K25" s="22" t="s">
        <v>10</v>
      </c>
      <c r="L25" s="28" t="s">
        <v>1278</v>
      </c>
      <c r="M25" s="22" t="s">
        <v>51</v>
      </c>
      <c r="N25" s="29">
        <v>80000</v>
      </c>
      <c r="O25" s="29">
        <f>N25*7/100</f>
        <v>5600</v>
      </c>
      <c r="P25" s="29">
        <f>N25+O25</f>
        <v>85600</v>
      </c>
      <c r="Q25" s="61"/>
      <c r="R25" s="96"/>
      <c r="S25" s="97"/>
      <c r="T25" s="98"/>
      <c r="U25" s="99"/>
      <c r="V25" s="100"/>
      <c r="W25" s="99"/>
      <c r="X25" s="99"/>
      <c r="Y25" s="100"/>
      <c r="Z25" s="101"/>
      <c r="AA25" s="40">
        <v>18120518</v>
      </c>
      <c r="AB25" s="41">
        <v>80000</v>
      </c>
      <c r="AC25" s="52">
        <f t="shared" ref="AC25:AC31" si="6">AB25*7/100</f>
        <v>5600</v>
      </c>
      <c r="AD25" s="52">
        <f t="shared" ref="AD25:AD31" si="7">AB25+AC25</f>
        <v>85600</v>
      </c>
      <c r="AE25" s="53">
        <v>43498</v>
      </c>
      <c r="AF25" s="39" t="s">
        <v>869</v>
      </c>
      <c r="AI25" s="21" t="s">
        <v>1655</v>
      </c>
      <c r="AJ25" s="44">
        <v>1</v>
      </c>
      <c r="AK25" s="45" t="s">
        <v>1279</v>
      </c>
      <c r="AM25" s="46" t="s">
        <v>869</v>
      </c>
      <c r="AN25" s="47">
        <v>1</v>
      </c>
      <c r="AO25" s="48" t="s">
        <v>633</v>
      </c>
      <c r="AQ25" s="54"/>
      <c r="AR25" s="44"/>
      <c r="AS25" s="44"/>
      <c r="AT25" s="44"/>
      <c r="AU25" s="54"/>
      <c r="AW25" s="54"/>
      <c r="AX25" s="44"/>
      <c r="AY25" s="44"/>
      <c r="AZ25" s="44"/>
      <c r="BA25" s="54"/>
      <c r="BC25" s="54"/>
      <c r="BD25" s="44"/>
      <c r="BE25" s="44"/>
      <c r="BF25" s="44"/>
      <c r="BG25" s="54"/>
      <c r="BI25" s="54"/>
      <c r="BJ25" s="44"/>
      <c r="BK25" s="44"/>
      <c r="BL25" s="44"/>
      <c r="BM25" s="44"/>
      <c r="BO25" s="54"/>
      <c r="BP25" s="44"/>
      <c r="BQ25" s="44"/>
      <c r="BR25" s="44"/>
      <c r="BS25" s="44"/>
      <c r="BU25" s="54"/>
      <c r="BV25" s="44"/>
      <c r="BW25" s="44"/>
      <c r="BX25" s="44"/>
      <c r="BY25" s="44"/>
      <c r="CA25" s="54"/>
      <c r="CB25" s="44"/>
      <c r="CC25" s="44"/>
      <c r="CD25" s="44"/>
      <c r="CE25" s="44"/>
    </row>
    <row r="26" spans="1:83" x14ac:dyDescent="0.5">
      <c r="A26" s="227">
        <v>18126065</v>
      </c>
      <c r="B26" s="22">
        <v>18126065</v>
      </c>
      <c r="C26" s="23">
        <v>263</v>
      </c>
      <c r="D26" s="24" t="s">
        <v>184</v>
      </c>
      <c r="E26" s="25" t="s">
        <v>185</v>
      </c>
      <c r="F26" s="26">
        <v>279</v>
      </c>
      <c r="G26" s="62">
        <v>43445</v>
      </c>
      <c r="H26" s="27">
        <v>18450</v>
      </c>
      <c r="I26" s="39" t="s">
        <v>869</v>
      </c>
      <c r="J26" s="62">
        <v>43446</v>
      </c>
      <c r="K26" s="22" t="s">
        <v>534</v>
      </c>
      <c r="L26" s="28" t="s">
        <v>1253</v>
      </c>
      <c r="M26" s="22" t="s">
        <v>52</v>
      </c>
      <c r="N26" s="29">
        <v>79439.25</v>
      </c>
      <c r="O26" s="29">
        <f>N26*7/100</f>
        <v>5560.7475000000004</v>
      </c>
      <c r="P26" s="29">
        <f>N26+O26</f>
        <v>84999.997499999998</v>
      </c>
      <c r="Q26" s="61"/>
      <c r="R26" s="31" t="s">
        <v>1198</v>
      </c>
      <c r="S26" s="32">
        <f>N26</f>
        <v>79439.25</v>
      </c>
      <c r="T26" s="33">
        <v>5</v>
      </c>
      <c r="U26" s="34">
        <f>S26*T26/100</f>
        <v>3971.9625000000001</v>
      </c>
      <c r="V26" s="35">
        <f>S26-U26</f>
        <v>75467.287500000006</v>
      </c>
      <c r="W26" s="36">
        <v>0.15</v>
      </c>
      <c r="X26" s="36">
        <f>V26*W26/100</f>
        <v>113.20093125000001</v>
      </c>
      <c r="Y26" s="37">
        <v>0.2</v>
      </c>
      <c r="Z26" s="38">
        <f>V26*Y26/100</f>
        <v>150.93457500000002</v>
      </c>
      <c r="AA26" s="40">
        <v>18120505</v>
      </c>
      <c r="AB26" s="41">
        <v>79439.25</v>
      </c>
      <c r="AC26" s="52">
        <f t="shared" si="6"/>
        <v>5560.7475000000004</v>
      </c>
      <c r="AD26" s="52">
        <f t="shared" si="7"/>
        <v>84999.997499999998</v>
      </c>
      <c r="AE26" s="53">
        <v>43462</v>
      </c>
      <c r="AF26" s="39" t="s">
        <v>869</v>
      </c>
      <c r="AI26" s="21" t="s">
        <v>1470</v>
      </c>
      <c r="AJ26" s="44">
        <v>1</v>
      </c>
      <c r="AK26" s="45" t="s">
        <v>593</v>
      </c>
      <c r="AM26" s="46" t="s">
        <v>869</v>
      </c>
      <c r="AN26" s="47">
        <v>4</v>
      </c>
      <c r="AO26" s="48" t="s">
        <v>634</v>
      </c>
      <c r="AQ26" s="54"/>
      <c r="AR26" s="44"/>
      <c r="AS26" s="44"/>
      <c r="AT26" s="44"/>
      <c r="AU26" s="54"/>
      <c r="AW26" s="54"/>
      <c r="AX26" s="44"/>
      <c r="AY26" s="44"/>
      <c r="AZ26" s="44"/>
      <c r="BA26" s="54"/>
      <c r="BC26" s="54"/>
      <c r="BD26" s="44"/>
      <c r="BE26" s="44"/>
      <c r="BF26" s="44"/>
      <c r="BG26" s="54"/>
      <c r="BI26" s="54"/>
      <c r="BJ26" s="44"/>
      <c r="BK26" s="44"/>
      <c r="BL26" s="44"/>
      <c r="BM26" s="44"/>
      <c r="BO26" s="54"/>
      <c r="BP26" s="44"/>
      <c r="BQ26" s="44"/>
      <c r="BR26" s="44"/>
      <c r="BS26" s="44"/>
      <c r="BU26" s="54"/>
      <c r="BV26" s="44"/>
      <c r="BW26" s="44"/>
      <c r="BX26" s="44"/>
      <c r="BY26" s="44"/>
      <c r="CA26" s="54"/>
      <c r="CB26" s="44"/>
      <c r="CC26" s="44"/>
      <c r="CD26" s="44"/>
      <c r="CE26" s="44"/>
    </row>
    <row r="27" spans="1:83" x14ac:dyDescent="0.5">
      <c r="A27" s="227">
        <v>18126064</v>
      </c>
      <c r="B27" s="22">
        <v>18121078</v>
      </c>
      <c r="C27" s="23">
        <v>262</v>
      </c>
      <c r="D27" s="24" t="s">
        <v>184</v>
      </c>
      <c r="E27" s="25" t="s">
        <v>185</v>
      </c>
      <c r="F27" s="26">
        <v>276</v>
      </c>
      <c r="G27" s="62">
        <v>43442</v>
      </c>
      <c r="H27" s="27">
        <v>18444</v>
      </c>
      <c r="I27" s="39" t="s">
        <v>869</v>
      </c>
      <c r="J27" s="62">
        <v>43442</v>
      </c>
      <c r="K27" s="22" t="s">
        <v>10</v>
      </c>
      <c r="L27" s="28" t="s">
        <v>1251</v>
      </c>
      <c r="M27" s="22" t="s">
        <v>51</v>
      </c>
      <c r="N27" s="29">
        <v>42000</v>
      </c>
      <c r="O27" s="29">
        <f t="shared" ref="O27:O40" si="8">N27*7/100</f>
        <v>2940</v>
      </c>
      <c r="P27" s="29">
        <f t="shared" ref="P27:P40" si="9">N27+O27</f>
        <v>44940</v>
      </c>
      <c r="Q27" s="61"/>
      <c r="R27" s="96"/>
      <c r="S27" s="97"/>
      <c r="T27" s="98"/>
      <c r="U27" s="99"/>
      <c r="V27" s="100"/>
      <c r="W27" s="99"/>
      <c r="X27" s="99"/>
      <c r="Y27" s="100"/>
      <c r="Z27" s="101"/>
      <c r="AA27" s="40">
        <v>18120498</v>
      </c>
      <c r="AB27" s="41">
        <v>42000</v>
      </c>
      <c r="AC27" s="52">
        <f t="shared" si="6"/>
        <v>2940</v>
      </c>
      <c r="AD27" s="52">
        <f t="shared" si="7"/>
        <v>44940</v>
      </c>
      <c r="AE27" s="53">
        <v>43491</v>
      </c>
      <c r="AF27" s="39" t="s">
        <v>869</v>
      </c>
      <c r="AI27" s="21" t="s">
        <v>1674</v>
      </c>
      <c r="AJ27" s="44">
        <v>1</v>
      </c>
      <c r="AK27" s="45" t="s">
        <v>1252</v>
      </c>
      <c r="AM27" s="46" t="s">
        <v>869</v>
      </c>
      <c r="AN27" s="47">
        <v>1</v>
      </c>
      <c r="AO27" s="48" t="s">
        <v>633</v>
      </c>
      <c r="AQ27" s="54"/>
      <c r="AR27" s="44"/>
      <c r="AS27" s="44"/>
      <c r="AT27" s="44"/>
      <c r="AU27" s="54"/>
      <c r="AW27" s="54"/>
      <c r="AX27" s="44"/>
      <c r="AY27" s="44"/>
      <c r="AZ27" s="44"/>
      <c r="BA27" s="54"/>
      <c r="BC27" s="54"/>
      <c r="BD27" s="44"/>
      <c r="BE27" s="44"/>
      <c r="BF27" s="44"/>
      <c r="BG27" s="54"/>
      <c r="BI27" s="54"/>
      <c r="BJ27" s="44"/>
      <c r="BK27" s="44"/>
      <c r="BL27" s="44"/>
      <c r="BM27" s="44"/>
      <c r="BO27" s="54"/>
      <c r="BP27" s="44"/>
      <c r="BQ27" s="44"/>
      <c r="BR27" s="44"/>
      <c r="BS27" s="44"/>
      <c r="BU27" s="54"/>
      <c r="BV27" s="44"/>
      <c r="BW27" s="44"/>
      <c r="BX27" s="44"/>
      <c r="BY27" s="44"/>
      <c r="CA27" s="54"/>
      <c r="CB27" s="44"/>
      <c r="CC27" s="44"/>
      <c r="CD27" s="44"/>
      <c r="CE27" s="44"/>
    </row>
    <row r="28" spans="1:83" x14ac:dyDescent="0.5">
      <c r="A28" s="227">
        <v>18116063</v>
      </c>
      <c r="B28" s="22" t="s">
        <v>1247</v>
      </c>
      <c r="C28" s="23">
        <v>261</v>
      </c>
      <c r="D28" s="24" t="s">
        <v>184</v>
      </c>
      <c r="E28" s="25" t="s">
        <v>185</v>
      </c>
      <c r="F28" s="26">
        <v>278</v>
      </c>
      <c r="G28" s="62">
        <v>43446</v>
      </c>
      <c r="H28" s="27">
        <v>18452</v>
      </c>
      <c r="I28" s="39" t="s">
        <v>869</v>
      </c>
      <c r="J28" s="62">
        <v>43447</v>
      </c>
      <c r="K28" s="22" t="s">
        <v>1115</v>
      </c>
      <c r="L28" s="28" t="s">
        <v>1248</v>
      </c>
      <c r="M28" s="22" t="s">
        <v>52</v>
      </c>
      <c r="N28" s="29">
        <v>60000</v>
      </c>
      <c r="O28" s="29">
        <f t="shared" si="8"/>
        <v>4200</v>
      </c>
      <c r="P28" s="29">
        <f t="shared" si="9"/>
        <v>64200</v>
      </c>
      <c r="Q28" s="30">
        <v>8300</v>
      </c>
      <c r="R28" s="31" t="s">
        <v>567</v>
      </c>
      <c r="S28" s="32">
        <f>N28-Q28</f>
        <v>51700</v>
      </c>
      <c r="T28" s="33">
        <v>5</v>
      </c>
      <c r="U28" s="34">
        <f>S28*T28/100</f>
        <v>2585</v>
      </c>
      <c r="V28" s="35">
        <f>S28-U28</f>
        <v>49115</v>
      </c>
      <c r="W28" s="36">
        <v>0.38</v>
      </c>
      <c r="X28" s="36">
        <f>V28*W28/100</f>
        <v>186.637</v>
      </c>
      <c r="Y28" s="37">
        <v>0.2</v>
      </c>
      <c r="Z28" s="38">
        <f>V28*Y28/100</f>
        <v>98.23</v>
      </c>
      <c r="AA28" s="40">
        <v>18120485</v>
      </c>
      <c r="AB28" s="41">
        <v>60000</v>
      </c>
      <c r="AC28" s="52">
        <f t="shared" si="6"/>
        <v>4200</v>
      </c>
      <c r="AD28" s="52">
        <f t="shared" si="7"/>
        <v>64200</v>
      </c>
      <c r="AE28" s="53">
        <v>43438</v>
      </c>
      <c r="AF28" s="39" t="s">
        <v>869</v>
      </c>
      <c r="AI28" s="21" t="s">
        <v>1475</v>
      </c>
      <c r="AJ28" s="44">
        <v>1</v>
      </c>
      <c r="AK28" s="45" t="s">
        <v>1249</v>
      </c>
      <c r="AM28" s="46" t="s">
        <v>869</v>
      </c>
      <c r="AN28" s="47">
        <v>1</v>
      </c>
      <c r="AO28" s="48" t="s">
        <v>634</v>
      </c>
      <c r="AP28" s="44">
        <v>2</v>
      </c>
      <c r="AQ28" s="40" t="s">
        <v>1250</v>
      </c>
      <c r="AS28" s="47" t="s">
        <v>869</v>
      </c>
      <c r="AT28" s="47">
        <v>1</v>
      </c>
      <c r="AU28" s="49" t="s">
        <v>634</v>
      </c>
      <c r="AW28" s="54"/>
      <c r="AX28" s="44"/>
      <c r="AY28" s="44"/>
      <c r="AZ28" s="44"/>
      <c r="BA28" s="54"/>
      <c r="BC28" s="54"/>
      <c r="BD28" s="44"/>
      <c r="BE28" s="44"/>
      <c r="BF28" s="44"/>
      <c r="BG28" s="54"/>
      <c r="BI28" s="54"/>
      <c r="BJ28" s="44"/>
      <c r="BK28" s="44"/>
      <c r="BL28" s="44"/>
      <c r="BM28" s="44"/>
      <c r="BO28" s="54"/>
      <c r="BP28" s="44"/>
      <c r="BQ28" s="44"/>
      <c r="BR28" s="44"/>
      <c r="BS28" s="44"/>
      <c r="BU28" s="54"/>
      <c r="BV28" s="44"/>
      <c r="BW28" s="44"/>
      <c r="BX28" s="44"/>
      <c r="BY28" s="44"/>
      <c r="CA28" s="54"/>
      <c r="CB28" s="44"/>
      <c r="CC28" s="44"/>
      <c r="CD28" s="44"/>
      <c r="CE28" s="44"/>
    </row>
    <row r="29" spans="1:83" x14ac:dyDescent="0.5">
      <c r="A29" s="259">
        <v>18116062</v>
      </c>
      <c r="B29" s="104">
        <v>18110999</v>
      </c>
      <c r="C29" s="105">
        <v>260</v>
      </c>
      <c r="D29" s="106" t="s">
        <v>184</v>
      </c>
      <c r="E29" s="107" t="s">
        <v>185</v>
      </c>
      <c r="F29" s="108">
        <v>283</v>
      </c>
      <c r="G29" s="211">
        <v>43449</v>
      </c>
      <c r="H29" s="164">
        <v>18454</v>
      </c>
      <c r="I29" s="248" t="s">
        <v>869</v>
      </c>
      <c r="J29" s="122">
        <v>43451</v>
      </c>
      <c r="K29" s="104" t="s">
        <v>129</v>
      </c>
      <c r="L29" s="110" t="s">
        <v>1245</v>
      </c>
      <c r="M29" s="104" t="s">
        <v>50</v>
      </c>
      <c r="N29" s="111">
        <v>1050000</v>
      </c>
      <c r="O29" s="111">
        <f t="shared" si="8"/>
        <v>73500</v>
      </c>
      <c r="P29" s="111">
        <f t="shared" si="9"/>
        <v>1123500</v>
      </c>
      <c r="Q29" s="212"/>
      <c r="R29" s="113" t="s">
        <v>1254</v>
      </c>
      <c r="S29" s="114">
        <f>N29</f>
        <v>1050000</v>
      </c>
      <c r="T29" s="115">
        <v>3.33</v>
      </c>
      <c r="U29" s="116">
        <v>35000</v>
      </c>
      <c r="V29" s="117">
        <f>S29-U29</f>
        <v>1015000</v>
      </c>
      <c r="W29" s="118">
        <v>0.18</v>
      </c>
      <c r="X29" s="118">
        <f>V29*W29/100</f>
        <v>1827</v>
      </c>
      <c r="Y29" s="119">
        <v>0.2</v>
      </c>
      <c r="Z29" s="120">
        <f>V29*Y29/100</f>
        <v>2030</v>
      </c>
      <c r="AA29" s="229">
        <v>18120507</v>
      </c>
      <c r="AB29" s="230">
        <v>315000</v>
      </c>
      <c r="AC29" s="220">
        <f t="shared" si="6"/>
        <v>22050</v>
      </c>
      <c r="AD29" s="220">
        <f t="shared" si="7"/>
        <v>337050</v>
      </c>
      <c r="AE29" s="221">
        <v>43448</v>
      </c>
      <c r="AF29" s="121" t="s">
        <v>869</v>
      </c>
      <c r="AG29" s="121"/>
      <c r="AH29" s="121"/>
      <c r="AI29" s="222" t="s">
        <v>1473</v>
      </c>
      <c r="AJ29" s="128">
        <v>1</v>
      </c>
      <c r="AK29" s="129" t="s">
        <v>1246</v>
      </c>
      <c r="AL29" s="130"/>
      <c r="AM29" s="130" t="s">
        <v>869</v>
      </c>
      <c r="AN29" s="131">
        <v>2</v>
      </c>
      <c r="AO29" s="132" t="s">
        <v>634</v>
      </c>
      <c r="AP29" s="128">
        <v>2</v>
      </c>
      <c r="AQ29" s="123" t="s">
        <v>663</v>
      </c>
      <c r="AR29" s="131"/>
      <c r="AS29" s="131" t="s">
        <v>869</v>
      </c>
      <c r="AT29" s="131">
        <v>5</v>
      </c>
      <c r="AU29" s="169" t="s">
        <v>634</v>
      </c>
      <c r="AV29" s="128"/>
      <c r="AW29" s="133"/>
      <c r="AX29" s="128"/>
      <c r="AY29" s="128"/>
      <c r="AZ29" s="128"/>
      <c r="BA29" s="133"/>
      <c r="BB29" s="128"/>
      <c r="BC29" s="133"/>
      <c r="BD29" s="128"/>
      <c r="BE29" s="128"/>
      <c r="BF29" s="128"/>
      <c r="BG29" s="133"/>
      <c r="BH29" s="128"/>
      <c r="BI29" s="133"/>
      <c r="BJ29" s="128"/>
      <c r="BK29" s="128"/>
      <c r="BL29" s="128"/>
      <c r="BM29" s="128"/>
      <c r="BN29" s="128"/>
      <c r="BO29" s="133"/>
      <c r="BP29" s="128"/>
      <c r="BQ29" s="128"/>
      <c r="BR29" s="128"/>
      <c r="BS29" s="128"/>
      <c r="BT29" s="128"/>
      <c r="BU29" s="133"/>
      <c r="BV29" s="128"/>
      <c r="BW29" s="128"/>
      <c r="BX29" s="128"/>
      <c r="BY29" s="128"/>
      <c r="BZ29" s="128"/>
      <c r="CA29" s="133"/>
      <c r="CB29" s="128"/>
      <c r="CC29" s="128"/>
      <c r="CD29" s="128"/>
      <c r="CE29" s="128"/>
    </row>
    <row r="30" spans="1:83" x14ac:dyDescent="0.5">
      <c r="A30" s="262"/>
      <c r="B30" s="135"/>
      <c r="C30" s="136"/>
      <c r="D30" s="137"/>
      <c r="E30" s="138"/>
      <c r="F30" s="139"/>
      <c r="G30" s="170">
        <v>43449</v>
      </c>
      <c r="H30" s="251">
        <v>18455</v>
      </c>
      <c r="I30" s="252"/>
      <c r="J30" s="135"/>
      <c r="K30" s="135"/>
      <c r="L30" s="141"/>
      <c r="M30" s="135"/>
      <c r="N30" s="142"/>
      <c r="O30" s="142"/>
      <c r="P30" s="142"/>
      <c r="Q30" s="213"/>
      <c r="R30" s="144"/>
      <c r="S30" s="145"/>
      <c r="T30" s="146"/>
      <c r="U30" s="147"/>
      <c r="V30" s="148"/>
      <c r="W30" s="149"/>
      <c r="X30" s="149"/>
      <c r="Y30" s="150"/>
      <c r="Z30" s="151"/>
      <c r="AA30" s="292">
        <v>18120508</v>
      </c>
      <c r="AB30" s="293">
        <v>427252.03</v>
      </c>
      <c r="AC30" s="294">
        <f t="shared" si="6"/>
        <v>29907.642100000001</v>
      </c>
      <c r="AD30" s="294">
        <f t="shared" si="7"/>
        <v>457159.67210000003</v>
      </c>
      <c r="AE30" s="295">
        <v>43448</v>
      </c>
      <c r="AF30" s="296" t="s">
        <v>869</v>
      </c>
      <c r="AG30" s="296"/>
      <c r="AH30" s="296"/>
      <c r="AI30" s="134" t="s">
        <v>1468</v>
      </c>
      <c r="AJ30" s="158"/>
      <c r="AK30" s="159"/>
      <c r="AL30" s="160"/>
      <c r="AM30" s="160"/>
      <c r="AN30" s="161"/>
      <c r="AO30" s="162"/>
      <c r="AP30" s="158"/>
      <c r="AQ30" s="154"/>
      <c r="AR30" s="161"/>
      <c r="AS30" s="161"/>
      <c r="AT30" s="161"/>
      <c r="AU30" s="177"/>
      <c r="AV30" s="158"/>
      <c r="AW30" s="163"/>
      <c r="AX30" s="158"/>
      <c r="AY30" s="158"/>
      <c r="AZ30" s="158"/>
      <c r="BA30" s="163"/>
      <c r="BB30" s="158"/>
      <c r="BC30" s="163"/>
      <c r="BD30" s="158"/>
      <c r="BE30" s="158"/>
      <c r="BF30" s="158"/>
      <c r="BG30" s="163"/>
      <c r="BH30" s="158"/>
      <c r="BI30" s="163"/>
      <c r="BJ30" s="158"/>
      <c r="BK30" s="158"/>
      <c r="BL30" s="158"/>
      <c r="BM30" s="158"/>
      <c r="BN30" s="158"/>
      <c r="BO30" s="163"/>
      <c r="BP30" s="158"/>
      <c r="BQ30" s="158"/>
      <c r="BR30" s="158"/>
      <c r="BS30" s="158"/>
      <c r="BT30" s="158"/>
      <c r="BU30" s="163"/>
      <c r="BV30" s="158"/>
      <c r="BW30" s="158"/>
      <c r="BX30" s="158"/>
      <c r="BY30" s="158"/>
      <c r="BZ30" s="158"/>
      <c r="CA30" s="163"/>
      <c r="CB30" s="158"/>
      <c r="CC30" s="158"/>
      <c r="CD30" s="158"/>
      <c r="CE30" s="158"/>
    </row>
    <row r="31" spans="1:83" x14ac:dyDescent="0.5">
      <c r="A31" s="262"/>
      <c r="B31" s="135"/>
      <c r="C31" s="136"/>
      <c r="D31" s="137"/>
      <c r="E31" s="138"/>
      <c r="F31" s="139"/>
      <c r="G31" s="170">
        <v>43449</v>
      </c>
      <c r="H31" s="251">
        <v>18456</v>
      </c>
      <c r="I31" s="252"/>
      <c r="J31" s="135"/>
      <c r="K31" s="135"/>
      <c r="L31" s="141"/>
      <c r="M31" s="135"/>
      <c r="N31" s="142"/>
      <c r="O31" s="142"/>
      <c r="P31" s="142"/>
      <c r="Q31" s="213"/>
      <c r="R31" s="144"/>
      <c r="S31" s="145"/>
      <c r="T31" s="146"/>
      <c r="U31" s="147"/>
      <c r="V31" s="148"/>
      <c r="W31" s="149"/>
      <c r="X31" s="149"/>
      <c r="Y31" s="150"/>
      <c r="Z31" s="151"/>
      <c r="AA31" s="292">
        <v>18120516</v>
      </c>
      <c r="AB31" s="293">
        <v>307747.96000000002</v>
      </c>
      <c r="AC31" s="294">
        <f t="shared" si="6"/>
        <v>21542.357200000002</v>
      </c>
      <c r="AD31" s="294">
        <f t="shared" si="7"/>
        <v>329290.31720000005</v>
      </c>
      <c r="AE31" s="295">
        <v>43453</v>
      </c>
      <c r="AF31" s="296" t="s">
        <v>869</v>
      </c>
      <c r="AG31" s="296"/>
      <c r="AH31" s="296"/>
      <c r="AI31" s="134" t="s">
        <v>1462</v>
      </c>
      <c r="AJ31" s="158"/>
      <c r="AK31" s="159"/>
      <c r="AL31" s="160"/>
      <c r="AM31" s="160"/>
      <c r="AN31" s="161"/>
      <c r="AO31" s="162"/>
      <c r="AP31" s="158"/>
      <c r="AQ31" s="154"/>
      <c r="AR31" s="161"/>
      <c r="AS31" s="161"/>
      <c r="AT31" s="161"/>
      <c r="AU31" s="177"/>
      <c r="AV31" s="158"/>
      <c r="AW31" s="163"/>
      <c r="AX31" s="158"/>
      <c r="AY31" s="158"/>
      <c r="AZ31" s="158"/>
      <c r="BA31" s="163"/>
      <c r="BB31" s="158"/>
      <c r="BC31" s="163"/>
      <c r="BD31" s="158"/>
      <c r="BE31" s="158"/>
      <c r="BF31" s="158"/>
      <c r="BG31" s="163"/>
      <c r="BH31" s="158"/>
      <c r="BI31" s="163"/>
      <c r="BJ31" s="158"/>
      <c r="BK31" s="158"/>
      <c r="BL31" s="158"/>
      <c r="BM31" s="158"/>
      <c r="BN31" s="158"/>
      <c r="BO31" s="163"/>
      <c r="BP31" s="158"/>
      <c r="BQ31" s="158"/>
      <c r="BR31" s="158"/>
      <c r="BS31" s="158"/>
      <c r="BT31" s="158"/>
      <c r="BU31" s="163"/>
      <c r="BV31" s="158"/>
      <c r="BW31" s="158"/>
      <c r="BX31" s="158"/>
      <c r="BY31" s="158"/>
      <c r="BZ31" s="158"/>
      <c r="CA31" s="163"/>
      <c r="CB31" s="158"/>
      <c r="CC31" s="158"/>
      <c r="CD31" s="158"/>
      <c r="CE31" s="158"/>
    </row>
    <row r="32" spans="1:83" x14ac:dyDescent="0.5">
      <c r="A32" s="262"/>
      <c r="B32" s="135"/>
      <c r="C32" s="136"/>
      <c r="D32" s="137"/>
      <c r="E32" s="138"/>
      <c r="F32" s="139"/>
      <c r="G32" s="170">
        <v>43449</v>
      </c>
      <c r="H32" s="251">
        <v>18457</v>
      </c>
      <c r="I32" s="252"/>
      <c r="J32" s="135"/>
      <c r="K32" s="135"/>
      <c r="L32" s="141"/>
      <c r="M32" s="135"/>
      <c r="N32" s="142"/>
      <c r="O32" s="142"/>
      <c r="P32" s="142"/>
      <c r="Q32" s="213"/>
      <c r="R32" s="144"/>
      <c r="S32" s="145"/>
      <c r="T32" s="146"/>
      <c r="U32" s="147"/>
      <c r="V32" s="148"/>
      <c r="W32" s="149"/>
      <c r="X32" s="149"/>
      <c r="Y32" s="150"/>
      <c r="Z32" s="151"/>
      <c r="AA32" s="154"/>
      <c r="AB32" s="155"/>
      <c r="AC32" s="255"/>
      <c r="AD32" s="255"/>
      <c r="AE32" s="256"/>
      <c r="AF32" s="152"/>
      <c r="AG32" s="152"/>
      <c r="AH32" s="152"/>
      <c r="AI32" s="134"/>
      <c r="AJ32" s="158"/>
      <c r="AK32" s="159"/>
      <c r="AL32" s="160"/>
      <c r="AM32" s="160"/>
      <c r="AN32" s="161"/>
      <c r="AO32" s="177"/>
      <c r="AP32" s="158"/>
      <c r="AQ32" s="154"/>
      <c r="AR32" s="161"/>
      <c r="AS32" s="161"/>
      <c r="AT32" s="161"/>
      <c r="AU32" s="177"/>
      <c r="AV32" s="158"/>
      <c r="AW32" s="163"/>
      <c r="AX32" s="158"/>
      <c r="AY32" s="158"/>
      <c r="AZ32" s="158"/>
      <c r="BA32" s="163"/>
      <c r="BB32" s="158"/>
      <c r="BC32" s="163"/>
      <c r="BD32" s="158"/>
      <c r="BE32" s="158"/>
      <c r="BF32" s="158"/>
      <c r="BG32" s="163"/>
      <c r="BH32" s="158"/>
      <c r="BI32" s="163"/>
      <c r="BJ32" s="158"/>
      <c r="BK32" s="158"/>
      <c r="BL32" s="158"/>
      <c r="BM32" s="158"/>
      <c r="BN32" s="158"/>
      <c r="BO32" s="163"/>
      <c r="BP32" s="158"/>
      <c r="BQ32" s="158"/>
      <c r="BR32" s="158"/>
      <c r="BS32" s="158"/>
      <c r="BT32" s="158"/>
      <c r="BU32" s="163"/>
      <c r="BV32" s="158"/>
      <c r="BW32" s="158"/>
      <c r="BX32" s="158"/>
      <c r="BY32" s="158"/>
      <c r="BZ32" s="158"/>
      <c r="CA32" s="163"/>
      <c r="CB32" s="158"/>
      <c r="CC32" s="158"/>
      <c r="CD32" s="158"/>
      <c r="CE32" s="158"/>
    </row>
    <row r="33" spans="1:84" x14ac:dyDescent="0.5">
      <c r="A33" s="262">
        <v>18116062</v>
      </c>
      <c r="B33" s="135"/>
      <c r="C33" s="136"/>
      <c r="D33" s="137"/>
      <c r="E33" s="138" t="s">
        <v>185</v>
      </c>
      <c r="F33" s="139" t="s">
        <v>1453</v>
      </c>
      <c r="G33" s="170">
        <v>43458</v>
      </c>
      <c r="H33" s="251">
        <v>18471</v>
      </c>
      <c r="I33" s="252" t="s">
        <v>869</v>
      </c>
      <c r="J33" s="179">
        <v>43459</v>
      </c>
      <c r="K33" s="135" t="s">
        <v>2286</v>
      </c>
      <c r="L33" s="141" t="s">
        <v>1245</v>
      </c>
      <c r="M33" s="135"/>
      <c r="N33" s="142"/>
      <c r="O33" s="142"/>
      <c r="P33" s="142"/>
      <c r="Q33" s="213"/>
      <c r="R33" s="144"/>
      <c r="S33" s="145"/>
      <c r="T33" s="146"/>
      <c r="U33" s="147"/>
      <c r="V33" s="148"/>
      <c r="W33" s="149"/>
      <c r="X33" s="149"/>
      <c r="Y33" s="150"/>
      <c r="Z33" s="151"/>
      <c r="AA33" s="154"/>
      <c r="AB33" s="155"/>
      <c r="AC33" s="255"/>
      <c r="AD33" s="255"/>
      <c r="AE33" s="256"/>
      <c r="AF33" s="152"/>
      <c r="AG33" s="152"/>
      <c r="AH33" s="152"/>
      <c r="AI33" s="134"/>
      <c r="AJ33" s="158"/>
      <c r="AK33" s="159"/>
      <c r="AL33" s="160"/>
      <c r="AM33" s="160"/>
      <c r="AN33" s="161"/>
      <c r="AO33" s="162"/>
      <c r="AP33" s="158"/>
      <c r="AQ33" s="154"/>
      <c r="AR33" s="161"/>
      <c r="AS33" s="161"/>
      <c r="AT33" s="161"/>
      <c r="AU33" s="177"/>
      <c r="AV33" s="158"/>
      <c r="AW33" s="163"/>
      <c r="AX33" s="158"/>
      <c r="AY33" s="158"/>
      <c r="AZ33" s="158"/>
      <c r="BA33" s="163"/>
      <c r="BB33" s="158"/>
      <c r="BC33" s="163"/>
      <c r="BD33" s="158"/>
      <c r="BE33" s="158"/>
      <c r="BF33" s="158"/>
      <c r="BG33" s="163"/>
      <c r="BH33" s="158"/>
      <c r="BI33" s="163"/>
      <c r="BJ33" s="158"/>
      <c r="BK33" s="158"/>
      <c r="BL33" s="158"/>
      <c r="BM33" s="158"/>
      <c r="BN33" s="158"/>
      <c r="BO33" s="163"/>
      <c r="BP33" s="158"/>
      <c r="BQ33" s="158"/>
      <c r="BR33" s="158"/>
      <c r="BS33" s="158"/>
      <c r="BT33" s="158"/>
      <c r="BU33" s="163"/>
      <c r="BV33" s="158"/>
      <c r="BW33" s="158"/>
      <c r="BX33" s="297"/>
      <c r="BY33" s="158"/>
      <c r="BZ33" s="298"/>
      <c r="CA33" s="299"/>
      <c r="CB33" s="297"/>
      <c r="CC33" s="297"/>
      <c r="CD33" s="297"/>
      <c r="CE33" s="297"/>
      <c r="CF33" s="300"/>
    </row>
    <row r="34" spans="1:84" x14ac:dyDescent="0.5">
      <c r="A34" s="262"/>
      <c r="B34" s="135"/>
      <c r="C34" s="136"/>
      <c r="D34" s="137"/>
      <c r="E34" s="138"/>
      <c r="F34" s="139"/>
      <c r="G34" s="170">
        <v>43458</v>
      </c>
      <c r="H34" s="251">
        <v>18472</v>
      </c>
      <c r="I34" s="252"/>
      <c r="J34" s="135"/>
      <c r="K34" s="135"/>
      <c r="L34" s="141"/>
      <c r="M34" s="135"/>
      <c r="N34" s="142"/>
      <c r="O34" s="142"/>
      <c r="P34" s="142"/>
      <c r="Q34" s="213"/>
      <c r="R34" s="144"/>
      <c r="S34" s="145"/>
      <c r="T34" s="146"/>
      <c r="U34" s="147"/>
      <c r="V34" s="148"/>
      <c r="W34" s="149"/>
      <c r="X34" s="149"/>
      <c r="Y34" s="150"/>
      <c r="Z34" s="151"/>
      <c r="AA34" s="154"/>
      <c r="AB34" s="155"/>
      <c r="AC34" s="255"/>
      <c r="AD34" s="255"/>
      <c r="AE34" s="256"/>
      <c r="AF34" s="152"/>
      <c r="AG34" s="152"/>
      <c r="AH34" s="152"/>
      <c r="AI34" s="134"/>
      <c r="AJ34" s="158"/>
      <c r="AK34" s="154"/>
      <c r="AL34" s="160"/>
      <c r="AM34" s="160"/>
      <c r="AN34" s="161"/>
      <c r="AO34" s="162"/>
      <c r="AP34" s="158"/>
      <c r="AQ34" s="154"/>
      <c r="AR34" s="161"/>
      <c r="AS34" s="161"/>
      <c r="AT34" s="161"/>
      <c r="AU34" s="177"/>
      <c r="AV34" s="158"/>
      <c r="AW34" s="163"/>
      <c r="AX34" s="158"/>
      <c r="AY34" s="158"/>
      <c r="AZ34" s="158"/>
      <c r="BA34" s="163"/>
      <c r="BB34" s="158"/>
      <c r="BC34" s="163"/>
      <c r="BD34" s="158"/>
      <c r="BE34" s="158"/>
      <c r="BF34" s="158"/>
      <c r="BG34" s="163"/>
      <c r="BH34" s="158"/>
      <c r="BI34" s="163"/>
      <c r="BJ34" s="158"/>
      <c r="BK34" s="158"/>
      <c r="BL34" s="158"/>
      <c r="BM34" s="158"/>
      <c r="BN34" s="158"/>
      <c r="BO34" s="163"/>
      <c r="BP34" s="158"/>
      <c r="BQ34" s="158"/>
      <c r="BR34" s="158"/>
      <c r="BS34" s="158"/>
      <c r="BT34" s="158"/>
      <c r="BU34" s="163"/>
      <c r="BV34" s="158"/>
      <c r="BW34" s="158"/>
      <c r="BX34" s="158"/>
      <c r="BY34" s="158"/>
      <c r="BZ34" s="158"/>
      <c r="CA34" s="163"/>
      <c r="CB34" s="158"/>
      <c r="CC34" s="158"/>
      <c r="CD34" s="158"/>
      <c r="CE34" s="158"/>
    </row>
    <row r="35" spans="1:84" x14ac:dyDescent="0.5">
      <c r="A35" s="268"/>
      <c r="B35" s="181"/>
      <c r="C35" s="182"/>
      <c r="D35" s="183"/>
      <c r="E35" s="184"/>
      <c r="F35" s="185"/>
      <c r="G35" s="186">
        <v>43458</v>
      </c>
      <c r="H35" s="187">
        <v>18473</v>
      </c>
      <c r="I35" s="257"/>
      <c r="J35" s="181"/>
      <c r="K35" s="181"/>
      <c r="L35" s="188"/>
      <c r="M35" s="181"/>
      <c r="N35" s="189"/>
      <c r="O35" s="189"/>
      <c r="P35" s="189"/>
      <c r="Q35" s="214"/>
      <c r="R35" s="215"/>
      <c r="S35" s="216"/>
      <c r="T35" s="217"/>
      <c r="U35" s="218"/>
      <c r="V35" s="195"/>
      <c r="W35" s="196"/>
      <c r="X35" s="196"/>
      <c r="Y35" s="197"/>
      <c r="Z35" s="198"/>
      <c r="AA35" s="200"/>
      <c r="AB35" s="201"/>
      <c r="AC35" s="240"/>
      <c r="AD35" s="240"/>
      <c r="AE35" s="241"/>
      <c r="AF35" s="199"/>
      <c r="AG35" s="199"/>
      <c r="AH35" s="199"/>
      <c r="AI35" s="180"/>
      <c r="AJ35" s="204"/>
      <c r="AK35" s="205"/>
      <c r="AL35" s="206"/>
      <c r="AM35" s="206"/>
      <c r="AN35" s="207"/>
      <c r="AO35" s="208"/>
      <c r="AP35" s="204"/>
      <c r="AQ35" s="200"/>
      <c r="AR35" s="207"/>
      <c r="AS35" s="207"/>
      <c r="AT35" s="207"/>
      <c r="AU35" s="209"/>
      <c r="AV35" s="204"/>
      <c r="AW35" s="210"/>
      <c r="AX35" s="204"/>
      <c r="AY35" s="204"/>
      <c r="AZ35" s="204"/>
      <c r="BA35" s="210"/>
      <c r="BB35" s="204"/>
      <c r="BC35" s="210"/>
      <c r="BD35" s="204"/>
      <c r="BE35" s="204"/>
      <c r="BF35" s="204"/>
      <c r="BG35" s="210"/>
      <c r="BH35" s="204"/>
      <c r="BI35" s="210"/>
      <c r="BJ35" s="204"/>
      <c r="BK35" s="204"/>
      <c r="BL35" s="204"/>
      <c r="BM35" s="204"/>
      <c r="BN35" s="204"/>
      <c r="BO35" s="210"/>
      <c r="BP35" s="204"/>
      <c r="BQ35" s="204"/>
      <c r="BR35" s="204"/>
      <c r="BS35" s="204"/>
      <c r="BT35" s="204"/>
      <c r="BU35" s="210"/>
      <c r="BV35" s="204"/>
      <c r="BW35" s="204"/>
      <c r="BX35" s="204"/>
      <c r="BY35" s="204"/>
      <c r="BZ35" s="204"/>
      <c r="CA35" s="210"/>
      <c r="CB35" s="204"/>
      <c r="CC35" s="204"/>
      <c r="CD35" s="204"/>
      <c r="CE35" s="204"/>
    </row>
    <row r="36" spans="1:84" x14ac:dyDescent="0.5">
      <c r="A36" s="227">
        <v>18116061</v>
      </c>
      <c r="B36" s="22">
        <v>18111069</v>
      </c>
      <c r="C36" s="55"/>
      <c r="D36" s="56"/>
      <c r="E36" s="57"/>
      <c r="F36" s="58"/>
      <c r="G36" s="59"/>
      <c r="H36" s="60"/>
      <c r="I36" s="269"/>
      <c r="J36" s="59"/>
      <c r="K36" s="22" t="s">
        <v>214</v>
      </c>
      <c r="L36" s="28" t="s">
        <v>1238</v>
      </c>
      <c r="M36" s="22" t="s">
        <v>51</v>
      </c>
      <c r="N36" s="29">
        <v>86000</v>
      </c>
      <c r="O36" s="29">
        <f t="shared" si="8"/>
        <v>6020</v>
      </c>
      <c r="P36" s="29">
        <f t="shared" si="9"/>
        <v>92020</v>
      </c>
      <c r="Q36" s="61"/>
      <c r="R36" s="96"/>
      <c r="S36" s="97"/>
      <c r="T36" s="98"/>
      <c r="U36" s="99"/>
      <c r="V36" s="100"/>
      <c r="W36" s="99"/>
      <c r="X36" s="99"/>
      <c r="Y36" s="100"/>
      <c r="Z36" s="101"/>
      <c r="AA36" s="40">
        <v>18120506</v>
      </c>
      <c r="AB36" s="41">
        <v>86000</v>
      </c>
      <c r="AC36" s="52">
        <f>AB36*7/100</f>
        <v>6020</v>
      </c>
      <c r="AD36" s="52">
        <f>AB36+AC36</f>
        <v>92020</v>
      </c>
      <c r="AE36" s="53">
        <v>43478</v>
      </c>
      <c r="AF36" s="39" t="s">
        <v>869</v>
      </c>
      <c r="AI36" s="21" t="s">
        <v>1805</v>
      </c>
      <c r="AJ36" s="44">
        <v>1</v>
      </c>
      <c r="AK36" s="45" t="s">
        <v>1239</v>
      </c>
      <c r="AN36" s="47">
        <v>1</v>
      </c>
      <c r="AO36" s="48" t="s">
        <v>628</v>
      </c>
      <c r="AQ36" s="54"/>
      <c r="AR36" s="44"/>
      <c r="AS36" s="44"/>
      <c r="AT36" s="44"/>
      <c r="AU36" s="54"/>
      <c r="AW36" s="54"/>
      <c r="AX36" s="44"/>
      <c r="AY36" s="44"/>
      <c r="AZ36" s="44"/>
      <c r="BA36" s="54"/>
      <c r="BC36" s="54"/>
      <c r="BD36" s="44"/>
      <c r="BE36" s="44"/>
      <c r="BF36" s="44"/>
      <c r="BG36" s="54"/>
      <c r="BI36" s="54"/>
      <c r="BJ36" s="44"/>
      <c r="BK36" s="44"/>
      <c r="BL36" s="44"/>
      <c r="BM36" s="44"/>
      <c r="BO36" s="54"/>
      <c r="BP36" s="44"/>
      <c r="BQ36" s="44"/>
      <c r="BR36" s="44"/>
      <c r="BS36" s="44"/>
      <c r="BU36" s="54"/>
      <c r="BV36" s="44"/>
      <c r="BW36" s="44"/>
      <c r="BX36" s="44"/>
      <c r="BY36" s="44"/>
      <c r="CA36" s="54"/>
      <c r="CB36" s="44"/>
      <c r="CC36" s="44"/>
      <c r="CD36" s="44"/>
      <c r="CE36" s="44"/>
    </row>
    <row r="37" spans="1:84" x14ac:dyDescent="0.5">
      <c r="A37" s="227">
        <v>18116060</v>
      </c>
      <c r="B37" s="22">
        <v>18111068</v>
      </c>
      <c r="C37" s="55"/>
      <c r="D37" s="56"/>
      <c r="E37" s="57"/>
      <c r="F37" s="58"/>
      <c r="G37" s="59"/>
      <c r="H37" s="60"/>
      <c r="I37" s="269"/>
      <c r="J37" s="59"/>
      <c r="K37" s="22" t="s">
        <v>1240</v>
      </c>
      <c r="L37" s="28" t="s">
        <v>172</v>
      </c>
      <c r="M37" s="22" t="s">
        <v>51</v>
      </c>
      <c r="N37" s="29">
        <v>20250</v>
      </c>
      <c r="O37" s="29">
        <f t="shared" si="8"/>
        <v>1417.5</v>
      </c>
      <c r="P37" s="29">
        <f t="shared" si="9"/>
        <v>21667.5</v>
      </c>
      <c r="Q37" s="61"/>
      <c r="R37" s="96"/>
      <c r="S37" s="97"/>
      <c r="T37" s="98"/>
      <c r="U37" s="99"/>
      <c r="V37" s="100"/>
      <c r="W37" s="99"/>
      <c r="X37" s="99"/>
      <c r="Y37" s="100"/>
      <c r="Z37" s="101"/>
      <c r="AA37" s="40">
        <v>18120525</v>
      </c>
      <c r="AB37" s="41">
        <v>20250</v>
      </c>
      <c r="AC37" s="52">
        <f>AB37*7/100</f>
        <v>1417.5</v>
      </c>
      <c r="AD37" s="52">
        <f>AB37+AC37</f>
        <v>21667.5</v>
      </c>
      <c r="AE37" s="53">
        <v>43487</v>
      </c>
      <c r="AF37" s="39" t="s">
        <v>869</v>
      </c>
      <c r="AI37" s="21" t="s">
        <v>1807</v>
      </c>
      <c r="AJ37" s="44">
        <v>1</v>
      </c>
      <c r="AK37" s="45" t="s">
        <v>1241</v>
      </c>
      <c r="AN37" s="47">
        <v>1</v>
      </c>
      <c r="AO37" s="48" t="s">
        <v>628</v>
      </c>
      <c r="AQ37" s="54"/>
      <c r="AR37" s="44"/>
      <c r="AS37" s="44"/>
      <c r="AT37" s="44"/>
      <c r="AU37" s="54"/>
      <c r="AW37" s="54"/>
      <c r="AX37" s="44"/>
      <c r="AY37" s="44"/>
      <c r="AZ37" s="44"/>
      <c r="BA37" s="54"/>
      <c r="BC37" s="54"/>
      <c r="BD37" s="44"/>
      <c r="BE37" s="44"/>
      <c r="BF37" s="44"/>
      <c r="BG37" s="54"/>
      <c r="BI37" s="54"/>
      <c r="BJ37" s="44"/>
      <c r="BK37" s="44"/>
      <c r="BL37" s="44"/>
      <c r="BM37" s="44"/>
      <c r="BO37" s="54"/>
      <c r="BP37" s="44"/>
      <c r="BQ37" s="44"/>
      <c r="BR37" s="44"/>
      <c r="BS37" s="44"/>
      <c r="BU37" s="54"/>
      <c r="BV37" s="44"/>
      <c r="BW37" s="44"/>
      <c r="BX37" s="44"/>
      <c r="BY37" s="44"/>
      <c r="CA37" s="54"/>
      <c r="CB37" s="44"/>
      <c r="CC37" s="44"/>
      <c r="CD37" s="44"/>
      <c r="CE37" s="44"/>
    </row>
    <row r="38" spans="1:84" x14ac:dyDescent="0.5">
      <c r="A38" s="227">
        <v>18116059</v>
      </c>
      <c r="B38" s="22">
        <v>18111067</v>
      </c>
      <c r="C38" s="55"/>
      <c r="D38" s="56"/>
      <c r="E38" s="57"/>
      <c r="F38" s="58"/>
      <c r="G38" s="59"/>
      <c r="H38" s="60"/>
      <c r="I38" s="269"/>
      <c r="J38" s="59"/>
      <c r="K38" s="22" t="s">
        <v>74</v>
      </c>
      <c r="L38" s="28" t="s">
        <v>1242</v>
      </c>
      <c r="M38" s="22" t="s">
        <v>51</v>
      </c>
      <c r="N38" s="29">
        <v>28500</v>
      </c>
      <c r="O38" s="29">
        <f t="shared" si="8"/>
        <v>1995</v>
      </c>
      <c r="P38" s="29">
        <f t="shared" si="9"/>
        <v>30495</v>
      </c>
      <c r="Q38" s="61"/>
      <c r="R38" s="96"/>
      <c r="S38" s="97"/>
      <c r="T38" s="98"/>
      <c r="U38" s="99"/>
      <c r="V38" s="100"/>
      <c r="W38" s="99"/>
      <c r="X38" s="99"/>
      <c r="Y38" s="100"/>
      <c r="Z38" s="101"/>
      <c r="AA38" s="40">
        <v>18120496</v>
      </c>
      <c r="AB38" s="41">
        <v>28500</v>
      </c>
      <c r="AC38" s="63">
        <f>AB38*7/100</f>
        <v>1995</v>
      </c>
      <c r="AD38" s="64">
        <f>AB38+AC38</f>
        <v>30495</v>
      </c>
      <c r="AE38" s="53">
        <v>43476</v>
      </c>
      <c r="AF38" s="39" t="s">
        <v>869</v>
      </c>
      <c r="AI38" s="21" t="s">
        <v>1765</v>
      </c>
      <c r="AJ38" s="44">
        <v>1</v>
      </c>
      <c r="AK38" s="45" t="s">
        <v>1243</v>
      </c>
      <c r="AN38" s="47">
        <v>1</v>
      </c>
      <c r="AO38" s="48" t="s">
        <v>628</v>
      </c>
      <c r="AQ38" s="54"/>
      <c r="AR38" s="44"/>
      <c r="AS38" s="44"/>
      <c r="AT38" s="44"/>
      <c r="AU38" s="54"/>
      <c r="AW38" s="54"/>
      <c r="AX38" s="44"/>
      <c r="AY38" s="44"/>
      <c r="AZ38" s="44"/>
      <c r="BA38" s="54"/>
      <c r="BC38" s="54"/>
      <c r="BD38" s="44"/>
      <c r="BE38" s="44"/>
      <c r="BF38" s="44"/>
      <c r="BG38" s="54"/>
      <c r="BI38" s="54"/>
      <c r="BJ38" s="44"/>
      <c r="BK38" s="44"/>
      <c r="BL38" s="44"/>
      <c r="BM38" s="44"/>
      <c r="BO38" s="54"/>
      <c r="BP38" s="44"/>
      <c r="BQ38" s="44"/>
      <c r="BR38" s="44"/>
      <c r="BS38" s="44"/>
      <c r="BU38" s="54"/>
      <c r="BV38" s="44"/>
      <c r="BW38" s="44"/>
      <c r="BX38" s="44"/>
      <c r="BY38" s="44"/>
      <c r="CA38" s="54"/>
      <c r="CB38" s="44"/>
      <c r="CC38" s="44"/>
      <c r="CD38" s="44"/>
      <c r="CE38" s="44"/>
    </row>
    <row r="39" spans="1:84" x14ac:dyDescent="0.5">
      <c r="A39" s="227">
        <v>18116058</v>
      </c>
      <c r="B39" s="22">
        <v>18111063</v>
      </c>
      <c r="C39" s="23">
        <v>259</v>
      </c>
      <c r="D39" s="24" t="s">
        <v>184</v>
      </c>
      <c r="E39" s="25" t="s">
        <v>185</v>
      </c>
      <c r="F39" s="26">
        <v>269</v>
      </c>
      <c r="G39" s="62">
        <v>43431</v>
      </c>
      <c r="H39" s="27">
        <v>18433</v>
      </c>
      <c r="I39" s="39" t="s">
        <v>869</v>
      </c>
      <c r="J39" s="62">
        <v>43432</v>
      </c>
      <c r="K39" s="22" t="s">
        <v>19</v>
      </c>
      <c r="L39" s="28" t="s">
        <v>1233</v>
      </c>
      <c r="M39" s="22" t="s">
        <v>51</v>
      </c>
      <c r="N39" s="29">
        <v>20000</v>
      </c>
      <c r="O39" s="29">
        <f t="shared" si="8"/>
        <v>1400</v>
      </c>
      <c r="P39" s="29">
        <f t="shared" si="9"/>
        <v>21400</v>
      </c>
      <c r="Q39" s="61"/>
      <c r="R39" s="96"/>
      <c r="S39" s="97"/>
      <c r="T39" s="98"/>
      <c r="U39" s="99"/>
      <c r="V39" s="100"/>
      <c r="W39" s="99"/>
      <c r="X39" s="99"/>
      <c r="Y39" s="100"/>
      <c r="Z39" s="101"/>
      <c r="AA39" s="40">
        <v>18110475</v>
      </c>
      <c r="AB39" s="41">
        <v>20000</v>
      </c>
      <c r="AC39" s="52">
        <f>AB39*7/100</f>
        <v>1400</v>
      </c>
      <c r="AD39" s="52">
        <f>AB39+AC39</f>
        <v>21400</v>
      </c>
      <c r="AE39" s="53">
        <v>43438</v>
      </c>
      <c r="AF39" s="39" t="s">
        <v>869</v>
      </c>
      <c r="AI39" s="21" t="s">
        <v>1467</v>
      </c>
      <c r="AJ39" s="44">
        <v>1</v>
      </c>
      <c r="AK39" s="45" t="s">
        <v>644</v>
      </c>
      <c r="AM39" s="46" t="s">
        <v>869</v>
      </c>
      <c r="AN39" s="47">
        <v>1</v>
      </c>
      <c r="AO39" s="48" t="s">
        <v>633</v>
      </c>
      <c r="AQ39" s="54"/>
      <c r="AR39" s="44"/>
      <c r="AS39" s="44"/>
      <c r="AT39" s="44"/>
      <c r="AU39" s="54"/>
      <c r="AW39" s="54"/>
      <c r="AX39" s="44"/>
      <c r="AY39" s="44"/>
      <c r="AZ39" s="44"/>
      <c r="BA39" s="54"/>
      <c r="BC39" s="54"/>
      <c r="BD39" s="44"/>
      <c r="BE39" s="44"/>
      <c r="BF39" s="44"/>
      <c r="BG39" s="54"/>
      <c r="BI39" s="54"/>
      <c r="BJ39" s="44"/>
      <c r="BK39" s="44"/>
      <c r="BL39" s="44"/>
      <c r="BM39" s="44"/>
      <c r="BO39" s="54"/>
      <c r="BP39" s="44"/>
      <c r="BQ39" s="44"/>
      <c r="BR39" s="44"/>
      <c r="BS39" s="44"/>
      <c r="BU39" s="54"/>
      <c r="BV39" s="44"/>
      <c r="BW39" s="44"/>
      <c r="BX39" s="44"/>
      <c r="BY39" s="44"/>
      <c r="CA39" s="54"/>
      <c r="CB39" s="44"/>
      <c r="CC39" s="44"/>
      <c r="CD39" s="44"/>
      <c r="CE39" s="44"/>
    </row>
    <row r="40" spans="1:84" x14ac:dyDescent="0.5">
      <c r="A40" s="227">
        <v>18116057</v>
      </c>
      <c r="B40" s="22">
        <v>18100922</v>
      </c>
      <c r="C40" s="23">
        <v>258</v>
      </c>
      <c r="D40" s="24" t="s">
        <v>184</v>
      </c>
      <c r="E40" s="25" t="s">
        <v>185</v>
      </c>
      <c r="F40" s="26">
        <v>267</v>
      </c>
      <c r="G40" s="62">
        <v>43430</v>
      </c>
      <c r="H40" s="27">
        <v>18431</v>
      </c>
      <c r="I40" s="39" t="s">
        <v>869</v>
      </c>
      <c r="J40" s="62">
        <v>43430</v>
      </c>
      <c r="K40" s="22" t="s">
        <v>1234</v>
      </c>
      <c r="L40" s="28" t="s">
        <v>1235</v>
      </c>
      <c r="M40" s="22" t="s">
        <v>50</v>
      </c>
      <c r="N40" s="29">
        <v>70000</v>
      </c>
      <c r="O40" s="29">
        <f t="shared" si="8"/>
        <v>4900</v>
      </c>
      <c r="P40" s="29">
        <f t="shared" si="9"/>
        <v>74900</v>
      </c>
      <c r="Q40" s="61"/>
      <c r="R40" s="96"/>
      <c r="S40" s="97"/>
      <c r="T40" s="98"/>
      <c r="U40" s="99"/>
      <c r="V40" s="35">
        <f>N40</f>
        <v>70000</v>
      </c>
      <c r="W40" s="36">
        <v>0.35</v>
      </c>
      <c r="X40" s="36">
        <f>V40*W40/100</f>
        <v>245</v>
      </c>
      <c r="Y40" s="37">
        <v>0.2</v>
      </c>
      <c r="Z40" s="38">
        <f>V40*Y40/100</f>
        <v>140</v>
      </c>
      <c r="AA40" s="40">
        <v>18120510</v>
      </c>
      <c r="AB40" s="41">
        <v>70000</v>
      </c>
      <c r="AC40" s="52">
        <f>AB40*7/100</f>
        <v>4900</v>
      </c>
      <c r="AD40" s="52">
        <f>AB40+AC40</f>
        <v>74900</v>
      </c>
      <c r="AE40" s="53">
        <v>43451</v>
      </c>
      <c r="AF40" s="39" t="s">
        <v>869</v>
      </c>
      <c r="AI40" s="21" t="s">
        <v>1244</v>
      </c>
      <c r="AJ40" s="44">
        <v>1</v>
      </c>
      <c r="AK40" s="45" t="s">
        <v>652</v>
      </c>
      <c r="AM40" s="46" t="s">
        <v>869</v>
      </c>
      <c r="AN40" s="47">
        <v>2</v>
      </c>
      <c r="AO40" s="48" t="s">
        <v>634</v>
      </c>
      <c r="AQ40" s="54"/>
      <c r="AR40" s="44"/>
      <c r="AS40" s="44"/>
      <c r="AT40" s="44"/>
      <c r="AU40" s="54"/>
      <c r="AW40" s="54"/>
      <c r="AX40" s="44"/>
      <c r="AY40" s="44"/>
      <c r="AZ40" s="44"/>
      <c r="BA40" s="54"/>
      <c r="BC40" s="54"/>
      <c r="BD40" s="44"/>
      <c r="BE40" s="44"/>
      <c r="BF40" s="44"/>
      <c r="BG40" s="54"/>
      <c r="BI40" s="54"/>
      <c r="BJ40" s="44"/>
      <c r="BK40" s="44"/>
      <c r="BL40" s="44"/>
      <c r="BM40" s="44"/>
      <c r="BO40" s="54"/>
      <c r="BP40" s="44"/>
      <c r="BQ40" s="44"/>
      <c r="BR40" s="44"/>
      <c r="BS40" s="44"/>
      <c r="BU40" s="54"/>
      <c r="BV40" s="44"/>
      <c r="BW40" s="44"/>
      <c r="BX40" s="44"/>
      <c r="BY40" s="44"/>
      <c r="CA40" s="54"/>
      <c r="CB40" s="44"/>
      <c r="CC40" s="44"/>
      <c r="CD40" s="44"/>
      <c r="CE40" s="44"/>
    </row>
    <row r="41" spans="1:84" x14ac:dyDescent="0.5">
      <c r="A41" s="227" t="s">
        <v>1478</v>
      </c>
      <c r="B41" s="22">
        <v>18111061</v>
      </c>
      <c r="C41" s="23">
        <v>257</v>
      </c>
      <c r="D41" s="24" t="s">
        <v>184</v>
      </c>
      <c r="E41" s="25" t="s">
        <v>185</v>
      </c>
      <c r="F41" s="26">
        <v>273</v>
      </c>
      <c r="G41" s="62">
        <v>43446</v>
      </c>
      <c r="H41" s="27">
        <v>18451</v>
      </c>
      <c r="I41" s="39" t="s">
        <v>869</v>
      </c>
      <c r="J41" s="62">
        <v>43446</v>
      </c>
      <c r="K41" s="22" t="s">
        <v>1221</v>
      </c>
      <c r="L41" s="28" t="s">
        <v>1222</v>
      </c>
      <c r="M41" s="22" t="s">
        <v>51</v>
      </c>
      <c r="N41" s="29">
        <v>380000</v>
      </c>
      <c r="O41" s="29" t="s">
        <v>402</v>
      </c>
      <c r="P41" s="29">
        <f>SUM(N41:O41)</f>
        <v>380000</v>
      </c>
      <c r="Q41" s="61"/>
      <c r="R41" s="96"/>
      <c r="S41" s="97"/>
      <c r="T41" s="98"/>
      <c r="U41" s="99"/>
      <c r="V41" s="100"/>
      <c r="W41" s="99"/>
      <c r="X41" s="99"/>
      <c r="Y41" s="100"/>
      <c r="Z41" s="101"/>
      <c r="AA41" s="40">
        <v>181101</v>
      </c>
      <c r="AB41" s="41">
        <v>380000</v>
      </c>
      <c r="AC41" s="42" t="s">
        <v>402</v>
      </c>
      <c r="AD41" s="64">
        <f>AB41</f>
        <v>380000</v>
      </c>
      <c r="AI41" s="21" t="s">
        <v>1285</v>
      </c>
      <c r="AJ41" s="44">
        <v>1</v>
      </c>
      <c r="AK41" s="45" t="s">
        <v>782</v>
      </c>
      <c r="AM41" s="46" t="s">
        <v>869</v>
      </c>
      <c r="AN41" s="47">
        <v>2</v>
      </c>
      <c r="AO41" s="48" t="s">
        <v>635</v>
      </c>
      <c r="AQ41" s="54"/>
      <c r="AR41" s="44"/>
      <c r="AS41" s="44"/>
      <c r="AT41" s="44"/>
      <c r="AU41" s="54"/>
      <c r="AW41" s="54"/>
      <c r="AX41" s="44"/>
      <c r="AY41" s="44"/>
      <c r="AZ41" s="44"/>
      <c r="BA41" s="54"/>
      <c r="BC41" s="54"/>
      <c r="BD41" s="44"/>
      <c r="BE41" s="44"/>
      <c r="BF41" s="44"/>
      <c r="BG41" s="54"/>
      <c r="BI41" s="54"/>
      <c r="BJ41" s="44"/>
      <c r="BK41" s="44"/>
      <c r="BL41" s="44"/>
      <c r="BM41" s="44"/>
      <c r="BO41" s="54"/>
      <c r="BP41" s="44"/>
      <c r="BQ41" s="44"/>
      <c r="BR41" s="44"/>
      <c r="BS41" s="44"/>
      <c r="BU41" s="54"/>
      <c r="BV41" s="44"/>
      <c r="BW41" s="44"/>
      <c r="BX41" s="44"/>
      <c r="BY41" s="44"/>
      <c r="CA41" s="54"/>
      <c r="CB41" s="44"/>
      <c r="CC41" s="44"/>
      <c r="CD41" s="44"/>
      <c r="CE41" s="44"/>
    </row>
    <row r="42" spans="1:84" x14ac:dyDescent="0.5">
      <c r="A42" s="227">
        <v>18116056</v>
      </c>
      <c r="B42" s="22">
        <v>18111058</v>
      </c>
      <c r="C42" s="23">
        <v>256</v>
      </c>
      <c r="D42" s="24" t="s">
        <v>184</v>
      </c>
      <c r="E42" s="25" t="s">
        <v>185</v>
      </c>
      <c r="F42" s="26">
        <v>277</v>
      </c>
      <c r="G42" s="62">
        <v>43445</v>
      </c>
      <c r="H42" s="27">
        <v>18449</v>
      </c>
      <c r="I42" s="39" t="s">
        <v>869</v>
      </c>
      <c r="J42" s="62">
        <v>43445</v>
      </c>
      <c r="K42" s="22" t="s">
        <v>15</v>
      </c>
      <c r="L42" s="28" t="s">
        <v>1218</v>
      </c>
      <c r="M42" s="22" t="s">
        <v>51</v>
      </c>
      <c r="N42" s="29">
        <v>78392</v>
      </c>
      <c r="O42" s="29">
        <f t="shared" ref="O42:O61" si="10">N42*7/100</f>
        <v>5487.44</v>
      </c>
      <c r="P42" s="29">
        <f t="shared" ref="P42:P61" si="11">N42+O42</f>
        <v>83879.44</v>
      </c>
      <c r="Q42" s="61"/>
      <c r="R42" s="96"/>
      <c r="S42" s="97"/>
      <c r="T42" s="98"/>
      <c r="U42" s="99"/>
      <c r="V42" s="100"/>
      <c r="W42" s="99"/>
      <c r="X42" s="99"/>
      <c r="Y42" s="100"/>
      <c r="Z42" s="101"/>
      <c r="AA42" s="40">
        <v>18120497</v>
      </c>
      <c r="AB42" s="41">
        <v>78392</v>
      </c>
      <c r="AC42" s="52">
        <f>AB42*7/100</f>
        <v>5487.44</v>
      </c>
      <c r="AD42" s="52">
        <f>AB42+AC42</f>
        <v>83879.44</v>
      </c>
      <c r="AE42" s="53">
        <v>43491</v>
      </c>
      <c r="AF42" s="39" t="s">
        <v>869</v>
      </c>
      <c r="AI42" s="21" t="s">
        <v>1300</v>
      </c>
      <c r="AJ42" s="44">
        <v>1</v>
      </c>
      <c r="AK42" s="45" t="s">
        <v>1219</v>
      </c>
      <c r="AM42" s="46" t="s">
        <v>869</v>
      </c>
      <c r="AN42" s="47">
        <v>1</v>
      </c>
      <c r="AO42" s="48" t="s">
        <v>633</v>
      </c>
      <c r="AP42" s="44">
        <v>2</v>
      </c>
      <c r="AQ42" s="40" t="s">
        <v>1220</v>
      </c>
      <c r="AS42" s="47" t="s">
        <v>869</v>
      </c>
      <c r="AT42" s="47">
        <v>1</v>
      </c>
      <c r="AU42" s="49" t="s">
        <v>633</v>
      </c>
      <c r="AW42" s="54"/>
      <c r="AX42" s="44"/>
      <c r="AY42" s="44"/>
      <c r="AZ42" s="44"/>
      <c r="BA42" s="54"/>
      <c r="BC42" s="54"/>
      <c r="BD42" s="44"/>
      <c r="BE42" s="44"/>
      <c r="BF42" s="44"/>
      <c r="BG42" s="54"/>
      <c r="BI42" s="54"/>
      <c r="BJ42" s="44"/>
      <c r="BK42" s="44"/>
      <c r="BL42" s="44"/>
      <c r="BM42" s="44"/>
      <c r="BO42" s="54"/>
      <c r="BP42" s="44"/>
      <c r="BQ42" s="44"/>
      <c r="BR42" s="44"/>
      <c r="BS42" s="44"/>
      <c r="BU42" s="54"/>
      <c r="BV42" s="44"/>
      <c r="BW42" s="44"/>
      <c r="BX42" s="44"/>
      <c r="BY42" s="44"/>
      <c r="CA42" s="54"/>
      <c r="CB42" s="44"/>
      <c r="CC42" s="44"/>
      <c r="CD42" s="44"/>
      <c r="CE42" s="44"/>
    </row>
    <row r="43" spans="1:84" x14ac:dyDescent="0.5">
      <c r="A43" s="259">
        <v>18116055</v>
      </c>
      <c r="B43" s="104">
        <v>18080739</v>
      </c>
      <c r="C43" s="105">
        <v>255</v>
      </c>
      <c r="D43" s="106" t="s">
        <v>184</v>
      </c>
      <c r="E43" s="107" t="s">
        <v>185</v>
      </c>
      <c r="F43" s="108">
        <v>288</v>
      </c>
      <c r="G43" s="211">
        <v>43458</v>
      </c>
      <c r="H43" s="164">
        <v>18469</v>
      </c>
      <c r="I43" s="248" t="s">
        <v>869</v>
      </c>
      <c r="J43" s="302">
        <v>43459</v>
      </c>
      <c r="K43" s="104" t="s">
        <v>1223</v>
      </c>
      <c r="L43" s="110" t="s">
        <v>1224</v>
      </c>
      <c r="M43" s="104" t="s">
        <v>52</v>
      </c>
      <c r="N43" s="111">
        <v>160000</v>
      </c>
      <c r="O43" s="111">
        <f t="shared" si="10"/>
        <v>11200</v>
      </c>
      <c r="P43" s="111">
        <f t="shared" si="11"/>
        <v>171200</v>
      </c>
      <c r="Q43" s="166"/>
      <c r="R43" s="301" t="s">
        <v>1236</v>
      </c>
      <c r="S43" s="114">
        <f>N43</f>
        <v>160000</v>
      </c>
      <c r="T43" s="115">
        <v>5</v>
      </c>
      <c r="U43" s="116">
        <f>S43*T43/100</f>
        <v>8000</v>
      </c>
      <c r="V43" s="117">
        <f>S43-U43</f>
        <v>152000</v>
      </c>
      <c r="W43" s="118">
        <v>0.23</v>
      </c>
      <c r="X43" s="118">
        <f>V43*W43/100</f>
        <v>349.6</v>
      </c>
      <c r="Y43" s="119">
        <v>0.2</v>
      </c>
      <c r="Z43" s="120">
        <f>V43*Y43/100</f>
        <v>304</v>
      </c>
      <c r="AA43" s="123">
        <v>18110481</v>
      </c>
      <c r="AB43" s="124">
        <v>160000</v>
      </c>
      <c r="AC43" s="125">
        <f>AB43*7/100</f>
        <v>11200</v>
      </c>
      <c r="AD43" s="125">
        <f>AB43+AC43</f>
        <v>171200</v>
      </c>
      <c r="AE43" s="126">
        <v>43432</v>
      </c>
      <c r="AF43" s="127" t="s">
        <v>869</v>
      </c>
      <c r="AG43" s="127"/>
      <c r="AH43" s="127"/>
      <c r="AI43" s="103" t="s">
        <v>1464</v>
      </c>
      <c r="AJ43" s="128">
        <v>1</v>
      </c>
      <c r="AK43" s="129" t="s">
        <v>648</v>
      </c>
      <c r="AL43" s="130"/>
      <c r="AM43" s="130" t="s">
        <v>869</v>
      </c>
      <c r="AN43" s="131">
        <v>2</v>
      </c>
      <c r="AO43" s="132" t="s">
        <v>634</v>
      </c>
      <c r="AP43" s="128">
        <v>2</v>
      </c>
      <c r="AQ43" s="123" t="s">
        <v>1225</v>
      </c>
      <c r="AR43" s="131"/>
      <c r="AS43" s="131" t="s">
        <v>869</v>
      </c>
      <c r="AT43" s="131">
        <v>1</v>
      </c>
      <c r="AU43" s="169" t="s">
        <v>634</v>
      </c>
      <c r="AV43" s="128">
        <v>3</v>
      </c>
      <c r="AW43" s="123" t="s">
        <v>1226</v>
      </c>
      <c r="AX43" s="131"/>
      <c r="AY43" s="131" t="s">
        <v>869</v>
      </c>
      <c r="AZ43" s="131">
        <v>1</v>
      </c>
      <c r="BA43" s="169" t="s">
        <v>634</v>
      </c>
      <c r="BB43" s="128"/>
      <c r="BC43" s="133"/>
      <c r="BD43" s="128"/>
      <c r="BE43" s="128"/>
      <c r="BF43" s="128"/>
      <c r="BG43" s="133"/>
      <c r="BH43" s="128"/>
      <c r="BI43" s="133"/>
      <c r="BJ43" s="128"/>
      <c r="BK43" s="128"/>
      <c r="BL43" s="128"/>
      <c r="BM43" s="128"/>
      <c r="BN43" s="128"/>
      <c r="BO43" s="133"/>
      <c r="BP43" s="128"/>
      <c r="BQ43" s="128"/>
      <c r="BR43" s="128"/>
      <c r="BS43" s="128"/>
      <c r="BT43" s="128"/>
      <c r="BU43" s="133"/>
      <c r="BV43" s="128"/>
      <c r="BW43" s="128"/>
      <c r="BX43" s="128"/>
      <c r="BY43" s="128"/>
      <c r="BZ43" s="128"/>
      <c r="CA43" s="133"/>
      <c r="CB43" s="128"/>
      <c r="CC43" s="128"/>
      <c r="CD43" s="128"/>
      <c r="CE43" s="128"/>
      <c r="CF43" s="51" t="s">
        <v>1460</v>
      </c>
    </row>
    <row r="44" spans="1:84" x14ac:dyDescent="0.5">
      <c r="A44" s="268"/>
      <c r="B44" s="181"/>
      <c r="C44" s="182"/>
      <c r="D44" s="183"/>
      <c r="E44" s="184"/>
      <c r="F44" s="185"/>
      <c r="G44" s="186">
        <v>43458</v>
      </c>
      <c r="H44" s="271">
        <v>18470</v>
      </c>
      <c r="I44" s="257"/>
      <c r="J44" s="304"/>
      <c r="K44" s="181"/>
      <c r="L44" s="188"/>
      <c r="M44" s="181"/>
      <c r="N44" s="189"/>
      <c r="O44" s="189"/>
      <c r="P44" s="189"/>
      <c r="Q44" s="214"/>
      <c r="R44" s="303"/>
      <c r="S44" s="216"/>
      <c r="T44" s="217"/>
      <c r="U44" s="218"/>
      <c r="V44" s="195"/>
      <c r="W44" s="196"/>
      <c r="X44" s="196"/>
      <c r="Y44" s="197"/>
      <c r="Z44" s="198"/>
      <c r="AA44" s="200"/>
      <c r="AB44" s="201"/>
      <c r="AC44" s="202"/>
      <c r="AD44" s="202"/>
      <c r="AE44" s="203"/>
      <c r="AF44" s="199"/>
      <c r="AG44" s="199"/>
      <c r="AH44" s="199"/>
      <c r="AI44" s="180"/>
      <c r="AJ44" s="204"/>
      <c r="AK44" s="205"/>
      <c r="AL44" s="206"/>
      <c r="AM44" s="206"/>
      <c r="AN44" s="207"/>
      <c r="AO44" s="208"/>
      <c r="AP44" s="204"/>
      <c r="AQ44" s="200"/>
      <c r="AR44" s="207"/>
      <c r="AS44" s="207"/>
      <c r="AT44" s="207"/>
      <c r="AU44" s="209"/>
      <c r="AV44" s="204"/>
      <c r="AW44" s="200"/>
      <c r="AX44" s="207"/>
      <c r="AY44" s="207"/>
      <c r="AZ44" s="207"/>
      <c r="BA44" s="209"/>
      <c r="BB44" s="204"/>
      <c r="BC44" s="210"/>
      <c r="BD44" s="204"/>
      <c r="BE44" s="204"/>
      <c r="BF44" s="204"/>
      <c r="BG44" s="210"/>
      <c r="BH44" s="204"/>
      <c r="BI44" s="210"/>
      <c r="BJ44" s="204"/>
      <c r="BK44" s="204"/>
      <c r="BL44" s="204"/>
      <c r="BM44" s="204"/>
      <c r="BN44" s="204"/>
      <c r="BO44" s="210"/>
      <c r="BP44" s="204"/>
      <c r="BQ44" s="204"/>
      <c r="BR44" s="204"/>
      <c r="BS44" s="204"/>
      <c r="BT44" s="204"/>
      <c r="BU44" s="210"/>
      <c r="BV44" s="204"/>
      <c r="BW44" s="204"/>
      <c r="BX44" s="204"/>
      <c r="BY44" s="204"/>
      <c r="BZ44" s="204"/>
      <c r="CA44" s="210"/>
      <c r="CB44" s="204"/>
      <c r="CC44" s="204"/>
      <c r="CD44" s="204"/>
      <c r="CE44" s="204"/>
    </row>
    <row r="45" spans="1:84" x14ac:dyDescent="0.5">
      <c r="A45" s="227">
        <v>18116054</v>
      </c>
      <c r="B45" s="22">
        <v>18100919</v>
      </c>
      <c r="C45" s="23">
        <v>254</v>
      </c>
      <c r="D45" s="24" t="s">
        <v>184</v>
      </c>
      <c r="E45" s="25" t="s">
        <v>1324</v>
      </c>
      <c r="F45" s="26" t="s">
        <v>1440</v>
      </c>
      <c r="G45" s="62">
        <v>43496</v>
      </c>
      <c r="H45" s="27">
        <v>19038</v>
      </c>
      <c r="I45" s="39" t="s">
        <v>869</v>
      </c>
      <c r="J45" s="62">
        <v>43497</v>
      </c>
      <c r="K45" s="22" t="s">
        <v>1227</v>
      </c>
      <c r="L45" s="28" t="s">
        <v>1228</v>
      </c>
      <c r="M45" s="22" t="s">
        <v>52</v>
      </c>
      <c r="N45" s="29">
        <v>69900</v>
      </c>
      <c r="O45" s="29">
        <f t="shared" si="10"/>
        <v>4893</v>
      </c>
      <c r="P45" s="29">
        <f t="shared" si="11"/>
        <v>74793</v>
      </c>
      <c r="Q45" s="30">
        <v>7000</v>
      </c>
      <c r="R45" s="305" t="s">
        <v>568</v>
      </c>
      <c r="S45" s="32">
        <f>N45-Q45</f>
        <v>62900</v>
      </c>
      <c r="T45" s="33">
        <v>5</v>
      </c>
      <c r="U45" s="34">
        <f>S45*T45/100</f>
        <v>3145</v>
      </c>
      <c r="V45" s="35">
        <f>S45-U45</f>
        <v>59755</v>
      </c>
      <c r="W45" s="36">
        <v>0.31</v>
      </c>
      <c r="X45" s="36">
        <f>V45*W45/100</f>
        <v>185.2405</v>
      </c>
      <c r="Y45" s="37">
        <v>0.2</v>
      </c>
      <c r="Z45" s="38">
        <f>V45*Y45/100</f>
        <v>119.51</v>
      </c>
      <c r="AA45" s="40">
        <v>19010027</v>
      </c>
      <c r="AB45" s="41">
        <v>69900</v>
      </c>
      <c r="AC45" s="63">
        <f t="shared" ref="AC45:AC58" si="12">AB45*7/100</f>
        <v>4893</v>
      </c>
      <c r="AD45" s="64">
        <f t="shared" ref="AD45:AD58" si="13">AB45+AC45</f>
        <v>74793</v>
      </c>
      <c r="AE45" s="53">
        <v>43493</v>
      </c>
      <c r="AF45" s="39" t="s">
        <v>869</v>
      </c>
      <c r="AI45" s="21" t="s">
        <v>1646</v>
      </c>
      <c r="AJ45" s="44">
        <v>1</v>
      </c>
      <c r="AK45" s="45" t="s">
        <v>599</v>
      </c>
      <c r="AM45" s="46" t="s">
        <v>869</v>
      </c>
      <c r="AN45" s="47">
        <v>1</v>
      </c>
      <c r="AO45" s="48" t="s">
        <v>634</v>
      </c>
      <c r="AP45" s="44">
        <v>2</v>
      </c>
      <c r="AQ45" s="40" t="s">
        <v>600</v>
      </c>
      <c r="AS45" s="47" t="s">
        <v>869</v>
      </c>
      <c r="AT45" s="47">
        <v>1</v>
      </c>
      <c r="AU45" s="49" t="s">
        <v>636</v>
      </c>
      <c r="AW45" s="54"/>
      <c r="AX45" s="44"/>
      <c r="AY45" s="44"/>
      <c r="AZ45" s="44"/>
      <c r="BA45" s="54"/>
      <c r="BC45" s="54"/>
      <c r="BD45" s="44"/>
      <c r="BE45" s="44"/>
      <c r="BF45" s="44"/>
      <c r="BG45" s="54"/>
      <c r="BI45" s="54"/>
      <c r="BJ45" s="44"/>
      <c r="BK45" s="44"/>
      <c r="BL45" s="44"/>
      <c r="BM45" s="44"/>
      <c r="BO45" s="54"/>
      <c r="BP45" s="44"/>
      <c r="BQ45" s="44"/>
      <c r="BR45" s="44"/>
      <c r="BS45" s="44"/>
      <c r="BU45" s="54"/>
      <c r="BV45" s="44"/>
      <c r="BW45" s="44"/>
      <c r="BX45" s="44"/>
      <c r="BY45" s="44"/>
      <c r="CA45" s="54"/>
      <c r="CB45" s="44"/>
      <c r="CC45" s="44"/>
      <c r="CD45" s="44"/>
      <c r="CE45" s="44"/>
    </row>
    <row r="46" spans="1:84" x14ac:dyDescent="0.5">
      <c r="A46" s="259">
        <v>18116053</v>
      </c>
      <c r="B46" s="104">
        <v>18110982</v>
      </c>
      <c r="C46" s="105">
        <v>253</v>
      </c>
      <c r="D46" s="106" t="s">
        <v>184</v>
      </c>
      <c r="E46" s="711" t="s">
        <v>185</v>
      </c>
      <c r="F46" s="712" t="s">
        <v>1441</v>
      </c>
      <c r="G46" s="713">
        <v>43494</v>
      </c>
      <c r="H46" s="714">
        <v>19033</v>
      </c>
      <c r="I46" s="898" t="s">
        <v>869</v>
      </c>
      <c r="J46" s="899">
        <v>43495</v>
      </c>
      <c r="K46" s="104" t="s">
        <v>1231</v>
      </c>
      <c r="L46" s="110" t="s">
        <v>1229</v>
      </c>
      <c r="M46" s="104" t="s">
        <v>52</v>
      </c>
      <c r="N46" s="111">
        <v>625000</v>
      </c>
      <c r="O46" s="111">
        <f t="shared" si="10"/>
        <v>43750</v>
      </c>
      <c r="P46" s="111">
        <f t="shared" si="11"/>
        <v>668750</v>
      </c>
      <c r="Q46" s="212"/>
      <c r="R46" s="113" t="s">
        <v>1237</v>
      </c>
      <c r="S46" s="114">
        <f>N46</f>
        <v>625000</v>
      </c>
      <c r="T46" s="115">
        <v>5</v>
      </c>
      <c r="U46" s="116">
        <f>S46*T46/100</f>
        <v>31250</v>
      </c>
      <c r="V46" s="117">
        <f>S46-U46</f>
        <v>593750</v>
      </c>
      <c r="W46" s="118">
        <v>0.32</v>
      </c>
      <c r="X46" s="118">
        <f>V46*W46/100</f>
        <v>1900</v>
      </c>
      <c r="Y46" s="119">
        <v>0.2</v>
      </c>
      <c r="Z46" s="120">
        <f>V46*Y46/100</f>
        <v>1187.5</v>
      </c>
      <c r="AA46" s="229">
        <v>18110473</v>
      </c>
      <c r="AB46" s="230">
        <v>187500</v>
      </c>
      <c r="AC46" s="220">
        <f t="shared" si="12"/>
        <v>13125</v>
      </c>
      <c r="AD46" s="220">
        <f t="shared" si="13"/>
        <v>200625</v>
      </c>
      <c r="AE46" s="221">
        <v>43430</v>
      </c>
      <c r="AF46" s="121" t="s">
        <v>869</v>
      </c>
      <c r="AG46" s="121"/>
      <c r="AH46" s="121"/>
      <c r="AI46" s="222" t="s">
        <v>1660</v>
      </c>
      <c r="AJ46" s="128">
        <v>1</v>
      </c>
      <c r="AK46" s="129" t="s">
        <v>1230</v>
      </c>
      <c r="AL46" s="130" t="s">
        <v>869</v>
      </c>
      <c r="AM46" s="130"/>
      <c r="AN46" s="131">
        <v>5</v>
      </c>
      <c r="AO46" s="132" t="s">
        <v>636</v>
      </c>
      <c r="AP46" s="128"/>
      <c r="AQ46" s="133"/>
      <c r="AR46" s="128"/>
      <c r="AS46" s="128"/>
      <c r="AT46" s="128"/>
      <c r="AU46" s="133"/>
      <c r="AV46" s="128"/>
      <c r="AW46" s="133"/>
      <c r="AX46" s="128"/>
      <c r="AY46" s="128"/>
      <c r="AZ46" s="128"/>
      <c r="BA46" s="133"/>
      <c r="BB46" s="128"/>
      <c r="BC46" s="133"/>
      <c r="BD46" s="128"/>
      <c r="BE46" s="128"/>
      <c r="BF46" s="128"/>
      <c r="BG46" s="133"/>
      <c r="BH46" s="128"/>
      <c r="BI46" s="133"/>
      <c r="BJ46" s="128"/>
      <c r="BK46" s="128"/>
      <c r="BL46" s="128"/>
      <c r="BM46" s="128"/>
      <c r="BN46" s="128"/>
      <c r="BO46" s="133"/>
      <c r="BP46" s="128"/>
      <c r="BQ46" s="128"/>
      <c r="BR46" s="128"/>
      <c r="BS46" s="128"/>
      <c r="BT46" s="128"/>
      <c r="BU46" s="133"/>
      <c r="BV46" s="128"/>
      <c r="BW46" s="128"/>
      <c r="BX46" s="128"/>
      <c r="BY46" s="128"/>
      <c r="BZ46" s="128"/>
      <c r="CA46" s="133"/>
      <c r="CB46" s="128"/>
      <c r="CC46" s="128"/>
      <c r="CD46" s="128"/>
      <c r="CE46" s="128"/>
    </row>
    <row r="47" spans="1:84" x14ac:dyDescent="0.5">
      <c r="A47" s="262"/>
      <c r="B47" s="135"/>
      <c r="C47" s="136"/>
      <c r="D47" s="137"/>
      <c r="E47" s="715"/>
      <c r="F47" s="716"/>
      <c r="G47" s="717">
        <v>43494</v>
      </c>
      <c r="H47" s="718">
        <v>19034</v>
      </c>
      <c r="I47" s="152"/>
      <c r="J47" s="135"/>
      <c r="K47" s="135"/>
      <c r="L47" s="141"/>
      <c r="M47" s="135"/>
      <c r="N47" s="142"/>
      <c r="O47" s="142"/>
      <c r="P47" s="142"/>
      <c r="Q47" s="213"/>
      <c r="R47" s="144"/>
      <c r="S47" s="145"/>
      <c r="T47" s="146"/>
      <c r="U47" s="147"/>
      <c r="V47" s="148"/>
      <c r="W47" s="149"/>
      <c r="X47" s="149"/>
      <c r="Y47" s="150"/>
      <c r="Z47" s="151"/>
      <c r="AA47" s="292">
        <v>19010023</v>
      </c>
      <c r="AB47" s="293">
        <v>250000</v>
      </c>
      <c r="AC47" s="307">
        <f t="shared" si="12"/>
        <v>17500</v>
      </c>
      <c r="AD47" s="307">
        <f t="shared" si="13"/>
        <v>267500</v>
      </c>
      <c r="AE47" s="295">
        <v>43495</v>
      </c>
      <c r="AF47" s="296" t="s">
        <v>869</v>
      </c>
      <c r="AG47" s="296"/>
      <c r="AH47" s="296"/>
      <c r="AI47" s="308" t="s">
        <v>1754</v>
      </c>
      <c r="AJ47" s="158"/>
      <c r="AK47" s="159"/>
      <c r="AL47" s="160"/>
      <c r="AM47" s="160"/>
      <c r="AN47" s="161"/>
      <c r="AO47" s="162"/>
      <c r="AP47" s="158"/>
      <c r="AQ47" s="163"/>
      <c r="AR47" s="158"/>
      <c r="AS47" s="158"/>
      <c r="AT47" s="158"/>
      <c r="AU47" s="163"/>
      <c r="AV47" s="158"/>
      <c r="AW47" s="163"/>
      <c r="AX47" s="158"/>
      <c r="AY47" s="158"/>
      <c r="AZ47" s="158"/>
      <c r="BA47" s="163"/>
      <c r="BB47" s="158"/>
      <c r="BC47" s="163"/>
      <c r="BD47" s="158"/>
      <c r="BE47" s="158"/>
      <c r="BF47" s="158"/>
      <c r="BG47" s="163"/>
      <c r="BH47" s="158"/>
      <c r="BI47" s="163"/>
      <c r="BJ47" s="158"/>
      <c r="BK47" s="158"/>
      <c r="BL47" s="158"/>
      <c r="BM47" s="158"/>
      <c r="BN47" s="158"/>
      <c r="BO47" s="163"/>
      <c r="BP47" s="158"/>
      <c r="BQ47" s="158"/>
      <c r="BR47" s="158"/>
      <c r="BS47" s="158"/>
      <c r="BT47" s="158"/>
      <c r="BU47" s="163"/>
      <c r="BV47" s="158"/>
      <c r="BW47" s="158"/>
      <c r="BX47" s="158"/>
      <c r="BY47" s="158"/>
      <c r="BZ47" s="158"/>
      <c r="CA47" s="163"/>
      <c r="CB47" s="158"/>
      <c r="CC47" s="158"/>
      <c r="CD47" s="158"/>
      <c r="CE47" s="158"/>
    </row>
    <row r="48" spans="1:84" x14ac:dyDescent="0.5">
      <c r="A48" s="262"/>
      <c r="B48" s="135"/>
      <c r="C48" s="136"/>
      <c r="D48" s="137"/>
      <c r="E48" s="715"/>
      <c r="F48" s="716"/>
      <c r="G48" s="717">
        <v>43494</v>
      </c>
      <c r="H48" s="718">
        <v>19035</v>
      </c>
      <c r="I48" s="152"/>
      <c r="J48" s="135"/>
      <c r="K48" s="135"/>
      <c r="L48" s="141"/>
      <c r="M48" s="135"/>
      <c r="N48" s="142"/>
      <c r="O48" s="142"/>
      <c r="P48" s="142"/>
      <c r="Q48" s="213"/>
      <c r="R48" s="144"/>
      <c r="S48" s="145"/>
      <c r="T48" s="146"/>
      <c r="U48" s="147"/>
      <c r="V48" s="148"/>
      <c r="W48" s="149"/>
      <c r="X48" s="149"/>
      <c r="Y48" s="150"/>
      <c r="Z48" s="151"/>
      <c r="AA48" s="154">
        <v>19010024</v>
      </c>
      <c r="AB48" s="155">
        <v>187500</v>
      </c>
      <c r="AC48" s="156">
        <f t="shared" si="12"/>
        <v>13125</v>
      </c>
      <c r="AD48" s="156">
        <f t="shared" si="13"/>
        <v>200625</v>
      </c>
      <c r="AE48" s="157">
        <v>43511</v>
      </c>
      <c r="AF48" s="152" t="s">
        <v>869</v>
      </c>
      <c r="AG48" s="152"/>
      <c r="AH48" s="152"/>
      <c r="AI48" s="134" t="s">
        <v>1754</v>
      </c>
      <c r="AJ48" s="158"/>
      <c r="AK48" s="159"/>
      <c r="AL48" s="160"/>
      <c r="AM48" s="160"/>
      <c r="AN48" s="161"/>
      <c r="AO48" s="162"/>
      <c r="AP48" s="158"/>
      <c r="AQ48" s="163"/>
      <c r="AR48" s="158"/>
      <c r="AS48" s="158"/>
      <c r="AT48" s="158"/>
      <c r="AU48" s="163"/>
      <c r="AV48" s="158"/>
      <c r="AW48" s="163"/>
      <c r="AX48" s="158"/>
      <c r="AY48" s="158"/>
      <c r="AZ48" s="158"/>
      <c r="BA48" s="163"/>
      <c r="BB48" s="158"/>
      <c r="BC48" s="163"/>
      <c r="BD48" s="158"/>
      <c r="BE48" s="158"/>
      <c r="BF48" s="158"/>
      <c r="BG48" s="163"/>
      <c r="BH48" s="158"/>
      <c r="BI48" s="163"/>
      <c r="BJ48" s="158"/>
      <c r="BK48" s="158"/>
      <c r="BL48" s="158"/>
      <c r="BM48" s="158"/>
      <c r="BN48" s="158"/>
      <c r="BO48" s="163"/>
      <c r="BP48" s="158"/>
      <c r="BQ48" s="158"/>
      <c r="BR48" s="158"/>
      <c r="BS48" s="158"/>
      <c r="BT48" s="158"/>
      <c r="BU48" s="163"/>
      <c r="BV48" s="158"/>
      <c r="BW48" s="158"/>
      <c r="BX48" s="158"/>
      <c r="BY48" s="158"/>
      <c r="BZ48" s="158"/>
      <c r="CA48" s="163"/>
      <c r="CB48" s="158"/>
      <c r="CC48" s="158"/>
      <c r="CD48" s="158"/>
      <c r="CE48" s="158"/>
    </row>
    <row r="49" spans="1:83" x14ac:dyDescent="0.5">
      <c r="A49" s="262"/>
      <c r="B49" s="135"/>
      <c r="C49" s="136"/>
      <c r="D49" s="137"/>
      <c r="E49" s="715"/>
      <c r="F49" s="716"/>
      <c r="G49" s="717">
        <v>43494</v>
      </c>
      <c r="H49" s="718">
        <v>19036</v>
      </c>
      <c r="I49" s="152"/>
      <c r="J49" s="135"/>
      <c r="K49" s="135"/>
      <c r="L49" s="141"/>
      <c r="M49" s="135"/>
      <c r="N49" s="142"/>
      <c r="O49" s="142"/>
      <c r="P49" s="142"/>
      <c r="Q49" s="213"/>
      <c r="R49" s="144"/>
      <c r="S49" s="145"/>
      <c r="T49" s="146"/>
      <c r="U49" s="147"/>
      <c r="V49" s="148"/>
      <c r="W49" s="149"/>
      <c r="X49" s="149"/>
      <c r="Y49" s="150"/>
      <c r="Z49" s="151"/>
      <c r="AA49" s="154"/>
      <c r="AB49" s="155"/>
      <c r="AC49" s="156"/>
      <c r="AD49" s="156"/>
      <c r="AE49" s="157"/>
      <c r="AF49" s="152"/>
      <c r="AG49" s="152"/>
      <c r="AH49" s="152"/>
      <c r="AI49" s="134"/>
      <c r="AJ49" s="158"/>
      <c r="AK49" s="159"/>
      <c r="AL49" s="160"/>
      <c r="AM49" s="160"/>
      <c r="AN49" s="161"/>
      <c r="AO49" s="162"/>
      <c r="AP49" s="158"/>
      <c r="AQ49" s="163"/>
      <c r="AR49" s="158"/>
      <c r="AS49" s="158"/>
      <c r="AT49" s="158"/>
      <c r="AU49" s="163"/>
      <c r="AV49" s="158"/>
      <c r="AW49" s="163"/>
      <c r="AX49" s="158"/>
      <c r="AY49" s="158"/>
      <c r="AZ49" s="158"/>
      <c r="BA49" s="163"/>
      <c r="BB49" s="158"/>
      <c r="BC49" s="163"/>
      <c r="BD49" s="158"/>
      <c r="BE49" s="158"/>
      <c r="BF49" s="158"/>
      <c r="BG49" s="163"/>
      <c r="BH49" s="158"/>
      <c r="BI49" s="163"/>
      <c r="BJ49" s="158"/>
      <c r="BK49" s="158"/>
      <c r="BL49" s="158"/>
      <c r="BM49" s="158"/>
      <c r="BN49" s="158"/>
      <c r="BO49" s="163"/>
      <c r="BP49" s="158"/>
      <c r="BQ49" s="158"/>
      <c r="BR49" s="158"/>
      <c r="BS49" s="158"/>
      <c r="BT49" s="158"/>
      <c r="BU49" s="163"/>
      <c r="BV49" s="158"/>
      <c r="BW49" s="158"/>
      <c r="BX49" s="158"/>
      <c r="BY49" s="158"/>
      <c r="BZ49" s="158"/>
      <c r="CA49" s="163"/>
      <c r="CB49" s="158"/>
      <c r="CC49" s="158"/>
      <c r="CD49" s="158"/>
      <c r="CE49" s="158"/>
    </row>
    <row r="50" spans="1:83" x14ac:dyDescent="0.5">
      <c r="A50" s="262"/>
      <c r="B50" s="135"/>
      <c r="C50" s="136"/>
      <c r="D50" s="137"/>
      <c r="E50" s="719"/>
      <c r="F50" s="720"/>
      <c r="G50" s="717">
        <v>43494</v>
      </c>
      <c r="H50" s="718">
        <v>19037</v>
      </c>
      <c r="I50" s="152"/>
      <c r="J50" s="135"/>
      <c r="K50" s="135"/>
      <c r="L50" s="141"/>
      <c r="M50" s="135"/>
      <c r="N50" s="142"/>
      <c r="O50" s="142"/>
      <c r="P50" s="142"/>
      <c r="Q50" s="213"/>
      <c r="R50" s="144"/>
      <c r="S50" s="145"/>
      <c r="T50" s="146"/>
      <c r="U50" s="147"/>
      <c r="V50" s="148"/>
      <c r="W50" s="149"/>
      <c r="X50" s="149"/>
      <c r="Y50" s="150"/>
      <c r="Z50" s="151"/>
      <c r="AA50" s="154"/>
      <c r="AB50" s="155"/>
      <c r="AC50" s="156"/>
      <c r="AD50" s="156"/>
      <c r="AE50" s="157"/>
      <c r="AF50" s="152"/>
      <c r="AG50" s="152"/>
      <c r="AH50" s="152"/>
      <c r="AI50" s="134"/>
      <c r="AJ50" s="158"/>
      <c r="AK50" s="159"/>
      <c r="AL50" s="160"/>
      <c r="AM50" s="160"/>
      <c r="AN50" s="161"/>
      <c r="AO50" s="162"/>
      <c r="AP50" s="158"/>
      <c r="AQ50" s="163"/>
      <c r="AR50" s="158"/>
      <c r="AS50" s="158"/>
      <c r="AT50" s="158"/>
      <c r="AU50" s="163"/>
      <c r="AV50" s="158"/>
      <c r="AW50" s="163"/>
      <c r="AX50" s="158"/>
      <c r="AY50" s="158"/>
      <c r="AZ50" s="158"/>
      <c r="BA50" s="163"/>
      <c r="BB50" s="158"/>
      <c r="BC50" s="163"/>
      <c r="BD50" s="158"/>
      <c r="BE50" s="158"/>
      <c r="BF50" s="158"/>
      <c r="BG50" s="163"/>
      <c r="BH50" s="158"/>
      <c r="BI50" s="163"/>
      <c r="BJ50" s="158"/>
      <c r="BK50" s="158"/>
      <c r="BL50" s="158"/>
      <c r="BM50" s="158"/>
      <c r="BN50" s="158"/>
      <c r="BO50" s="163"/>
      <c r="BP50" s="158"/>
      <c r="BQ50" s="158"/>
      <c r="BR50" s="158"/>
      <c r="BS50" s="158"/>
      <c r="BT50" s="158"/>
      <c r="BU50" s="163"/>
      <c r="BV50" s="158"/>
      <c r="BW50" s="158"/>
      <c r="BX50" s="158"/>
      <c r="BY50" s="158"/>
      <c r="BZ50" s="158"/>
      <c r="CA50" s="163"/>
      <c r="CB50" s="158"/>
      <c r="CC50" s="158"/>
      <c r="CD50" s="158"/>
      <c r="CE50" s="158"/>
    </row>
    <row r="51" spans="1:83" x14ac:dyDescent="0.5">
      <c r="A51" s="262">
        <v>18116053</v>
      </c>
      <c r="B51" s="135"/>
      <c r="C51" s="136"/>
      <c r="D51" s="137"/>
      <c r="E51" s="138" t="s">
        <v>1324</v>
      </c>
      <c r="F51" s="139" t="s">
        <v>1425</v>
      </c>
      <c r="G51" s="309">
        <v>43516</v>
      </c>
      <c r="H51" s="310">
        <v>19061</v>
      </c>
      <c r="I51" s="152" t="s">
        <v>869</v>
      </c>
      <c r="J51" s="179">
        <v>43517</v>
      </c>
      <c r="K51" s="135" t="s">
        <v>1231</v>
      </c>
      <c r="L51" s="141" t="s">
        <v>1733</v>
      </c>
      <c r="M51" s="135"/>
      <c r="N51" s="142"/>
      <c r="O51" s="142"/>
      <c r="P51" s="142"/>
      <c r="Q51" s="213"/>
      <c r="R51" s="144"/>
      <c r="S51" s="145"/>
      <c r="T51" s="146"/>
      <c r="U51" s="147"/>
      <c r="V51" s="148"/>
      <c r="W51" s="149"/>
      <c r="X51" s="149"/>
      <c r="Y51" s="150"/>
      <c r="Z51" s="151"/>
      <c r="AA51" s="154"/>
      <c r="AB51" s="155"/>
      <c r="AC51" s="156"/>
      <c r="AD51" s="156"/>
      <c r="AE51" s="157"/>
      <c r="AF51" s="152"/>
      <c r="AG51" s="152"/>
      <c r="AH51" s="152"/>
      <c r="AI51" s="134"/>
      <c r="AJ51" s="158"/>
      <c r="AK51" s="159"/>
      <c r="AL51" s="160"/>
      <c r="AM51" s="160"/>
      <c r="AN51" s="161"/>
      <c r="AO51" s="162"/>
      <c r="AP51" s="158"/>
      <c r="AQ51" s="163"/>
      <c r="AR51" s="158"/>
      <c r="AS51" s="158"/>
      <c r="AT51" s="158"/>
      <c r="AU51" s="163"/>
      <c r="AV51" s="158"/>
      <c r="AW51" s="163"/>
      <c r="AX51" s="158"/>
      <c r="AY51" s="158"/>
      <c r="AZ51" s="158"/>
      <c r="BA51" s="163"/>
      <c r="BB51" s="158"/>
      <c r="BC51" s="163"/>
      <c r="BD51" s="158"/>
      <c r="BE51" s="158"/>
      <c r="BF51" s="158"/>
      <c r="BG51" s="163"/>
      <c r="BH51" s="158"/>
      <c r="BI51" s="163"/>
      <c r="BJ51" s="158"/>
      <c r="BK51" s="158"/>
      <c r="BL51" s="158"/>
      <c r="BM51" s="158"/>
      <c r="BN51" s="158"/>
      <c r="BO51" s="163"/>
      <c r="BP51" s="158"/>
      <c r="BQ51" s="158"/>
      <c r="BR51" s="158"/>
      <c r="BS51" s="158"/>
      <c r="BT51" s="158"/>
      <c r="BU51" s="163"/>
      <c r="BV51" s="158"/>
      <c r="BW51" s="158"/>
      <c r="BX51" s="158"/>
      <c r="BY51" s="158"/>
      <c r="BZ51" s="158"/>
      <c r="CA51" s="163"/>
      <c r="CB51" s="158"/>
      <c r="CC51" s="158"/>
      <c r="CD51" s="158"/>
      <c r="CE51" s="158"/>
    </row>
    <row r="52" spans="1:83" x14ac:dyDescent="0.5">
      <c r="A52" s="262"/>
      <c r="B52" s="135"/>
      <c r="C52" s="136"/>
      <c r="D52" s="137"/>
      <c r="E52" s="138"/>
      <c r="F52" s="139"/>
      <c r="G52" s="309">
        <v>43516</v>
      </c>
      <c r="H52" s="310">
        <v>19062</v>
      </c>
      <c r="I52" s="152"/>
      <c r="J52" s="179"/>
      <c r="K52" s="135"/>
      <c r="L52" s="141"/>
      <c r="M52" s="135"/>
      <c r="N52" s="142"/>
      <c r="O52" s="142"/>
      <c r="P52" s="142"/>
      <c r="Q52" s="213"/>
      <c r="R52" s="144"/>
      <c r="S52" s="145"/>
      <c r="T52" s="146"/>
      <c r="U52" s="147"/>
      <c r="V52" s="148"/>
      <c r="W52" s="149"/>
      <c r="X52" s="149"/>
      <c r="Y52" s="150"/>
      <c r="Z52" s="151"/>
      <c r="AA52" s="154"/>
      <c r="AB52" s="155"/>
      <c r="AC52" s="156"/>
      <c r="AD52" s="156"/>
      <c r="AE52" s="157"/>
      <c r="AF52" s="152"/>
      <c r="AG52" s="152"/>
      <c r="AH52" s="152"/>
      <c r="AI52" s="134"/>
      <c r="AJ52" s="158"/>
      <c r="AK52" s="159"/>
      <c r="AL52" s="160"/>
      <c r="AM52" s="160"/>
      <c r="AN52" s="161"/>
      <c r="AO52" s="162"/>
      <c r="AP52" s="158"/>
      <c r="AQ52" s="163"/>
      <c r="AR52" s="158"/>
      <c r="AS52" s="158"/>
      <c r="AT52" s="158"/>
      <c r="AU52" s="163"/>
      <c r="AV52" s="158"/>
      <c r="AW52" s="163"/>
      <c r="AX52" s="158"/>
      <c r="AY52" s="158"/>
      <c r="AZ52" s="158"/>
      <c r="BA52" s="163"/>
      <c r="BB52" s="158"/>
      <c r="BC52" s="163"/>
      <c r="BD52" s="158"/>
      <c r="BE52" s="158"/>
      <c r="BF52" s="158"/>
      <c r="BG52" s="163"/>
      <c r="BH52" s="158"/>
      <c r="BI52" s="163"/>
      <c r="BJ52" s="158"/>
      <c r="BK52" s="158"/>
      <c r="BL52" s="158"/>
      <c r="BM52" s="158"/>
      <c r="BN52" s="158"/>
      <c r="BO52" s="163"/>
      <c r="BP52" s="158"/>
      <c r="BQ52" s="158"/>
      <c r="BR52" s="158"/>
      <c r="BS52" s="158"/>
      <c r="BT52" s="158"/>
      <c r="BU52" s="163"/>
      <c r="BV52" s="158"/>
      <c r="BW52" s="158"/>
      <c r="BX52" s="158"/>
      <c r="BY52" s="158"/>
      <c r="BZ52" s="158"/>
      <c r="CA52" s="163"/>
      <c r="CB52" s="158"/>
      <c r="CC52" s="158"/>
      <c r="CD52" s="158"/>
      <c r="CE52" s="158"/>
    </row>
    <row r="53" spans="1:83" x14ac:dyDescent="0.5">
      <c r="A53" s="262"/>
      <c r="B53" s="135"/>
      <c r="C53" s="136"/>
      <c r="D53" s="137"/>
      <c r="E53" s="138"/>
      <c r="F53" s="139"/>
      <c r="G53" s="309">
        <v>43516</v>
      </c>
      <c r="H53" s="310">
        <v>19063</v>
      </c>
      <c r="I53" s="152"/>
      <c r="J53" s="179"/>
      <c r="K53" s="135"/>
      <c r="L53" s="141"/>
      <c r="M53" s="135"/>
      <c r="N53" s="142"/>
      <c r="O53" s="142"/>
      <c r="P53" s="142"/>
      <c r="Q53" s="213"/>
      <c r="R53" s="144"/>
      <c r="S53" s="145"/>
      <c r="T53" s="146"/>
      <c r="U53" s="147"/>
      <c r="V53" s="148"/>
      <c r="W53" s="149"/>
      <c r="X53" s="149"/>
      <c r="Y53" s="150"/>
      <c r="Z53" s="151"/>
      <c r="AA53" s="154"/>
      <c r="AB53" s="155"/>
      <c r="AC53" s="156"/>
      <c r="AD53" s="156"/>
      <c r="AE53" s="157"/>
      <c r="AF53" s="152"/>
      <c r="AG53" s="152"/>
      <c r="AH53" s="152"/>
      <c r="AI53" s="134"/>
      <c r="AJ53" s="158"/>
      <c r="AK53" s="159"/>
      <c r="AL53" s="160"/>
      <c r="AM53" s="160"/>
      <c r="AN53" s="161"/>
      <c r="AO53" s="162"/>
      <c r="AP53" s="158"/>
      <c r="AQ53" s="163"/>
      <c r="AR53" s="158"/>
      <c r="AS53" s="158"/>
      <c r="AT53" s="158"/>
      <c r="AU53" s="163"/>
      <c r="AV53" s="158"/>
      <c r="AW53" s="163"/>
      <c r="AX53" s="158"/>
      <c r="AY53" s="158"/>
      <c r="AZ53" s="158"/>
      <c r="BA53" s="163"/>
      <c r="BB53" s="158"/>
      <c r="BC53" s="163"/>
      <c r="BD53" s="158"/>
      <c r="BE53" s="158"/>
      <c r="BF53" s="158"/>
      <c r="BG53" s="163"/>
      <c r="BH53" s="158"/>
      <c r="BI53" s="163"/>
      <c r="BJ53" s="158"/>
      <c r="BK53" s="158"/>
      <c r="BL53" s="158"/>
      <c r="BM53" s="158"/>
      <c r="BN53" s="158"/>
      <c r="BO53" s="163"/>
      <c r="BP53" s="158"/>
      <c r="BQ53" s="158"/>
      <c r="BR53" s="158"/>
      <c r="BS53" s="158"/>
      <c r="BT53" s="158"/>
      <c r="BU53" s="163"/>
      <c r="BV53" s="158"/>
      <c r="BW53" s="158"/>
      <c r="BX53" s="158"/>
      <c r="BY53" s="158"/>
      <c r="BZ53" s="158"/>
      <c r="CA53" s="163"/>
      <c r="CB53" s="158"/>
      <c r="CC53" s="158"/>
      <c r="CD53" s="158"/>
      <c r="CE53" s="158"/>
    </row>
    <row r="54" spans="1:83" x14ac:dyDescent="0.5">
      <c r="A54" s="262"/>
      <c r="B54" s="135"/>
      <c r="C54" s="136"/>
      <c r="D54" s="137"/>
      <c r="E54" s="138"/>
      <c r="F54" s="139"/>
      <c r="G54" s="309">
        <v>43516</v>
      </c>
      <c r="H54" s="310">
        <v>19064</v>
      </c>
      <c r="I54" s="152"/>
      <c r="J54" s="179"/>
      <c r="K54" s="135"/>
      <c r="L54" s="141"/>
      <c r="M54" s="135"/>
      <c r="N54" s="142"/>
      <c r="O54" s="142"/>
      <c r="P54" s="142"/>
      <c r="Q54" s="213"/>
      <c r="R54" s="144"/>
      <c r="S54" s="145"/>
      <c r="T54" s="146"/>
      <c r="U54" s="147"/>
      <c r="V54" s="148"/>
      <c r="W54" s="149"/>
      <c r="X54" s="149"/>
      <c r="Y54" s="150"/>
      <c r="Z54" s="151"/>
      <c r="AA54" s="154"/>
      <c r="AB54" s="155"/>
      <c r="AC54" s="156"/>
      <c r="AD54" s="156"/>
      <c r="AE54" s="157"/>
      <c r="AF54" s="152"/>
      <c r="AG54" s="152"/>
      <c r="AH54" s="152"/>
      <c r="AI54" s="134"/>
      <c r="AJ54" s="158"/>
      <c r="AK54" s="159"/>
      <c r="AL54" s="160"/>
      <c r="AM54" s="160"/>
      <c r="AN54" s="161"/>
      <c r="AO54" s="162"/>
      <c r="AP54" s="158"/>
      <c r="AQ54" s="163"/>
      <c r="AR54" s="158"/>
      <c r="AS54" s="158"/>
      <c r="AT54" s="158"/>
      <c r="AU54" s="163"/>
      <c r="AV54" s="158"/>
      <c r="AW54" s="163"/>
      <c r="AX54" s="158"/>
      <c r="AY54" s="158"/>
      <c r="AZ54" s="158"/>
      <c r="BA54" s="163"/>
      <c r="BB54" s="158"/>
      <c r="BC54" s="163"/>
      <c r="BD54" s="158"/>
      <c r="BE54" s="158"/>
      <c r="BF54" s="158"/>
      <c r="BG54" s="163"/>
      <c r="BH54" s="158"/>
      <c r="BI54" s="163"/>
      <c r="BJ54" s="158"/>
      <c r="BK54" s="158"/>
      <c r="BL54" s="158"/>
      <c r="BM54" s="158"/>
      <c r="BN54" s="158"/>
      <c r="BO54" s="163"/>
      <c r="BP54" s="158"/>
      <c r="BQ54" s="158"/>
      <c r="BR54" s="158"/>
      <c r="BS54" s="158"/>
      <c r="BT54" s="158"/>
      <c r="BU54" s="163"/>
      <c r="BV54" s="158"/>
      <c r="BW54" s="158"/>
      <c r="BX54" s="158"/>
      <c r="BY54" s="158"/>
      <c r="BZ54" s="158"/>
      <c r="CA54" s="163"/>
      <c r="CB54" s="158"/>
      <c r="CC54" s="158"/>
      <c r="CD54" s="158"/>
      <c r="CE54" s="158"/>
    </row>
    <row r="55" spans="1:83" x14ac:dyDescent="0.5">
      <c r="A55" s="262"/>
      <c r="B55" s="135"/>
      <c r="C55" s="136"/>
      <c r="D55" s="137"/>
      <c r="E55" s="138"/>
      <c r="F55" s="139"/>
      <c r="G55" s="309">
        <v>43516</v>
      </c>
      <c r="H55" s="310">
        <v>19065</v>
      </c>
      <c r="I55" s="152"/>
      <c r="J55" s="179"/>
      <c r="K55" s="135"/>
      <c r="L55" s="141"/>
      <c r="M55" s="135"/>
      <c r="N55" s="142"/>
      <c r="O55" s="142"/>
      <c r="P55" s="142"/>
      <c r="Q55" s="213"/>
      <c r="R55" s="144"/>
      <c r="S55" s="145"/>
      <c r="T55" s="146"/>
      <c r="U55" s="147"/>
      <c r="V55" s="148"/>
      <c r="W55" s="149"/>
      <c r="X55" s="149"/>
      <c r="Y55" s="150"/>
      <c r="Z55" s="151"/>
      <c r="AA55" s="154"/>
      <c r="AB55" s="155"/>
      <c r="AC55" s="156"/>
      <c r="AD55" s="156"/>
      <c r="AE55" s="157"/>
      <c r="AF55" s="152"/>
      <c r="AG55" s="152"/>
      <c r="AH55" s="152"/>
      <c r="AI55" s="134"/>
      <c r="AJ55" s="158"/>
      <c r="AK55" s="159"/>
      <c r="AL55" s="160"/>
      <c r="AM55" s="160"/>
      <c r="AN55" s="161"/>
      <c r="AO55" s="162"/>
      <c r="AP55" s="158"/>
      <c r="AQ55" s="163"/>
      <c r="AR55" s="158"/>
      <c r="AS55" s="158"/>
      <c r="AT55" s="158"/>
      <c r="AU55" s="163"/>
      <c r="AV55" s="158"/>
      <c r="AW55" s="163"/>
      <c r="AX55" s="158"/>
      <c r="AY55" s="158"/>
      <c r="AZ55" s="158"/>
      <c r="BA55" s="163"/>
      <c r="BB55" s="158"/>
      <c r="BC55" s="163"/>
      <c r="BD55" s="158"/>
      <c r="BE55" s="158"/>
      <c r="BF55" s="158"/>
      <c r="BG55" s="163"/>
      <c r="BH55" s="158"/>
      <c r="BI55" s="163"/>
      <c r="BJ55" s="158"/>
      <c r="BK55" s="158"/>
      <c r="BL55" s="158"/>
      <c r="BM55" s="158"/>
      <c r="BN55" s="158"/>
      <c r="BO55" s="163"/>
      <c r="BP55" s="158"/>
      <c r="BQ55" s="158"/>
      <c r="BR55" s="158"/>
      <c r="BS55" s="158"/>
      <c r="BT55" s="158"/>
      <c r="BU55" s="163"/>
      <c r="BV55" s="158"/>
      <c r="BW55" s="158"/>
      <c r="BX55" s="158"/>
      <c r="BY55" s="158"/>
      <c r="BZ55" s="158"/>
      <c r="CA55" s="163"/>
      <c r="CB55" s="158"/>
      <c r="CC55" s="158"/>
      <c r="CD55" s="158"/>
      <c r="CE55" s="158"/>
    </row>
    <row r="56" spans="1:83" x14ac:dyDescent="0.5">
      <c r="A56" s="259">
        <v>18116052</v>
      </c>
      <c r="B56" s="104">
        <v>18110979</v>
      </c>
      <c r="C56" s="105">
        <v>252</v>
      </c>
      <c r="D56" s="106" t="s">
        <v>184</v>
      </c>
      <c r="E56" s="107" t="s">
        <v>185</v>
      </c>
      <c r="F56" s="108">
        <v>287</v>
      </c>
      <c r="G56" s="211">
        <v>43455</v>
      </c>
      <c r="H56" s="164">
        <v>18464</v>
      </c>
      <c r="I56" s="127" t="s">
        <v>869</v>
      </c>
      <c r="J56" s="122">
        <v>43456</v>
      </c>
      <c r="K56" s="104" t="s">
        <v>1231</v>
      </c>
      <c r="L56" s="110" t="s">
        <v>1232</v>
      </c>
      <c r="M56" s="104" t="s">
        <v>52</v>
      </c>
      <c r="N56" s="111">
        <v>625000</v>
      </c>
      <c r="O56" s="111">
        <f t="shared" si="10"/>
        <v>43750</v>
      </c>
      <c r="P56" s="111">
        <f t="shared" si="11"/>
        <v>668750</v>
      </c>
      <c r="Q56" s="212"/>
      <c r="R56" s="113" t="s">
        <v>1237</v>
      </c>
      <c r="S56" s="114">
        <f>N56</f>
        <v>625000</v>
      </c>
      <c r="T56" s="115">
        <v>5</v>
      </c>
      <c r="U56" s="116">
        <f>S56*T56/100</f>
        <v>31250</v>
      </c>
      <c r="V56" s="117">
        <f>S56-U56</f>
        <v>593750</v>
      </c>
      <c r="W56" s="118">
        <v>0.32</v>
      </c>
      <c r="X56" s="118">
        <f>V56*W56/100</f>
        <v>1900</v>
      </c>
      <c r="Y56" s="119">
        <v>0.2</v>
      </c>
      <c r="Z56" s="120">
        <f>V56*Y56/100</f>
        <v>1187.5</v>
      </c>
      <c r="AA56" s="229">
        <v>18110472</v>
      </c>
      <c r="AB56" s="230">
        <v>187500</v>
      </c>
      <c r="AC56" s="220">
        <f t="shared" si="12"/>
        <v>13125</v>
      </c>
      <c r="AD56" s="220">
        <f t="shared" si="13"/>
        <v>200625</v>
      </c>
      <c r="AE56" s="221">
        <v>43430</v>
      </c>
      <c r="AF56" s="121" t="s">
        <v>869</v>
      </c>
      <c r="AG56" s="121"/>
      <c r="AH56" s="121"/>
      <c r="AI56" s="222" t="s">
        <v>1308</v>
      </c>
      <c r="AJ56" s="128">
        <v>1</v>
      </c>
      <c r="AK56" s="129" t="s">
        <v>1230</v>
      </c>
      <c r="AL56" s="130" t="s">
        <v>869</v>
      </c>
      <c r="AM56" s="130"/>
      <c r="AN56" s="131">
        <v>5</v>
      </c>
      <c r="AO56" s="132" t="s">
        <v>636</v>
      </c>
      <c r="AP56" s="128"/>
      <c r="AQ56" s="133"/>
      <c r="AR56" s="128"/>
      <c r="AS56" s="128"/>
      <c r="AT56" s="128"/>
      <c r="AU56" s="133"/>
      <c r="AV56" s="128"/>
      <c r="AW56" s="133"/>
      <c r="AX56" s="128"/>
      <c r="AY56" s="128"/>
      <c r="AZ56" s="128"/>
      <c r="BA56" s="133"/>
      <c r="BB56" s="128"/>
      <c r="BC56" s="133"/>
      <c r="BD56" s="128"/>
      <c r="BE56" s="128"/>
      <c r="BF56" s="128"/>
      <c r="BG56" s="133"/>
      <c r="BH56" s="128"/>
      <c r="BI56" s="133"/>
      <c r="BJ56" s="128"/>
      <c r="BK56" s="128"/>
      <c r="BL56" s="128"/>
      <c r="BM56" s="128"/>
      <c r="BN56" s="128"/>
      <c r="BO56" s="133"/>
      <c r="BP56" s="128"/>
      <c r="BQ56" s="128"/>
      <c r="BR56" s="128"/>
      <c r="BS56" s="128"/>
      <c r="BT56" s="128"/>
      <c r="BU56" s="133"/>
      <c r="BV56" s="128"/>
      <c r="BW56" s="128"/>
      <c r="BX56" s="128"/>
      <c r="BY56" s="128"/>
      <c r="BZ56" s="128"/>
      <c r="CA56" s="133"/>
      <c r="CB56" s="128"/>
      <c r="CC56" s="128"/>
      <c r="CD56" s="128"/>
      <c r="CE56" s="128"/>
    </row>
    <row r="57" spans="1:83" x14ac:dyDescent="0.5">
      <c r="A57" s="262"/>
      <c r="B57" s="135"/>
      <c r="C57" s="136"/>
      <c r="D57" s="137"/>
      <c r="E57" s="138"/>
      <c r="F57" s="139"/>
      <c r="G57" s="170">
        <v>43455</v>
      </c>
      <c r="H57" s="251">
        <v>18465</v>
      </c>
      <c r="I57" s="152"/>
      <c r="J57" s="179"/>
      <c r="K57" s="135"/>
      <c r="L57" s="141"/>
      <c r="M57" s="135"/>
      <c r="N57" s="142"/>
      <c r="O57" s="142"/>
      <c r="P57" s="142"/>
      <c r="Q57" s="213"/>
      <c r="R57" s="144"/>
      <c r="S57" s="145"/>
      <c r="T57" s="146"/>
      <c r="U57" s="147"/>
      <c r="V57" s="148"/>
      <c r="W57" s="149"/>
      <c r="X57" s="149"/>
      <c r="Y57" s="150"/>
      <c r="Z57" s="151"/>
      <c r="AA57" s="292">
        <v>18120520</v>
      </c>
      <c r="AB57" s="293">
        <v>250000</v>
      </c>
      <c r="AC57" s="307">
        <f t="shared" si="12"/>
        <v>17500</v>
      </c>
      <c r="AD57" s="307">
        <f t="shared" si="13"/>
        <v>267500</v>
      </c>
      <c r="AE57" s="295">
        <v>43454</v>
      </c>
      <c r="AF57" s="296" t="s">
        <v>869</v>
      </c>
      <c r="AG57" s="296"/>
      <c r="AH57" s="296"/>
      <c r="AI57" s="308" t="s">
        <v>1463</v>
      </c>
      <c r="AJ57" s="158"/>
      <c r="AK57" s="159"/>
      <c r="AL57" s="160"/>
      <c r="AM57" s="160"/>
      <c r="AN57" s="161"/>
      <c r="AO57" s="162"/>
      <c r="AP57" s="158"/>
      <c r="AQ57" s="163"/>
      <c r="AR57" s="158"/>
      <c r="AS57" s="158"/>
      <c r="AT57" s="158"/>
      <c r="AU57" s="163"/>
      <c r="AV57" s="158"/>
      <c r="AW57" s="163"/>
      <c r="AX57" s="158"/>
      <c r="AY57" s="158"/>
      <c r="AZ57" s="158"/>
      <c r="BA57" s="163"/>
      <c r="BB57" s="158"/>
      <c r="BC57" s="163"/>
      <c r="BD57" s="158"/>
      <c r="BE57" s="158"/>
      <c r="BF57" s="158"/>
      <c r="BG57" s="163"/>
      <c r="BH57" s="158"/>
      <c r="BI57" s="163"/>
      <c r="BJ57" s="158"/>
      <c r="BK57" s="158"/>
      <c r="BL57" s="158"/>
      <c r="BM57" s="158"/>
      <c r="BN57" s="158"/>
      <c r="BO57" s="163"/>
      <c r="BP57" s="158"/>
      <c r="BQ57" s="158"/>
      <c r="BR57" s="158"/>
      <c r="BS57" s="158"/>
      <c r="BT57" s="158"/>
      <c r="BU57" s="163"/>
      <c r="BV57" s="158"/>
      <c r="BW57" s="158"/>
      <c r="BX57" s="158"/>
      <c r="BY57" s="158"/>
      <c r="BZ57" s="158"/>
      <c r="CA57" s="163"/>
      <c r="CB57" s="158"/>
      <c r="CC57" s="158"/>
      <c r="CD57" s="158"/>
      <c r="CE57" s="158"/>
    </row>
    <row r="58" spans="1:83" x14ac:dyDescent="0.5">
      <c r="A58" s="262"/>
      <c r="B58" s="135"/>
      <c r="C58" s="136"/>
      <c r="D58" s="137"/>
      <c r="E58" s="138"/>
      <c r="F58" s="139"/>
      <c r="G58" s="178">
        <v>43455</v>
      </c>
      <c r="H58" s="171">
        <v>18466</v>
      </c>
      <c r="I58" s="152"/>
      <c r="J58" s="179"/>
      <c r="K58" s="135"/>
      <c r="L58" s="141"/>
      <c r="M58" s="135"/>
      <c r="N58" s="142"/>
      <c r="O58" s="142"/>
      <c r="P58" s="142"/>
      <c r="Q58" s="213"/>
      <c r="R58" s="144"/>
      <c r="S58" s="145"/>
      <c r="T58" s="146"/>
      <c r="U58" s="147"/>
      <c r="V58" s="148"/>
      <c r="W58" s="149"/>
      <c r="X58" s="149"/>
      <c r="Y58" s="150"/>
      <c r="Z58" s="151"/>
      <c r="AA58" s="154">
        <v>18120521</v>
      </c>
      <c r="AB58" s="155">
        <v>187500</v>
      </c>
      <c r="AC58" s="156">
        <f t="shared" si="12"/>
        <v>13125</v>
      </c>
      <c r="AD58" s="156">
        <f t="shared" si="13"/>
        <v>200625</v>
      </c>
      <c r="AE58" s="157">
        <v>43454</v>
      </c>
      <c r="AF58" s="152" t="s">
        <v>869</v>
      </c>
      <c r="AG58" s="152"/>
      <c r="AH58" s="152"/>
      <c r="AI58" s="134" t="s">
        <v>1643</v>
      </c>
      <c r="AJ58" s="158"/>
      <c r="AK58" s="159"/>
      <c r="AL58" s="160"/>
      <c r="AM58" s="160"/>
      <c r="AN58" s="161"/>
      <c r="AO58" s="162"/>
      <c r="AP58" s="158"/>
      <c r="AQ58" s="163"/>
      <c r="AR58" s="158"/>
      <c r="AS58" s="158"/>
      <c r="AT58" s="158"/>
      <c r="AU58" s="163"/>
      <c r="AV58" s="158"/>
      <c r="AW58" s="163"/>
      <c r="AX58" s="158"/>
      <c r="AY58" s="158"/>
      <c r="AZ58" s="158"/>
      <c r="BA58" s="163"/>
      <c r="BB58" s="158"/>
      <c r="BC58" s="163"/>
      <c r="BD58" s="158"/>
      <c r="BE58" s="158"/>
      <c r="BF58" s="158"/>
      <c r="BG58" s="163"/>
      <c r="BH58" s="158"/>
      <c r="BI58" s="163"/>
      <c r="BJ58" s="158"/>
      <c r="BK58" s="158"/>
      <c r="BL58" s="158"/>
      <c r="BM58" s="158"/>
      <c r="BN58" s="158"/>
      <c r="BO58" s="163"/>
      <c r="BP58" s="158"/>
      <c r="BQ58" s="158"/>
      <c r="BR58" s="158"/>
      <c r="BS58" s="158"/>
      <c r="BT58" s="158"/>
      <c r="BU58" s="163"/>
      <c r="BV58" s="158"/>
      <c r="BW58" s="158"/>
      <c r="BX58" s="158"/>
      <c r="BY58" s="158"/>
      <c r="BZ58" s="158"/>
      <c r="CA58" s="163"/>
      <c r="CB58" s="158"/>
      <c r="CC58" s="158"/>
      <c r="CD58" s="158"/>
      <c r="CE58" s="158"/>
    </row>
    <row r="59" spans="1:83" x14ac:dyDescent="0.5">
      <c r="A59" s="262"/>
      <c r="B59" s="135"/>
      <c r="C59" s="136"/>
      <c r="D59" s="137"/>
      <c r="E59" s="138"/>
      <c r="F59" s="139"/>
      <c r="G59" s="178">
        <v>43455</v>
      </c>
      <c r="H59" s="171">
        <v>18467</v>
      </c>
      <c r="I59" s="152"/>
      <c r="J59" s="179"/>
      <c r="K59" s="135"/>
      <c r="L59" s="141"/>
      <c r="M59" s="135"/>
      <c r="N59" s="142"/>
      <c r="O59" s="142"/>
      <c r="P59" s="142"/>
      <c r="Q59" s="213"/>
      <c r="R59" s="144"/>
      <c r="S59" s="145"/>
      <c r="T59" s="146"/>
      <c r="U59" s="147"/>
      <c r="V59" s="148"/>
      <c r="W59" s="149"/>
      <c r="X59" s="149"/>
      <c r="Y59" s="150"/>
      <c r="Z59" s="151"/>
      <c r="AA59" s="154"/>
      <c r="AB59" s="155"/>
      <c r="AC59" s="156"/>
      <c r="AD59" s="156"/>
      <c r="AE59" s="157"/>
      <c r="AF59" s="152"/>
      <c r="AG59" s="152"/>
      <c r="AH59" s="152"/>
      <c r="AI59" s="134"/>
      <c r="AJ59" s="158"/>
      <c r="AK59" s="159"/>
      <c r="AL59" s="160"/>
      <c r="AM59" s="160"/>
      <c r="AN59" s="161"/>
      <c r="AO59" s="162"/>
      <c r="AP59" s="158"/>
      <c r="AQ59" s="163"/>
      <c r="AR59" s="158"/>
      <c r="AS59" s="158"/>
      <c r="AT59" s="158"/>
      <c r="AU59" s="163"/>
      <c r="AV59" s="158"/>
      <c r="AW59" s="163"/>
      <c r="AX59" s="158"/>
      <c r="AY59" s="158"/>
      <c r="AZ59" s="158"/>
      <c r="BA59" s="163"/>
      <c r="BB59" s="158"/>
      <c r="BC59" s="163"/>
      <c r="BD59" s="158"/>
      <c r="BE59" s="158"/>
      <c r="BF59" s="158"/>
      <c r="BG59" s="163"/>
      <c r="BH59" s="158"/>
      <c r="BI59" s="163"/>
      <c r="BJ59" s="158"/>
      <c r="BK59" s="158"/>
      <c r="BL59" s="158"/>
      <c r="BM59" s="158"/>
      <c r="BN59" s="158"/>
      <c r="BO59" s="163"/>
      <c r="BP59" s="158"/>
      <c r="BQ59" s="158"/>
      <c r="BR59" s="158"/>
      <c r="BS59" s="158"/>
      <c r="BT59" s="158"/>
      <c r="BU59" s="163"/>
      <c r="BV59" s="158"/>
      <c r="BW59" s="158"/>
      <c r="BX59" s="158"/>
      <c r="BY59" s="158"/>
      <c r="BZ59" s="158"/>
      <c r="CA59" s="163"/>
      <c r="CB59" s="158"/>
      <c r="CC59" s="158"/>
      <c r="CD59" s="158"/>
      <c r="CE59" s="158"/>
    </row>
    <row r="60" spans="1:83" x14ac:dyDescent="0.5">
      <c r="A60" s="268"/>
      <c r="B60" s="181"/>
      <c r="C60" s="182"/>
      <c r="D60" s="183"/>
      <c r="E60" s="184"/>
      <c r="F60" s="185"/>
      <c r="G60" s="186">
        <v>43455</v>
      </c>
      <c r="H60" s="187">
        <v>18468</v>
      </c>
      <c r="I60" s="199"/>
      <c r="J60" s="186"/>
      <c r="K60" s="181"/>
      <c r="L60" s="188"/>
      <c r="M60" s="181"/>
      <c r="N60" s="189"/>
      <c r="O60" s="189"/>
      <c r="P60" s="189"/>
      <c r="Q60" s="214"/>
      <c r="R60" s="215"/>
      <c r="S60" s="216"/>
      <c r="T60" s="217"/>
      <c r="U60" s="218"/>
      <c r="V60" s="195"/>
      <c r="W60" s="196"/>
      <c r="X60" s="196"/>
      <c r="Y60" s="197"/>
      <c r="Z60" s="198"/>
      <c r="AA60" s="200"/>
      <c r="AB60" s="201"/>
      <c r="AC60" s="202"/>
      <c r="AD60" s="202"/>
      <c r="AE60" s="203"/>
      <c r="AF60" s="199"/>
      <c r="AG60" s="199"/>
      <c r="AH60" s="199"/>
      <c r="AI60" s="180"/>
      <c r="AJ60" s="204"/>
      <c r="AK60" s="205"/>
      <c r="AL60" s="206"/>
      <c r="AM60" s="206"/>
      <c r="AN60" s="207"/>
      <c r="AO60" s="208"/>
      <c r="AP60" s="204"/>
      <c r="AQ60" s="210"/>
      <c r="AR60" s="204"/>
      <c r="AS60" s="204"/>
      <c r="AT60" s="204"/>
      <c r="AU60" s="210"/>
      <c r="AV60" s="204"/>
      <c r="AW60" s="210"/>
      <c r="AX60" s="204"/>
      <c r="AY60" s="204"/>
      <c r="AZ60" s="204"/>
      <c r="BA60" s="210"/>
      <c r="BB60" s="204"/>
      <c r="BC60" s="210"/>
      <c r="BD60" s="204"/>
      <c r="BE60" s="204"/>
      <c r="BF60" s="204"/>
      <c r="BG60" s="210"/>
      <c r="BH60" s="204"/>
      <c r="BI60" s="210"/>
      <c r="BJ60" s="204"/>
      <c r="BK60" s="204"/>
      <c r="BL60" s="204"/>
      <c r="BM60" s="204"/>
      <c r="BN60" s="204"/>
      <c r="BO60" s="210"/>
      <c r="BP60" s="204"/>
      <c r="BQ60" s="204"/>
      <c r="BR60" s="204"/>
      <c r="BS60" s="204"/>
      <c r="BT60" s="204"/>
      <c r="BU60" s="210"/>
      <c r="BV60" s="204"/>
      <c r="BW60" s="204"/>
      <c r="BX60" s="204"/>
      <c r="BY60" s="204"/>
      <c r="BZ60" s="204"/>
      <c r="CA60" s="210"/>
      <c r="CB60" s="204"/>
      <c r="CC60" s="204"/>
      <c r="CD60" s="204"/>
      <c r="CE60" s="204"/>
    </row>
    <row r="61" spans="1:83" x14ac:dyDescent="0.5">
      <c r="A61" s="227">
        <v>18116051</v>
      </c>
      <c r="B61" s="22">
        <v>18111054</v>
      </c>
      <c r="C61" s="23">
        <v>251</v>
      </c>
      <c r="D61" s="24" t="s">
        <v>184</v>
      </c>
      <c r="E61" s="25" t="s">
        <v>185</v>
      </c>
      <c r="F61" s="26">
        <v>266</v>
      </c>
      <c r="G61" s="62">
        <v>43427</v>
      </c>
      <c r="H61" s="27">
        <v>18430</v>
      </c>
      <c r="I61" s="39" t="s">
        <v>869</v>
      </c>
      <c r="J61" s="62">
        <v>43430</v>
      </c>
      <c r="K61" s="22" t="s">
        <v>260</v>
      </c>
      <c r="L61" s="28" t="s">
        <v>1217</v>
      </c>
      <c r="M61" s="22" t="s">
        <v>52</v>
      </c>
      <c r="N61" s="29">
        <v>11214.95</v>
      </c>
      <c r="O61" s="29">
        <f t="shared" si="10"/>
        <v>785.04650000000004</v>
      </c>
      <c r="P61" s="29">
        <f t="shared" si="11"/>
        <v>11999.996500000001</v>
      </c>
      <c r="Q61" s="61"/>
      <c r="R61" s="96"/>
      <c r="S61" s="97"/>
      <c r="T61" s="98"/>
      <c r="U61" s="99"/>
      <c r="V61" s="35">
        <f>N61</f>
        <v>11214.95</v>
      </c>
      <c r="W61" s="36">
        <v>0.32</v>
      </c>
      <c r="X61" s="36">
        <f>V61*W61/100</f>
        <v>35.887840000000004</v>
      </c>
      <c r="Y61" s="37">
        <v>0.2</v>
      </c>
      <c r="Z61" s="38">
        <f>V61*Y61/100</f>
        <v>22.429900000000004</v>
      </c>
      <c r="AA61" s="40">
        <v>18110480</v>
      </c>
      <c r="AB61" s="41">
        <v>11214.95</v>
      </c>
      <c r="AC61" s="52">
        <f>AB61*7/100</f>
        <v>785.04650000000004</v>
      </c>
      <c r="AD61" s="52">
        <f>AB61+AC61</f>
        <v>11999.996500000001</v>
      </c>
      <c r="AE61" s="53">
        <v>43462</v>
      </c>
      <c r="AF61" s="39" t="s">
        <v>869</v>
      </c>
      <c r="AI61" s="21" t="s">
        <v>1454</v>
      </c>
      <c r="AJ61" s="44">
        <v>1</v>
      </c>
      <c r="AK61" s="45" t="s">
        <v>890</v>
      </c>
      <c r="AM61" s="46" t="s">
        <v>869</v>
      </c>
      <c r="AN61" s="47">
        <v>1</v>
      </c>
      <c r="AO61" s="48" t="s">
        <v>634</v>
      </c>
      <c r="AQ61" s="54"/>
      <c r="AR61" s="44"/>
      <c r="AS61" s="44"/>
      <c r="AT61" s="44"/>
      <c r="AU61" s="54"/>
      <c r="AW61" s="54"/>
      <c r="AX61" s="44"/>
      <c r="AY61" s="44"/>
      <c r="AZ61" s="44"/>
      <c r="BA61" s="54"/>
      <c r="BC61" s="54"/>
      <c r="BD61" s="44"/>
      <c r="BE61" s="44"/>
      <c r="BF61" s="44"/>
      <c r="BG61" s="54"/>
      <c r="BI61" s="54"/>
      <c r="BJ61" s="44"/>
      <c r="BK61" s="44"/>
      <c r="BL61" s="44"/>
      <c r="BM61" s="44"/>
      <c r="BO61" s="54"/>
      <c r="BP61" s="44"/>
      <c r="BQ61" s="44"/>
      <c r="BR61" s="44"/>
      <c r="BS61" s="44"/>
      <c r="BU61" s="54"/>
      <c r="BV61" s="44"/>
      <c r="BW61" s="44"/>
      <c r="BX61" s="44"/>
      <c r="BY61" s="44"/>
      <c r="CA61" s="54"/>
      <c r="CB61" s="44"/>
      <c r="CC61" s="44"/>
      <c r="CD61" s="44"/>
      <c r="CE61" s="44"/>
    </row>
    <row r="62" spans="1:83" x14ac:dyDescent="0.5">
      <c r="A62" s="227">
        <v>18116050</v>
      </c>
      <c r="B62" s="22">
        <v>18111049</v>
      </c>
      <c r="C62" s="55"/>
      <c r="D62" s="56"/>
      <c r="E62" s="57"/>
      <c r="F62" s="58"/>
      <c r="G62" s="59"/>
      <c r="H62" s="60"/>
      <c r="I62" s="269"/>
      <c r="J62" s="59"/>
      <c r="K62" s="22" t="s">
        <v>1211</v>
      </c>
      <c r="L62" s="28" t="s">
        <v>1212</v>
      </c>
      <c r="M62" s="22" t="s">
        <v>51</v>
      </c>
      <c r="N62" s="29">
        <v>50500</v>
      </c>
      <c r="O62" s="29">
        <f t="shared" ref="O62:O68" si="14">N62*7/100</f>
        <v>3535</v>
      </c>
      <c r="P62" s="29">
        <f t="shared" ref="P62:P68" si="15">N62+O62</f>
        <v>54035</v>
      </c>
      <c r="Q62" s="61"/>
      <c r="R62" s="96"/>
      <c r="S62" s="97"/>
      <c r="T62" s="98"/>
      <c r="U62" s="99"/>
      <c r="V62" s="100"/>
      <c r="W62" s="99"/>
      <c r="X62" s="99"/>
      <c r="Y62" s="100"/>
      <c r="Z62" s="101"/>
      <c r="AA62" s="40">
        <v>18120524</v>
      </c>
      <c r="AB62" s="41">
        <v>50500</v>
      </c>
      <c r="AC62" s="52">
        <f>AB62*7/100</f>
        <v>3535</v>
      </c>
      <c r="AD62" s="52">
        <f>AB62+AC62</f>
        <v>54035</v>
      </c>
      <c r="AE62" s="53">
        <v>43486</v>
      </c>
      <c r="AF62" s="39" t="s">
        <v>869</v>
      </c>
      <c r="AI62" s="21" t="s">
        <v>1806</v>
      </c>
      <c r="AJ62" s="44">
        <v>1</v>
      </c>
      <c r="AK62" s="45" t="s">
        <v>1214</v>
      </c>
      <c r="AN62" s="47">
        <v>1</v>
      </c>
      <c r="AO62" s="48" t="s">
        <v>628</v>
      </c>
      <c r="AQ62" s="54"/>
      <c r="AR62" s="44"/>
      <c r="AS62" s="44"/>
      <c r="AT62" s="44"/>
      <c r="AU62" s="54"/>
      <c r="AW62" s="54"/>
      <c r="AX62" s="44"/>
      <c r="AY62" s="44"/>
      <c r="AZ62" s="44"/>
      <c r="BA62" s="54"/>
      <c r="BC62" s="54"/>
      <c r="BD62" s="44"/>
      <c r="BE62" s="44"/>
      <c r="BF62" s="44"/>
      <c r="BG62" s="54"/>
      <c r="BI62" s="54"/>
      <c r="BJ62" s="44"/>
      <c r="BK62" s="44"/>
      <c r="BL62" s="44"/>
      <c r="BM62" s="44"/>
      <c r="BO62" s="54"/>
      <c r="BP62" s="44"/>
      <c r="BQ62" s="44"/>
      <c r="BR62" s="44"/>
      <c r="BS62" s="44"/>
      <c r="BU62" s="54"/>
      <c r="BV62" s="44"/>
      <c r="BW62" s="44"/>
      <c r="BX62" s="44"/>
      <c r="BY62" s="44"/>
      <c r="CA62" s="54"/>
      <c r="CB62" s="44"/>
      <c r="CC62" s="44"/>
      <c r="CD62" s="44"/>
      <c r="CE62" s="44"/>
    </row>
    <row r="63" spans="1:83" x14ac:dyDescent="0.5">
      <c r="A63" s="21">
        <v>18116049</v>
      </c>
      <c r="B63" s="22">
        <v>18111048</v>
      </c>
      <c r="C63" s="55"/>
      <c r="D63" s="56"/>
      <c r="E63" s="57"/>
      <c r="F63" s="58"/>
      <c r="G63" s="59"/>
      <c r="H63" s="60"/>
      <c r="I63" s="269"/>
      <c r="J63" s="59"/>
      <c r="K63" s="22" t="s">
        <v>171</v>
      </c>
      <c r="L63" s="28" t="s">
        <v>172</v>
      </c>
      <c r="M63" s="22" t="s">
        <v>51</v>
      </c>
      <c r="N63" s="29">
        <v>17250</v>
      </c>
      <c r="O63" s="29">
        <f t="shared" si="14"/>
        <v>1207.5</v>
      </c>
      <c r="P63" s="29">
        <f t="shared" si="15"/>
        <v>18457.5</v>
      </c>
      <c r="Q63" s="61"/>
      <c r="R63" s="96"/>
      <c r="S63" s="97"/>
      <c r="T63" s="98"/>
      <c r="U63" s="99"/>
      <c r="V63" s="100"/>
      <c r="W63" s="99"/>
      <c r="X63" s="99"/>
      <c r="Y63" s="100"/>
      <c r="Z63" s="101"/>
      <c r="AJ63" s="44">
        <v>1</v>
      </c>
      <c r="AK63" s="45" t="s">
        <v>1215</v>
      </c>
      <c r="AN63" s="47">
        <v>1</v>
      </c>
      <c r="AO63" s="48" t="s">
        <v>628</v>
      </c>
      <c r="AQ63" s="54"/>
      <c r="AR63" s="44"/>
      <c r="AS63" s="44"/>
      <c r="AT63" s="44"/>
      <c r="AU63" s="54"/>
      <c r="AW63" s="54"/>
      <c r="AX63" s="44"/>
      <c r="AY63" s="44"/>
      <c r="AZ63" s="44"/>
      <c r="BA63" s="54"/>
      <c r="BC63" s="54"/>
      <c r="BD63" s="44"/>
      <c r="BE63" s="44"/>
      <c r="BF63" s="44"/>
      <c r="BG63" s="54"/>
      <c r="BI63" s="54"/>
      <c r="BJ63" s="44"/>
      <c r="BK63" s="44"/>
      <c r="BL63" s="44"/>
      <c r="BM63" s="44"/>
      <c r="BO63" s="54"/>
      <c r="BP63" s="44"/>
      <c r="BQ63" s="44"/>
      <c r="BR63" s="44"/>
      <c r="BS63" s="44"/>
      <c r="BU63" s="54"/>
      <c r="BV63" s="44"/>
      <c r="BW63" s="44"/>
      <c r="BX63" s="44"/>
      <c r="BY63" s="44"/>
      <c r="CA63" s="54"/>
      <c r="CB63" s="44"/>
      <c r="CC63" s="44"/>
      <c r="CD63" s="44"/>
      <c r="CE63" s="44"/>
    </row>
    <row r="64" spans="1:83" x14ac:dyDescent="0.5">
      <c r="A64" s="259">
        <v>18116048</v>
      </c>
      <c r="B64" s="104">
        <v>18111047</v>
      </c>
      <c r="C64" s="105">
        <v>250</v>
      </c>
      <c r="D64" s="106" t="s">
        <v>184</v>
      </c>
      <c r="E64" s="107" t="s">
        <v>1324</v>
      </c>
      <c r="F64" s="108" t="s">
        <v>1444</v>
      </c>
      <c r="G64" s="122">
        <v>43487</v>
      </c>
      <c r="H64" s="109">
        <v>19024</v>
      </c>
      <c r="I64" s="127" t="s">
        <v>869</v>
      </c>
      <c r="J64" s="122">
        <v>43489</v>
      </c>
      <c r="K64" s="104" t="s">
        <v>1180</v>
      </c>
      <c r="L64" s="110" t="s">
        <v>1213</v>
      </c>
      <c r="M64" s="104" t="s">
        <v>53</v>
      </c>
      <c r="N64" s="111">
        <v>66450</v>
      </c>
      <c r="O64" s="111">
        <f t="shared" si="14"/>
        <v>4651.5</v>
      </c>
      <c r="P64" s="111">
        <f t="shared" si="15"/>
        <v>71101.5</v>
      </c>
      <c r="Q64" s="311">
        <v>17600</v>
      </c>
      <c r="R64" s="113" t="s">
        <v>1204</v>
      </c>
      <c r="S64" s="114">
        <f>N64-Q64</f>
        <v>48850</v>
      </c>
      <c r="T64" s="115">
        <v>1.49</v>
      </c>
      <c r="U64" s="116">
        <v>730</v>
      </c>
      <c r="V64" s="117">
        <f>S64-U64</f>
        <v>48120</v>
      </c>
      <c r="W64" s="118">
        <v>0.27</v>
      </c>
      <c r="X64" s="118">
        <f>V64*W64/100</f>
        <v>129.92400000000001</v>
      </c>
      <c r="Y64" s="119">
        <v>0.2</v>
      </c>
      <c r="Z64" s="120">
        <f>V64*Y64/100</f>
        <v>96.24</v>
      </c>
      <c r="AA64" s="229">
        <v>18110471</v>
      </c>
      <c r="AB64" s="230">
        <v>19935</v>
      </c>
      <c r="AC64" s="220">
        <f>AB64*7/100</f>
        <v>1395.45</v>
      </c>
      <c r="AD64" s="220">
        <f>AB64+AC64</f>
        <v>21330.45</v>
      </c>
      <c r="AE64" s="221">
        <v>43425</v>
      </c>
      <c r="AF64" s="121" t="s">
        <v>869</v>
      </c>
      <c r="AG64" s="121"/>
      <c r="AH64" s="121"/>
      <c r="AI64" s="222" t="s">
        <v>1262</v>
      </c>
      <c r="AJ64" s="128">
        <v>1</v>
      </c>
      <c r="AK64" s="129" t="s">
        <v>1216</v>
      </c>
      <c r="AL64" s="130"/>
      <c r="AM64" s="130" t="s">
        <v>869</v>
      </c>
      <c r="AN64" s="131">
        <v>1</v>
      </c>
      <c r="AO64" s="132" t="s">
        <v>636</v>
      </c>
      <c r="AP64" s="128"/>
      <c r="AQ64" s="133"/>
      <c r="AR64" s="128"/>
      <c r="AS64" s="128"/>
      <c r="AT64" s="128"/>
      <c r="AU64" s="133"/>
      <c r="AV64" s="128"/>
      <c r="AW64" s="133"/>
      <c r="AX64" s="128"/>
      <c r="AY64" s="128"/>
      <c r="AZ64" s="128"/>
      <c r="BA64" s="133"/>
      <c r="BB64" s="128"/>
      <c r="BC64" s="133"/>
      <c r="BD64" s="128"/>
      <c r="BE64" s="128"/>
      <c r="BF64" s="128"/>
      <c r="BG64" s="133"/>
      <c r="BH64" s="128"/>
      <c r="BI64" s="133"/>
      <c r="BJ64" s="128"/>
      <c r="BK64" s="128"/>
      <c r="BL64" s="128"/>
      <c r="BM64" s="128"/>
      <c r="BN64" s="128"/>
      <c r="BO64" s="133"/>
      <c r="BP64" s="128"/>
      <c r="BQ64" s="128"/>
      <c r="BR64" s="128"/>
      <c r="BS64" s="128"/>
      <c r="BT64" s="128"/>
      <c r="BU64" s="133"/>
      <c r="BV64" s="128"/>
      <c r="BW64" s="128"/>
      <c r="BX64" s="128"/>
      <c r="BY64" s="128"/>
      <c r="BZ64" s="128"/>
      <c r="CA64" s="133"/>
      <c r="CB64" s="128"/>
      <c r="CC64" s="128"/>
      <c r="CD64" s="128"/>
      <c r="CE64" s="128"/>
    </row>
    <row r="65" spans="1:83" x14ac:dyDescent="0.5">
      <c r="A65" s="268"/>
      <c r="B65" s="181"/>
      <c r="C65" s="182"/>
      <c r="D65" s="183"/>
      <c r="E65" s="184"/>
      <c r="F65" s="185"/>
      <c r="G65" s="181"/>
      <c r="H65" s="187"/>
      <c r="I65" s="199"/>
      <c r="J65" s="181"/>
      <c r="K65" s="181"/>
      <c r="L65" s="188"/>
      <c r="M65" s="181"/>
      <c r="N65" s="189"/>
      <c r="O65" s="189"/>
      <c r="P65" s="189"/>
      <c r="Q65" s="190"/>
      <c r="R65" s="215"/>
      <c r="S65" s="216"/>
      <c r="T65" s="217"/>
      <c r="U65" s="218"/>
      <c r="V65" s="195"/>
      <c r="W65" s="196"/>
      <c r="X65" s="196"/>
      <c r="Y65" s="197"/>
      <c r="Z65" s="198"/>
      <c r="AA65" s="200">
        <v>18120483</v>
      </c>
      <c r="AB65" s="201">
        <v>46515</v>
      </c>
      <c r="AC65" s="202">
        <f>AB65*7/100</f>
        <v>3256.05</v>
      </c>
      <c r="AD65" s="202">
        <f>AB65+AC65</f>
        <v>49771.05</v>
      </c>
      <c r="AE65" s="203">
        <v>43437</v>
      </c>
      <c r="AF65" s="199" t="s">
        <v>869</v>
      </c>
      <c r="AG65" s="199"/>
      <c r="AH65" s="199"/>
      <c r="AI65" s="180" t="s">
        <v>1639</v>
      </c>
      <c r="AJ65" s="204"/>
      <c r="AK65" s="205"/>
      <c r="AL65" s="206"/>
      <c r="AM65" s="206"/>
      <c r="AN65" s="207"/>
      <c r="AO65" s="208"/>
      <c r="AP65" s="204"/>
      <c r="AQ65" s="210"/>
      <c r="AR65" s="204"/>
      <c r="AS65" s="204"/>
      <c r="AT65" s="204"/>
      <c r="AU65" s="210"/>
      <c r="AV65" s="204"/>
      <c r="AW65" s="210"/>
      <c r="AX65" s="204"/>
      <c r="AY65" s="204"/>
      <c r="AZ65" s="204"/>
      <c r="BA65" s="210"/>
      <c r="BB65" s="204"/>
      <c r="BC65" s="210"/>
      <c r="BD65" s="204"/>
      <c r="BE65" s="204"/>
      <c r="BF65" s="204"/>
      <c r="BG65" s="210"/>
      <c r="BH65" s="204"/>
      <c r="BI65" s="210"/>
      <c r="BJ65" s="204"/>
      <c r="BK65" s="204"/>
      <c r="BL65" s="204"/>
      <c r="BM65" s="204"/>
      <c r="BN65" s="204"/>
      <c r="BO65" s="210"/>
      <c r="BP65" s="204"/>
      <c r="BQ65" s="204"/>
      <c r="BR65" s="204"/>
      <c r="BS65" s="204"/>
      <c r="BT65" s="204"/>
      <c r="BU65" s="210"/>
      <c r="BV65" s="204"/>
      <c r="BW65" s="204"/>
      <c r="BX65" s="204"/>
      <c r="BY65" s="204"/>
      <c r="BZ65" s="204"/>
      <c r="CA65" s="210"/>
      <c r="CB65" s="204"/>
      <c r="CC65" s="204"/>
      <c r="CD65" s="204"/>
      <c r="CE65" s="204"/>
    </row>
    <row r="66" spans="1:83" x14ac:dyDescent="0.5">
      <c r="A66" s="227">
        <v>18116047</v>
      </c>
      <c r="B66" s="22">
        <v>18111046</v>
      </c>
      <c r="C66" s="55"/>
      <c r="D66" s="56"/>
      <c r="E66" s="57"/>
      <c r="F66" s="58"/>
      <c r="G66" s="59"/>
      <c r="H66" s="60"/>
      <c r="I66" s="269"/>
      <c r="J66" s="59"/>
      <c r="K66" s="22" t="s">
        <v>23</v>
      </c>
      <c r="L66" s="28" t="s">
        <v>1209</v>
      </c>
      <c r="M66" s="22" t="s">
        <v>51</v>
      </c>
      <c r="N66" s="29">
        <v>1800</v>
      </c>
      <c r="O66" s="29">
        <f t="shared" si="14"/>
        <v>126</v>
      </c>
      <c r="P66" s="29">
        <f t="shared" si="15"/>
        <v>1926</v>
      </c>
      <c r="Q66" s="61"/>
      <c r="R66" s="96"/>
      <c r="S66" s="97"/>
      <c r="T66" s="98"/>
      <c r="U66" s="99"/>
      <c r="V66" s="100"/>
      <c r="W66" s="99"/>
      <c r="X66" s="99"/>
      <c r="Y66" s="100"/>
      <c r="Z66" s="101"/>
      <c r="AA66" s="40">
        <v>18110470</v>
      </c>
      <c r="AB66" s="41">
        <v>1800</v>
      </c>
      <c r="AC66" s="63">
        <f>AB66*7/100</f>
        <v>126</v>
      </c>
      <c r="AD66" s="64">
        <f>AB66+AC66</f>
        <v>1926</v>
      </c>
      <c r="AE66" s="53">
        <v>43455</v>
      </c>
      <c r="AF66" s="39" t="s">
        <v>869</v>
      </c>
      <c r="AI66" s="21" t="s">
        <v>1461</v>
      </c>
      <c r="AJ66" s="44">
        <v>1</v>
      </c>
      <c r="AK66" s="45" t="s">
        <v>1210</v>
      </c>
      <c r="AN66" s="47">
        <v>3</v>
      </c>
      <c r="AO66" s="48" t="s">
        <v>628</v>
      </c>
      <c r="AQ66" s="54"/>
      <c r="AR66" s="44"/>
      <c r="AS66" s="44"/>
      <c r="AT66" s="44"/>
      <c r="AU66" s="54"/>
      <c r="AW66" s="54"/>
      <c r="AX66" s="44"/>
      <c r="AY66" s="44"/>
      <c r="AZ66" s="44"/>
      <c r="BA66" s="54"/>
      <c r="BC66" s="54"/>
      <c r="BD66" s="44"/>
      <c r="BE66" s="44"/>
      <c r="BF66" s="44"/>
      <c r="BG66" s="54"/>
      <c r="BI66" s="54"/>
      <c r="BJ66" s="44"/>
      <c r="BK66" s="44"/>
      <c r="BL66" s="44"/>
      <c r="BM66" s="44"/>
      <c r="BO66" s="54"/>
      <c r="BP66" s="44"/>
      <c r="BQ66" s="44"/>
      <c r="BR66" s="44"/>
      <c r="BS66" s="44"/>
      <c r="BU66" s="54"/>
      <c r="BV66" s="44"/>
      <c r="BW66" s="44"/>
      <c r="BX66" s="44"/>
      <c r="BY66" s="44"/>
      <c r="CA66" s="54"/>
      <c r="CB66" s="44"/>
      <c r="CC66" s="44"/>
      <c r="CD66" s="44"/>
      <c r="CE66" s="44"/>
    </row>
    <row r="67" spans="1:83" s="95" customFormat="1" x14ac:dyDescent="0.5">
      <c r="A67" s="65">
        <v>18116046</v>
      </c>
      <c r="B67" s="66">
        <v>18111044</v>
      </c>
      <c r="C67" s="312"/>
      <c r="D67" s="313"/>
      <c r="E67" s="314"/>
      <c r="F67" s="315"/>
      <c r="G67" s="316"/>
      <c r="H67" s="317"/>
      <c r="I67" s="835"/>
      <c r="J67" s="316"/>
      <c r="K67" s="66" t="s">
        <v>23</v>
      </c>
      <c r="L67" s="72" t="s">
        <v>1209</v>
      </c>
      <c r="M67" s="66" t="s">
        <v>51</v>
      </c>
      <c r="N67" s="73">
        <v>600</v>
      </c>
      <c r="O67" s="73">
        <f t="shared" si="14"/>
        <v>42</v>
      </c>
      <c r="P67" s="73">
        <f t="shared" si="15"/>
        <v>642</v>
      </c>
      <c r="Q67" s="318"/>
      <c r="R67" s="319"/>
      <c r="S67" s="320"/>
      <c r="T67" s="321"/>
      <c r="U67" s="322"/>
      <c r="V67" s="323"/>
      <c r="W67" s="322"/>
      <c r="X67" s="322"/>
      <c r="Y67" s="323"/>
      <c r="Z67" s="324"/>
      <c r="AA67" s="84"/>
      <c r="AB67" s="85"/>
      <c r="AC67" s="86"/>
      <c r="AD67" s="86"/>
      <c r="AE67" s="87"/>
      <c r="AF67" s="83"/>
      <c r="AG67" s="83"/>
      <c r="AH67" s="83"/>
      <c r="AI67" s="65"/>
      <c r="AJ67" s="88">
        <v>1</v>
      </c>
      <c r="AK67" s="89" t="s">
        <v>1210</v>
      </c>
      <c r="AL67" s="90"/>
      <c r="AM67" s="90"/>
      <c r="AN67" s="91">
        <v>3</v>
      </c>
      <c r="AO67" s="92" t="s">
        <v>628</v>
      </c>
      <c r="AP67" s="88"/>
      <c r="AQ67" s="94"/>
      <c r="AR67" s="88"/>
      <c r="AS67" s="88"/>
      <c r="AT67" s="88"/>
      <c r="AU67" s="94"/>
      <c r="AV67" s="88"/>
      <c r="AW67" s="94"/>
      <c r="AX67" s="88"/>
      <c r="AY67" s="88"/>
      <c r="AZ67" s="88"/>
      <c r="BA67" s="94"/>
      <c r="BB67" s="88"/>
      <c r="BC67" s="94"/>
      <c r="BD67" s="88"/>
      <c r="BE67" s="88"/>
      <c r="BF67" s="88"/>
      <c r="BG67" s="94"/>
      <c r="BH67" s="88"/>
      <c r="BI67" s="94"/>
      <c r="BJ67" s="88"/>
      <c r="BK67" s="88"/>
      <c r="BL67" s="88"/>
      <c r="BM67" s="88"/>
      <c r="BN67" s="88"/>
      <c r="BO67" s="94"/>
      <c r="BP67" s="88"/>
      <c r="BQ67" s="88"/>
      <c r="BR67" s="88"/>
      <c r="BS67" s="88"/>
      <c r="BT67" s="88"/>
      <c r="BU67" s="94"/>
      <c r="BV67" s="88"/>
      <c r="BW67" s="88"/>
      <c r="BX67" s="88"/>
      <c r="BY67" s="88"/>
      <c r="BZ67" s="88"/>
      <c r="CA67" s="94"/>
      <c r="CB67" s="88"/>
      <c r="CC67" s="88"/>
      <c r="CD67" s="88"/>
      <c r="CE67" s="88"/>
    </row>
    <row r="68" spans="1:83" x14ac:dyDescent="0.5">
      <c r="A68" s="227">
        <v>18116045</v>
      </c>
      <c r="B68" s="22">
        <v>18100971</v>
      </c>
      <c r="C68" s="23">
        <v>249</v>
      </c>
      <c r="D68" s="24" t="s">
        <v>184</v>
      </c>
      <c r="E68" s="25" t="s">
        <v>185</v>
      </c>
      <c r="F68" s="26">
        <v>264</v>
      </c>
      <c r="G68" s="62">
        <v>43427</v>
      </c>
      <c r="H68" s="27">
        <v>18429</v>
      </c>
      <c r="I68" s="39" t="s">
        <v>869</v>
      </c>
      <c r="J68" s="62">
        <v>43430</v>
      </c>
      <c r="K68" s="22" t="s">
        <v>206</v>
      </c>
      <c r="L68" s="28" t="s">
        <v>1208</v>
      </c>
      <c r="M68" s="22" t="s">
        <v>52</v>
      </c>
      <c r="N68" s="29">
        <v>67289.72</v>
      </c>
      <c r="O68" s="29">
        <f t="shared" si="14"/>
        <v>4710.2804000000006</v>
      </c>
      <c r="P68" s="29">
        <f t="shared" si="15"/>
        <v>72000.000400000004</v>
      </c>
      <c r="Q68" s="30">
        <v>7000</v>
      </c>
      <c r="R68" s="31" t="s">
        <v>568</v>
      </c>
      <c r="S68" s="32">
        <f>N68-Q68</f>
        <v>60289.72</v>
      </c>
      <c r="T68" s="33">
        <v>5</v>
      </c>
      <c r="U68" s="34">
        <f>S68*T68/100</f>
        <v>3014.4859999999999</v>
      </c>
      <c r="V68" s="35">
        <f>S68-U68</f>
        <v>57275.234000000004</v>
      </c>
      <c r="W68" s="36">
        <v>0.27</v>
      </c>
      <c r="X68" s="36">
        <f>V68*W68/100</f>
        <v>154.64313180000002</v>
      </c>
      <c r="Y68" s="37">
        <v>0.2</v>
      </c>
      <c r="Z68" s="38">
        <f>V68*Y68/100</f>
        <v>114.55046800000002</v>
      </c>
      <c r="AA68" s="40">
        <v>18110469</v>
      </c>
      <c r="AB68" s="41">
        <v>67289.72</v>
      </c>
      <c r="AC68" s="63">
        <f>AB68*7/100</f>
        <v>4710.2804000000006</v>
      </c>
      <c r="AD68" s="64">
        <f>AB68+AC68</f>
        <v>72000.000400000004</v>
      </c>
      <c r="AE68" s="53">
        <v>43425</v>
      </c>
      <c r="AF68" s="39" t="s">
        <v>869</v>
      </c>
      <c r="AI68" s="21" t="s">
        <v>1265</v>
      </c>
      <c r="AJ68" s="44">
        <v>1</v>
      </c>
      <c r="AK68" s="45" t="s">
        <v>599</v>
      </c>
      <c r="AM68" s="46" t="s">
        <v>869</v>
      </c>
      <c r="AN68" s="47">
        <v>1</v>
      </c>
      <c r="AO68" s="48" t="s">
        <v>634</v>
      </c>
      <c r="AP68" s="44">
        <v>2</v>
      </c>
      <c r="AQ68" s="40" t="s">
        <v>600</v>
      </c>
      <c r="AS68" s="47" t="s">
        <v>869</v>
      </c>
      <c r="AT68" s="47">
        <v>1</v>
      </c>
      <c r="AU68" s="49" t="s">
        <v>636</v>
      </c>
      <c r="AW68" s="54"/>
      <c r="AX68" s="44"/>
      <c r="AY68" s="44"/>
      <c r="AZ68" s="44"/>
      <c r="BA68" s="54"/>
      <c r="BC68" s="54"/>
      <c r="BD68" s="44"/>
      <c r="BE68" s="44"/>
      <c r="BF68" s="44"/>
      <c r="BG68" s="54"/>
      <c r="BI68" s="54"/>
      <c r="BJ68" s="44"/>
      <c r="BK68" s="44"/>
      <c r="BL68" s="44"/>
      <c r="BM68" s="44"/>
      <c r="BO68" s="54"/>
      <c r="BP68" s="44"/>
      <c r="BQ68" s="44"/>
      <c r="BR68" s="44"/>
      <c r="BS68" s="44"/>
      <c r="BU68" s="54"/>
      <c r="BV68" s="44"/>
      <c r="BW68" s="44"/>
      <c r="BX68" s="44"/>
      <c r="BY68" s="44"/>
      <c r="CA68" s="54"/>
      <c r="CB68" s="44"/>
      <c r="CC68" s="44"/>
      <c r="CD68" s="44"/>
      <c r="CE68" s="44"/>
    </row>
    <row r="69" spans="1:83" x14ac:dyDescent="0.5">
      <c r="A69" s="21" t="s">
        <v>1479</v>
      </c>
      <c r="B69" s="22">
        <v>18111045</v>
      </c>
      <c r="C69" s="55"/>
      <c r="D69" s="56"/>
      <c r="E69" s="57"/>
      <c r="F69" s="58"/>
      <c r="G69" s="59"/>
      <c r="H69" s="60"/>
      <c r="I69" s="269"/>
      <c r="J69" s="59"/>
      <c r="K69" s="22" t="s">
        <v>1115</v>
      </c>
      <c r="L69" s="28" t="s">
        <v>1207</v>
      </c>
      <c r="M69" s="22" t="s">
        <v>53</v>
      </c>
      <c r="N69" s="29">
        <v>59000</v>
      </c>
      <c r="O69" s="29" t="s">
        <v>402</v>
      </c>
      <c r="P69" s="29">
        <f>N69</f>
        <v>59000</v>
      </c>
      <c r="Q69" s="61"/>
      <c r="R69" s="96"/>
      <c r="S69" s="97"/>
      <c r="T69" s="98"/>
      <c r="U69" s="99"/>
      <c r="V69" s="100"/>
      <c r="W69" s="99"/>
      <c r="X69" s="99"/>
      <c r="Y69" s="100"/>
      <c r="Z69" s="101"/>
      <c r="AJ69" s="44">
        <v>1</v>
      </c>
      <c r="AK69" s="45" t="s">
        <v>404</v>
      </c>
      <c r="AN69" s="47">
        <v>1</v>
      </c>
      <c r="AO69" s="102"/>
      <c r="AQ69" s="54"/>
      <c r="AR69" s="44"/>
      <c r="AS69" s="44"/>
      <c r="AT69" s="44"/>
      <c r="AU69" s="54"/>
      <c r="AW69" s="54"/>
      <c r="AX69" s="44"/>
      <c r="AY69" s="44"/>
      <c r="AZ69" s="44"/>
      <c r="BA69" s="54"/>
      <c r="BC69" s="54"/>
      <c r="BD69" s="44"/>
      <c r="BE69" s="44"/>
      <c r="BF69" s="44"/>
      <c r="BG69" s="54"/>
      <c r="BI69" s="54"/>
      <c r="BJ69" s="44"/>
      <c r="BK69" s="44"/>
      <c r="BL69" s="44"/>
      <c r="BM69" s="44"/>
      <c r="BO69" s="54"/>
      <c r="BP69" s="44"/>
      <c r="BQ69" s="44"/>
      <c r="BR69" s="44"/>
      <c r="BS69" s="44"/>
      <c r="BU69" s="54"/>
      <c r="BV69" s="44"/>
      <c r="BW69" s="44"/>
      <c r="BX69" s="44"/>
      <c r="BY69" s="44"/>
      <c r="CA69" s="54"/>
      <c r="CB69" s="44"/>
      <c r="CC69" s="44"/>
      <c r="CD69" s="44"/>
      <c r="CE69" s="44"/>
    </row>
    <row r="70" spans="1:83" x14ac:dyDescent="0.5">
      <c r="A70" s="259">
        <v>18116044</v>
      </c>
      <c r="B70" s="104">
        <v>18111018</v>
      </c>
      <c r="C70" s="105">
        <v>248</v>
      </c>
      <c r="D70" s="106" t="s">
        <v>184</v>
      </c>
      <c r="E70" s="107" t="s">
        <v>185</v>
      </c>
      <c r="F70" s="108">
        <v>272</v>
      </c>
      <c r="G70" s="211">
        <v>43433</v>
      </c>
      <c r="H70" s="164">
        <v>18437</v>
      </c>
      <c r="I70" s="248" t="s">
        <v>869</v>
      </c>
      <c r="J70" s="122">
        <v>43434</v>
      </c>
      <c r="K70" s="104" t="s">
        <v>1200</v>
      </c>
      <c r="L70" s="110" t="s">
        <v>1201</v>
      </c>
      <c r="M70" s="104" t="s">
        <v>53</v>
      </c>
      <c r="N70" s="111">
        <v>700000</v>
      </c>
      <c r="O70" s="111">
        <f>N70*7/100</f>
        <v>49000</v>
      </c>
      <c r="P70" s="111">
        <f>N70+O70</f>
        <v>749000</v>
      </c>
      <c r="Q70" s="212"/>
      <c r="R70" s="113" t="s">
        <v>1196</v>
      </c>
      <c r="S70" s="114">
        <f>N70</f>
        <v>700000</v>
      </c>
      <c r="T70" s="115">
        <v>2.14</v>
      </c>
      <c r="U70" s="116">
        <v>15000</v>
      </c>
      <c r="V70" s="117">
        <f>S70-U70</f>
        <v>685000</v>
      </c>
      <c r="W70" s="118">
        <v>0.25</v>
      </c>
      <c r="X70" s="118">
        <f>V70*W70/100</f>
        <v>1712.5</v>
      </c>
      <c r="Y70" s="119">
        <v>0.2</v>
      </c>
      <c r="Z70" s="120">
        <f>V70*Y70/100</f>
        <v>1370</v>
      </c>
      <c r="AA70" s="229">
        <v>18110438</v>
      </c>
      <c r="AB70" s="230">
        <v>210000</v>
      </c>
      <c r="AC70" s="220">
        <f>AB70*7/100</f>
        <v>14700</v>
      </c>
      <c r="AD70" s="220">
        <f>AB70+AC70</f>
        <v>224700</v>
      </c>
      <c r="AE70" s="221">
        <v>43420</v>
      </c>
      <c r="AF70" s="121" t="s">
        <v>869</v>
      </c>
      <c r="AG70" s="121"/>
      <c r="AH70" s="121"/>
      <c r="AI70" s="222" t="s">
        <v>1309</v>
      </c>
      <c r="AJ70" s="128">
        <v>1</v>
      </c>
      <c r="AK70" s="129" t="s">
        <v>1203</v>
      </c>
      <c r="AL70" s="130"/>
      <c r="AM70" s="130" t="s">
        <v>1205</v>
      </c>
      <c r="AN70" s="131">
        <v>5</v>
      </c>
      <c r="AO70" s="132" t="s">
        <v>634</v>
      </c>
      <c r="AP70" s="128">
        <v>2</v>
      </c>
      <c r="AQ70" s="123" t="s">
        <v>723</v>
      </c>
      <c r="AR70" s="131"/>
      <c r="AS70" s="130" t="s">
        <v>1205</v>
      </c>
      <c r="AT70" s="131">
        <v>2</v>
      </c>
      <c r="AU70" s="169" t="s">
        <v>634</v>
      </c>
      <c r="AV70" s="128"/>
      <c r="AW70" s="133"/>
      <c r="AX70" s="128"/>
      <c r="AY70" s="128"/>
      <c r="AZ70" s="128"/>
      <c r="BA70" s="133"/>
      <c r="BB70" s="128"/>
      <c r="BC70" s="133"/>
      <c r="BD70" s="128"/>
      <c r="BE70" s="128"/>
      <c r="BF70" s="128"/>
      <c r="BG70" s="133"/>
      <c r="BH70" s="128"/>
      <c r="BI70" s="133"/>
      <c r="BJ70" s="128"/>
      <c r="BK70" s="128"/>
      <c r="BL70" s="128"/>
      <c r="BM70" s="128"/>
      <c r="BN70" s="128"/>
      <c r="BO70" s="133"/>
      <c r="BP70" s="128"/>
      <c r="BQ70" s="128"/>
      <c r="BR70" s="128"/>
      <c r="BS70" s="128"/>
      <c r="BT70" s="128"/>
      <c r="BU70" s="133"/>
      <c r="BV70" s="128"/>
      <c r="BW70" s="128"/>
      <c r="BX70" s="128"/>
      <c r="BY70" s="128"/>
      <c r="BZ70" s="128"/>
      <c r="CA70" s="133"/>
      <c r="CB70" s="128"/>
      <c r="CC70" s="128"/>
      <c r="CD70" s="128"/>
      <c r="CE70" s="128"/>
    </row>
    <row r="71" spans="1:83" x14ac:dyDescent="0.5">
      <c r="A71" s="262"/>
      <c r="B71" s="135"/>
      <c r="C71" s="136"/>
      <c r="D71" s="137"/>
      <c r="E71" s="138"/>
      <c r="F71" s="139"/>
      <c r="G71" s="170">
        <v>43433</v>
      </c>
      <c r="H71" s="251">
        <v>18438</v>
      </c>
      <c r="I71" s="252"/>
      <c r="J71" s="179"/>
      <c r="K71" s="135"/>
      <c r="L71" s="141"/>
      <c r="M71" s="135"/>
      <c r="N71" s="142"/>
      <c r="O71" s="142"/>
      <c r="P71" s="142"/>
      <c r="Q71" s="213"/>
      <c r="R71" s="144"/>
      <c r="S71" s="145"/>
      <c r="T71" s="146"/>
      <c r="U71" s="147"/>
      <c r="V71" s="148"/>
      <c r="W71" s="149"/>
      <c r="X71" s="149"/>
      <c r="Y71" s="150"/>
      <c r="Z71" s="151"/>
      <c r="AA71" s="154">
        <v>18110479</v>
      </c>
      <c r="AB71" s="155">
        <v>490000</v>
      </c>
      <c r="AC71" s="156">
        <f>AB71*7/100</f>
        <v>34300</v>
      </c>
      <c r="AD71" s="156">
        <f>AB71+AC71</f>
        <v>524300</v>
      </c>
      <c r="AE71" s="157">
        <v>43431</v>
      </c>
      <c r="AF71" s="152" t="s">
        <v>869</v>
      </c>
      <c r="AG71" s="152"/>
      <c r="AH71" s="152"/>
      <c r="AI71" s="134" t="s">
        <v>1303</v>
      </c>
      <c r="AJ71" s="158"/>
      <c r="AK71" s="159"/>
      <c r="AL71" s="160"/>
      <c r="AM71" s="160"/>
      <c r="AN71" s="161"/>
      <c r="AO71" s="162"/>
      <c r="AP71" s="158"/>
      <c r="AQ71" s="154"/>
      <c r="AR71" s="161"/>
      <c r="AS71" s="160"/>
      <c r="AT71" s="161"/>
      <c r="AU71" s="177"/>
      <c r="AV71" s="158"/>
      <c r="AW71" s="163"/>
      <c r="AX71" s="158"/>
      <c r="AY71" s="158"/>
      <c r="AZ71" s="158"/>
      <c r="BA71" s="163"/>
      <c r="BB71" s="158"/>
      <c r="BC71" s="163"/>
      <c r="BD71" s="158"/>
      <c r="BE71" s="158"/>
      <c r="BF71" s="158"/>
      <c r="BG71" s="163"/>
      <c r="BH71" s="158"/>
      <c r="BI71" s="163"/>
      <c r="BJ71" s="158"/>
      <c r="BK71" s="158"/>
      <c r="BL71" s="158"/>
      <c r="BM71" s="158"/>
      <c r="BN71" s="158"/>
      <c r="BO71" s="163"/>
      <c r="BP71" s="158"/>
      <c r="BQ71" s="158"/>
      <c r="BR71" s="158"/>
      <c r="BS71" s="158"/>
      <c r="BT71" s="158"/>
      <c r="BU71" s="163"/>
      <c r="BV71" s="158"/>
      <c r="BW71" s="158"/>
      <c r="BX71" s="158"/>
      <c r="BY71" s="158"/>
      <c r="BZ71" s="158"/>
      <c r="CA71" s="163"/>
      <c r="CB71" s="158"/>
      <c r="CC71" s="158"/>
      <c r="CD71" s="158"/>
      <c r="CE71" s="158"/>
    </row>
    <row r="72" spans="1:83" x14ac:dyDescent="0.5">
      <c r="A72" s="262"/>
      <c r="B72" s="135"/>
      <c r="C72" s="136"/>
      <c r="D72" s="137"/>
      <c r="E72" s="249"/>
      <c r="F72" s="250"/>
      <c r="G72" s="178">
        <v>43433</v>
      </c>
      <c r="H72" s="140">
        <v>18439</v>
      </c>
      <c r="I72" s="252"/>
      <c r="J72" s="179"/>
      <c r="K72" s="135"/>
      <c r="L72" s="141"/>
      <c r="M72" s="135"/>
      <c r="N72" s="142"/>
      <c r="O72" s="142"/>
      <c r="P72" s="142"/>
      <c r="Q72" s="213"/>
      <c r="R72" s="144"/>
      <c r="S72" s="145"/>
      <c r="T72" s="146"/>
      <c r="U72" s="147"/>
      <c r="V72" s="148"/>
      <c r="W72" s="149"/>
      <c r="X72" s="149"/>
      <c r="Y72" s="150"/>
      <c r="Z72" s="151"/>
      <c r="AA72" s="154"/>
      <c r="AB72" s="155"/>
      <c r="AC72" s="156"/>
      <c r="AD72" s="156"/>
      <c r="AE72" s="157"/>
      <c r="AF72" s="152"/>
      <c r="AG72" s="152"/>
      <c r="AH72" s="152"/>
      <c r="AI72" s="134"/>
      <c r="AJ72" s="158"/>
      <c r="AK72" s="159"/>
      <c r="AL72" s="160"/>
      <c r="AM72" s="160"/>
      <c r="AN72" s="161"/>
      <c r="AO72" s="162"/>
      <c r="AP72" s="158"/>
      <c r="AQ72" s="154"/>
      <c r="AR72" s="161"/>
      <c r="AS72" s="160"/>
      <c r="AT72" s="161"/>
      <c r="AU72" s="177"/>
      <c r="AV72" s="158"/>
      <c r="AW72" s="163"/>
      <c r="AX72" s="158"/>
      <c r="AY72" s="158"/>
      <c r="AZ72" s="158"/>
      <c r="BA72" s="163"/>
      <c r="BB72" s="158"/>
      <c r="BC72" s="163"/>
      <c r="BD72" s="158"/>
      <c r="BE72" s="158"/>
      <c r="BF72" s="158"/>
      <c r="BG72" s="163"/>
      <c r="BH72" s="158"/>
      <c r="BI72" s="163"/>
      <c r="BJ72" s="158"/>
      <c r="BK72" s="158"/>
      <c r="BL72" s="158"/>
      <c r="BM72" s="158"/>
      <c r="BN72" s="158"/>
      <c r="BO72" s="163"/>
      <c r="BP72" s="158"/>
      <c r="BQ72" s="158"/>
      <c r="BR72" s="158"/>
      <c r="BS72" s="158"/>
      <c r="BT72" s="158"/>
      <c r="BU72" s="163"/>
      <c r="BV72" s="158"/>
      <c r="BW72" s="158"/>
      <c r="BX72" s="158"/>
      <c r="BY72" s="158"/>
      <c r="BZ72" s="158"/>
      <c r="CA72" s="163"/>
      <c r="CB72" s="158"/>
      <c r="CC72" s="158"/>
      <c r="CD72" s="158"/>
      <c r="CE72" s="158"/>
    </row>
    <row r="73" spans="1:83" x14ac:dyDescent="0.5">
      <c r="A73" s="262">
        <v>18116044</v>
      </c>
      <c r="B73" s="135"/>
      <c r="C73" s="136"/>
      <c r="D73" s="137"/>
      <c r="E73" s="138" t="s">
        <v>1324</v>
      </c>
      <c r="F73" s="139" t="s">
        <v>1362</v>
      </c>
      <c r="G73" s="179">
        <v>43479</v>
      </c>
      <c r="H73" s="271">
        <v>19013</v>
      </c>
      <c r="I73" s="252"/>
      <c r="J73" s="179">
        <v>43480</v>
      </c>
      <c r="K73" s="135" t="s">
        <v>1200</v>
      </c>
      <c r="L73" s="141" t="s">
        <v>1201</v>
      </c>
      <c r="M73" s="135"/>
      <c r="N73" s="142"/>
      <c r="O73" s="142"/>
      <c r="P73" s="142"/>
      <c r="Q73" s="213"/>
      <c r="R73" s="144"/>
      <c r="S73" s="145"/>
      <c r="T73" s="146"/>
      <c r="U73" s="147"/>
      <c r="V73" s="148"/>
      <c r="W73" s="149"/>
      <c r="X73" s="149"/>
      <c r="Y73" s="150"/>
      <c r="Z73" s="151"/>
      <c r="AA73" s="154"/>
      <c r="AB73" s="155"/>
      <c r="AC73" s="156"/>
      <c r="AD73" s="156"/>
      <c r="AE73" s="157"/>
      <c r="AF73" s="152"/>
      <c r="AG73" s="152"/>
      <c r="AH73" s="152"/>
      <c r="AI73" s="134"/>
      <c r="AJ73" s="158"/>
      <c r="AK73" s="159"/>
      <c r="AL73" s="160"/>
      <c r="AM73" s="160"/>
      <c r="AN73" s="161"/>
      <c r="AO73" s="162"/>
      <c r="AP73" s="158"/>
      <c r="AQ73" s="154"/>
      <c r="AR73" s="161"/>
      <c r="AS73" s="160"/>
      <c r="AT73" s="161"/>
      <c r="AU73" s="177"/>
      <c r="AV73" s="158"/>
      <c r="AW73" s="163"/>
      <c r="AX73" s="158"/>
      <c r="AY73" s="158"/>
      <c r="AZ73" s="158"/>
      <c r="BA73" s="163"/>
      <c r="BB73" s="158"/>
      <c r="BC73" s="163"/>
      <c r="BD73" s="158"/>
      <c r="BE73" s="158"/>
      <c r="BF73" s="158"/>
      <c r="BG73" s="163"/>
      <c r="BH73" s="158"/>
      <c r="BI73" s="163"/>
      <c r="BJ73" s="158"/>
      <c r="BK73" s="158"/>
      <c r="BL73" s="158"/>
      <c r="BM73" s="158"/>
      <c r="BN73" s="158"/>
      <c r="BO73" s="163"/>
      <c r="BP73" s="158"/>
      <c r="BQ73" s="158"/>
      <c r="BR73" s="158"/>
      <c r="BS73" s="158"/>
      <c r="BT73" s="158"/>
      <c r="BU73" s="163"/>
      <c r="BV73" s="158"/>
      <c r="BW73" s="158"/>
      <c r="BX73" s="158"/>
      <c r="BY73" s="158"/>
      <c r="BZ73" s="158"/>
      <c r="CA73" s="163"/>
      <c r="CB73" s="158"/>
      <c r="CC73" s="158"/>
      <c r="CD73" s="158"/>
      <c r="CE73" s="158"/>
    </row>
    <row r="74" spans="1:83" x14ac:dyDescent="0.5">
      <c r="A74" s="259">
        <v>18116043</v>
      </c>
      <c r="B74" s="104">
        <v>18111038</v>
      </c>
      <c r="C74" s="105">
        <v>247</v>
      </c>
      <c r="D74" s="106" t="s">
        <v>184</v>
      </c>
      <c r="E74" s="107" t="s">
        <v>1324</v>
      </c>
      <c r="F74" s="108" t="s">
        <v>1446</v>
      </c>
      <c r="G74" s="211">
        <v>43487</v>
      </c>
      <c r="H74" s="164">
        <v>19025</v>
      </c>
      <c r="I74" s="127" t="s">
        <v>869</v>
      </c>
      <c r="J74" s="122">
        <v>43489</v>
      </c>
      <c r="K74" s="104" t="s">
        <v>1180</v>
      </c>
      <c r="L74" s="110" t="s">
        <v>1181</v>
      </c>
      <c r="M74" s="104" t="s">
        <v>53</v>
      </c>
      <c r="N74" s="111">
        <v>967050</v>
      </c>
      <c r="O74" s="111">
        <f>N74*7/100</f>
        <v>67693.5</v>
      </c>
      <c r="P74" s="111">
        <f>N74+O74</f>
        <v>1034743.5</v>
      </c>
      <c r="Q74" s="311">
        <v>56000</v>
      </c>
      <c r="R74" s="113" t="s">
        <v>1204</v>
      </c>
      <c r="S74" s="114">
        <f>N74-Q74</f>
        <v>911050</v>
      </c>
      <c r="T74" s="115">
        <v>5</v>
      </c>
      <c r="U74" s="116">
        <f>S74*T74/100</f>
        <v>45552.5</v>
      </c>
      <c r="V74" s="117">
        <f>S74-U74</f>
        <v>865497.5</v>
      </c>
      <c r="W74" s="118">
        <v>0.36</v>
      </c>
      <c r="X74" s="118">
        <f>V74*W74/100</f>
        <v>3115.7909999999997</v>
      </c>
      <c r="Y74" s="119">
        <v>0.2</v>
      </c>
      <c r="Z74" s="120">
        <f>V74*Y74/100</f>
        <v>1730.9949999999999</v>
      </c>
      <c r="AA74" s="229">
        <v>18110437</v>
      </c>
      <c r="AB74" s="230">
        <v>290115</v>
      </c>
      <c r="AC74" s="220">
        <f>AB74*7/100</f>
        <v>20308.05</v>
      </c>
      <c r="AD74" s="220">
        <f>AB74+AC74</f>
        <v>310423.05</v>
      </c>
      <c r="AE74" s="221">
        <v>43420</v>
      </c>
      <c r="AF74" s="121" t="s">
        <v>869</v>
      </c>
      <c r="AG74" s="121"/>
      <c r="AH74" s="121"/>
      <c r="AI74" s="222" t="s">
        <v>1262</v>
      </c>
      <c r="AJ74" s="128">
        <v>1</v>
      </c>
      <c r="AK74" s="129" t="s">
        <v>1199</v>
      </c>
      <c r="AL74" s="130"/>
      <c r="AM74" s="130" t="s">
        <v>1205</v>
      </c>
      <c r="AN74" s="131">
        <v>1</v>
      </c>
      <c r="AO74" s="132" t="s">
        <v>634</v>
      </c>
      <c r="AP74" s="128"/>
      <c r="AQ74" s="133"/>
      <c r="AR74" s="128"/>
      <c r="AS74" s="128"/>
      <c r="AT74" s="128"/>
      <c r="AU74" s="133"/>
      <c r="AV74" s="128"/>
      <c r="AW74" s="133"/>
      <c r="AX74" s="128"/>
      <c r="AY74" s="128"/>
      <c r="AZ74" s="128"/>
      <c r="BA74" s="133"/>
      <c r="BB74" s="128"/>
      <c r="BC74" s="133"/>
      <c r="BD74" s="128"/>
      <c r="BE74" s="128"/>
      <c r="BF74" s="128"/>
      <c r="BG74" s="133"/>
      <c r="BH74" s="128"/>
      <c r="BI74" s="133"/>
      <c r="BJ74" s="128"/>
      <c r="BK74" s="128"/>
      <c r="BL74" s="128"/>
      <c r="BM74" s="128"/>
      <c r="BN74" s="128"/>
      <c r="BO74" s="133"/>
      <c r="BP74" s="128"/>
      <c r="BQ74" s="128"/>
      <c r="BR74" s="128"/>
      <c r="BS74" s="128"/>
      <c r="BT74" s="128"/>
      <c r="BU74" s="133"/>
      <c r="BV74" s="128"/>
      <c r="BW74" s="128"/>
      <c r="BX74" s="128"/>
      <c r="BY74" s="128"/>
      <c r="BZ74" s="128"/>
      <c r="CA74" s="133"/>
      <c r="CB74" s="128"/>
      <c r="CC74" s="128"/>
      <c r="CD74" s="128"/>
      <c r="CE74" s="128"/>
    </row>
    <row r="75" spans="1:83" x14ac:dyDescent="0.5">
      <c r="A75" s="268"/>
      <c r="B75" s="181"/>
      <c r="C75" s="182"/>
      <c r="D75" s="183"/>
      <c r="E75" s="184"/>
      <c r="F75" s="185"/>
      <c r="G75" s="186">
        <v>43487</v>
      </c>
      <c r="H75" s="187">
        <v>19026</v>
      </c>
      <c r="I75" s="199"/>
      <c r="J75" s="181"/>
      <c r="K75" s="181"/>
      <c r="L75" s="188"/>
      <c r="M75" s="181"/>
      <c r="N75" s="189"/>
      <c r="O75" s="189"/>
      <c r="P75" s="189"/>
      <c r="Q75" s="190"/>
      <c r="R75" s="215"/>
      <c r="S75" s="216"/>
      <c r="T75" s="217"/>
      <c r="U75" s="218"/>
      <c r="V75" s="195"/>
      <c r="W75" s="196"/>
      <c r="X75" s="196"/>
      <c r="Y75" s="197"/>
      <c r="Z75" s="198"/>
      <c r="AA75" s="200">
        <v>18120482</v>
      </c>
      <c r="AB75" s="201">
        <v>676935</v>
      </c>
      <c r="AC75" s="202">
        <f>AB75*7/100</f>
        <v>47385.45</v>
      </c>
      <c r="AD75" s="202">
        <f>AB75+AC75</f>
        <v>724320.45</v>
      </c>
      <c r="AE75" s="203">
        <v>43437</v>
      </c>
      <c r="AF75" s="199" t="s">
        <v>869</v>
      </c>
      <c r="AG75" s="199"/>
      <c r="AH75" s="199"/>
      <c r="AI75" s="180" t="s">
        <v>1639</v>
      </c>
      <c r="AJ75" s="204"/>
      <c r="AK75" s="205"/>
      <c r="AL75" s="206"/>
      <c r="AM75" s="206"/>
      <c r="AN75" s="207"/>
      <c r="AO75" s="208"/>
      <c r="AP75" s="204"/>
      <c r="AQ75" s="210"/>
      <c r="AR75" s="204"/>
      <c r="AS75" s="204"/>
      <c r="AT75" s="204"/>
      <c r="AU75" s="210"/>
      <c r="AV75" s="204"/>
      <c r="AW75" s="210"/>
      <c r="AX75" s="204"/>
      <c r="AY75" s="204"/>
      <c r="AZ75" s="204"/>
      <c r="BA75" s="210"/>
      <c r="BB75" s="204"/>
      <c r="BC75" s="210"/>
      <c r="BD75" s="204"/>
      <c r="BE75" s="204"/>
      <c r="BF75" s="204"/>
      <c r="BG75" s="210"/>
      <c r="BH75" s="204"/>
      <c r="BI75" s="210"/>
      <c r="BJ75" s="204"/>
      <c r="BK75" s="204"/>
      <c r="BL75" s="204"/>
      <c r="BM75" s="204"/>
      <c r="BN75" s="204"/>
      <c r="BO75" s="210"/>
      <c r="BP75" s="204"/>
      <c r="BQ75" s="204"/>
      <c r="BR75" s="204"/>
      <c r="BS75" s="204"/>
      <c r="BT75" s="204"/>
      <c r="BU75" s="210"/>
      <c r="BV75" s="204"/>
      <c r="BW75" s="204"/>
      <c r="BX75" s="204"/>
      <c r="BY75" s="204"/>
      <c r="BZ75" s="204"/>
      <c r="CA75" s="210"/>
      <c r="CB75" s="204"/>
      <c r="CC75" s="204"/>
      <c r="CD75" s="204"/>
      <c r="CE75" s="204"/>
    </row>
    <row r="76" spans="1:83" x14ac:dyDescent="0.5">
      <c r="A76" s="227">
        <v>18116042</v>
      </c>
      <c r="B76" s="22">
        <v>18111036</v>
      </c>
      <c r="C76" s="55"/>
      <c r="D76" s="56"/>
      <c r="E76" s="57"/>
      <c r="F76" s="58"/>
      <c r="G76" s="59"/>
      <c r="H76" s="60"/>
      <c r="I76" s="269"/>
      <c r="J76" s="59"/>
      <c r="K76" s="22" t="s">
        <v>227</v>
      </c>
      <c r="L76" s="28" t="s">
        <v>821</v>
      </c>
      <c r="M76" s="22" t="s">
        <v>51</v>
      </c>
      <c r="N76" s="29">
        <v>38700</v>
      </c>
      <c r="O76" s="29">
        <f>N76*7/100</f>
        <v>2709</v>
      </c>
      <c r="P76" s="29">
        <f>N76+O76</f>
        <v>41409</v>
      </c>
      <c r="Q76" s="61"/>
      <c r="R76" s="96"/>
      <c r="S76" s="97"/>
      <c r="T76" s="98"/>
      <c r="U76" s="99"/>
      <c r="V76" s="100"/>
      <c r="W76" s="99"/>
      <c r="X76" s="99"/>
      <c r="Y76" s="100"/>
      <c r="Z76" s="101"/>
      <c r="AA76" s="40">
        <v>18120495</v>
      </c>
      <c r="AB76" s="41">
        <v>38700</v>
      </c>
      <c r="AC76" s="63">
        <f>AB76*7/100</f>
        <v>2709</v>
      </c>
      <c r="AD76" s="63">
        <f>AB76+AC76</f>
        <v>41409</v>
      </c>
      <c r="AE76" s="53">
        <v>43471</v>
      </c>
      <c r="AF76" s="39" t="s">
        <v>869</v>
      </c>
      <c r="AI76" s="21" t="s">
        <v>2365</v>
      </c>
      <c r="AJ76" s="44">
        <v>1</v>
      </c>
      <c r="AK76" s="45" t="s">
        <v>959</v>
      </c>
      <c r="AN76" s="47">
        <v>1</v>
      </c>
      <c r="AO76" s="48" t="s">
        <v>628</v>
      </c>
      <c r="AQ76" s="54"/>
      <c r="AR76" s="44"/>
      <c r="AS76" s="44"/>
      <c r="AT76" s="44"/>
      <c r="AU76" s="54"/>
      <c r="AW76" s="54"/>
      <c r="AX76" s="44"/>
      <c r="AY76" s="44"/>
      <c r="AZ76" s="44"/>
      <c r="BA76" s="54"/>
      <c r="BC76" s="54"/>
      <c r="BD76" s="44"/>
      <c r="BE76" s="44"/>
      <c r="BF76" s="44"/>
      <c r="BG76" s="54"/>
      <c r="BI76" s="54"/>
      <c r="BJ76" s="44"/>
      <c r="BK76" s="44"/>
      <c r="BL76" s="44"/>
      <c r="BM76" s="44"/>
      <c r="BO76" s="54"/>
      <c r="BP76" s="44"/>
      <c r="BQ76" s="44"/>
      <c r="BR76" s="44"/>
      <c r="BS76" s="44"/>
      <c r="BU76" s="54"/>
      <c r="BV76" s="44"/>
      <c r="BW76" s="44"/>
      <c r="BX76" s="44"/>
      <c r="BY76" s="44"/>
      <c r="CA76" s="54"/>
      <c r="CB76" s="44"/>
      <c r="CC76" s="44"/>
      <c r="CD76" s="44"/>
      <c r="CE76" s="44"/>
    </row>
    <row r="77" spans="1:83" x14ac:dyDescent="0.5">
      <c r="A77" s="227">
        <v>18116041</v>
      </c>
      <c r="B77" s="22">
        <v>18111035</v>
      </c>
      <c r="C77" s="23">
        <v>246</v>
      </c>
      <c r="D77" s="24" t="s">
        <v>184</v>
      </c>
      <c r="E77" s="25" t="s">
        <v>185</v>
      </c>
      <c r="F77" s="26">
        <v>257</v>
      </c>
      <c r="G77" s="62">
        <v>43424</v>
      </c>
      <c r="H77" s="27">
        <v>18420</v>
      </c>
      <c r="I77" s="39" t="s">
        <v>869</v>
      </c>
      <c r="J77" s="62">
        <v>43424</v>
      </c>
      <c r="K77" s="22" t="s">
        <v>23</v>
      </c>
      <c r="L77" s="28" t="s">
        <v>1202</v>
      </c>
      <c r="M77" s="22" t="s">
        <v>51</v>
      </c>
      <c r="N77" s="29">
        <v>12800</v>
      </c>
      <c r="O77" s="29">
        <f>N77*7/100</f>
        <v>896</v>
      </c>
      <c r="P77" s="29">
        <f>N77+O77</f>
        <v>13696</v>
      </c>
      <c r="Q77" s="61"/>
      <c r="R77" s="96"/>
      <c r="S77" s="97"/>
      <c r="T77" s="98"/>
      <c r="U77" s="99"/>
      <c r="V77" s="100"/>
      <c r="W77" s="99"/>
      <c r="X77" s="99"/>
      <c r="Y77" s="100"/>
      <c r="Z77" s="101"/>
      <c r="AA77" s="40">
        <v>18110462</v>
      </c>
      <c r="AB77" s="41">
        <v>12800</v>
      </c>
      <c r="AC77" s="52">
        <f t="shared" ref="AC77:AC83" si="16">AB77*7/100</f>
        <v>896</v>
      </c>
      <c r="AD77" s="52">
        <f t="shared" ref="AD77:AD83" si="17">AB77+AC77</f>
        <v>13696</v>
      </c>
      <c r="AE77" s="53">
        <v>43453</v>
      </c>
      <c r="AF77" s="39" t="s">
        <v>869</v>
      </c>
      <c r="AI77" s="21" t="s">
        <v>1461</v>
      </c>
      <c r="AJ77" s="44">
        <v>1</v>
      </c>
      <c r="AK77" s="45" t="s">
        <v>1142</v>
      </c>
      <c r="AL77" s="46" t="s">
        <v>1205</v>
      </c>
      <c r="AN77" s="47">
        <v>2</v>
      </c>
      <c r="AO77" s="48" t="s">
        <v>633</v>
      </c>
      <c r="AQ77" s="54"/>
      <c r="AR77" s="44"/>
      <c r="AS77" s="44"/>
      <c r="AT77" s="44"/>
      <c r="AU77" s="54"/>
      <c r="AW77" s="54"/>
      <c r="AX77" s="44"/>
      <c r="AY77" s="44"/>
      <c r="AZ77" s="44"/>
      <c r="BA77" s="54"/>
      <c r="BC77" s="54"/>
      <c r="BD77" s="44"/>
      <c r="BE77" s="44"/>
      <c r="BF77" s="44"/>
      <c r="BG77" s="54"/>
      <c r="BI77" s="54"/>
      <c r="BJ77" s="44"/>
      <c r="BK77" s="44"/>
      <c r="BL77" s="44"/>
      <c r="BM77" s="44"/>
      <c r="BO77" s="54"/>
      <c r="BP77" s="44"/>
      <c r="BQ77" s="44"/>
      <c r="BR77" s="44"/>
      <c r="BS77" s="44"/>
      <c r="BU77" s="54"/>
      <c r="BV77" s="44"/>
      <c r="BW77" s="44"/>
      <c r="BX77" s="44"/>
      <c r="BY77" s="44"/>
      <c r="CA77" s="54"/>
      <c r="CB77" s="44"/>
      <c r="CC77" s="44"/>
      <c r="CD77" s="44"/>
      <c r="CE77" s="44"/>
    </row>
    <row r="78" spans="1:83" s="338" customFormat="1" x14ac:dyDescent="0.5">
      <c r="A78" s="325">
        <v>18116040</v>
      </c>
      <c r="B78" s="326">
        <v>18110997</v>
      </c>
      <c r="C78" s="327">
        <v>245</v>
      </c>
      <c r="D78" s="328" t="s">
        <v>184</v>
      </c>
      <c r="E78" s="329"/>
      <c r="F78" s="330"/>
      <c r="G78" s="326"/>
      <c r="H78" s="331"/>
      <c r="I78" s="334"/>
      <c r="J78" s="326"/>
      <c r="K78" s="326" t="s">
        <v>1180</v>
      </c>
      <c r="L78" s="332" t="s">
        <v>1181</v>
      </c>
      <c r="M78" s="326" t="s">
        <v>53</v>
      </c>
      <c r="N78" s="333">
        <v>1934100</v>
      </c>
      <c r="O78" s="333">
        <f>N78*7/100</f>
        <v>135387</v>
      </c>
      <c r="P78" s="333">
        <f>N78+O78</f>
        <v>2069487</v>
      </c>
      <c r="Q78" s="74"/>
      <c r="R78" s="75"/>
      <c r="S78" s="76"/>
      <c r="T78" s="77"/>
      <c r="U78" s="78"/>
      <c r="V78" s="79"/>
      <c r="W78" s="80"/>
      <c r="X78" s="80"/>
      <c r="Y78" s="81"/>
      <c r="Z78" s="82"/>
      <c r="AA78" s="84">
        <v>18110436</v>
      </c>
      <c r="AB78" s="335">
        <v>580230</v>
      </c>
      <c r="AC78" s="336">
        <f t="shared" si="16"/>
        <v>40616.1</v>
      </c>
      <c r="AD78" s="336">
        <f t="shared" si="17"/>
        <v>620846.1</v>
      </c>
      <c r="AE78" s="337">
        <v>43419</v>
      </c>
      <c r="AF78" s="334"/>
      <c r="AG78" s="334"/>
      <c r="AH78" s="334" t="s">
        <v>1205</v>
      </c>
      <c r="AI78" s="325"/>
      <c r="AJ78" s="88">
        <v>1</v>
      </c>
      <c r="AK78" s="89" t="s">
        <v>1199</v>
      </c>
      <c r="AL78" s="90"/>
      <c r="AM78" s="90" t="s">
        <v>1205</v>
      </c>
      <c r="AN78" s="91">
        <v>1</v>
      </c>
      <c r="AO78" s="92" t="s">
        <v>634</v>
      </c>
      <c r="AP78" s="88"/>
      <c r="AQ78" s="94"/>
      <c r="AR78" s="88"/>
      <c r="AS78" s="88"/>
      <c r="AT78" s="88"/>
      <c r="AU78" s="94"/>
      <c r="AV78" s="88"/>
      <c r="AW78" s="94"/>
      <c r="AX78" s="88"/>
      <c r="AY78" s="88"/>
      <c r="AZ78" s="88"/>
      <c r="BA78" s="94"/>
      <c r="BB78" s="88"/>
      <c r="BC78" s="94"/>
      <c r="BD78" s="88"/>
      <c r="BE78" s="88"/>
      <c r="BF78" s="88"/>
      <c r="BG78" s="94"/>
      <c r="BH78" s="88"/>
      <c r="BI78" s="94"/>
      <c r="BJ78" s="88"/>
      <c r="BK78" s="88"/>
      <c r="BL78" s="88"/>
      <c r="BM78" s="88"/>
      <c r="BN78" s="88"/>
      <c r="BO78" s="94"/>
      <c r="BP78" s="88"/>
      <c r="BQ78" s="88"/>
      <c r="BR78" s="88"/>
      <c r="BS78" s="88"/>
      <c r="BT78" s="88"/>
      <c r="BU78" s="94"/>
      <c r="BV78" s="88"/>
      <c r="BW78" s="88"/>
      <c r="BX78" s="88"/>
      <c r="BY78" s="88"/>
      <c r="BZ78" s="88"/>
      <c r="CA78" s="94"/>
      <c r="CB78" s="88"/>
      <c r="CC78" s="88"/>
      <c r="CD78" s="88"/>
      <c r="CE78" s="88"/>
    </row>
    <row r="79" spans="1:83" x14ac:dyDescent="0.5">
      <c r="A79" s="227">
        <v>18116039</v>
      </c>
      <c r="B79" s="22">
        <v>18111019</v>
      </c>
      <c r="C79" s="55"/>
      <c r="D79" s="56"/>
      <c r="E79" s="57"/>
      <c r="F79" s="58"/>
      <c r="G79" s="59"/>
      <c r="H79" s="60"/>
      <c r="I79" s="39" t="s">
        <v>869</v>
      </c>
      <c r="J79" s="62">
        <v>43417</v>
      </c>
      <c r="K79" s="22" t="s">
        <v>19</v>
      </c>
      <c r="L79" s="28" t="s">
        <v>1147</v>
      </c>
      <c r="M79" s="22" t="s">
        <v>51</v>
      </c>
      <c r="N79" s="29">
        <v>3200</v>
      </c>
      <c r="O79" s="29">
        <f t="shared" ref="O79:O89" si="18">N79*7/100</f>
        <v>224</v>
      </c>
      <c r="P79" s="29">
        <f t="shared" ref="P79:P89" si="19">N79+O79</f>
        <v>3424</v>
      </c>
      <c r="Q79" s="61"/>
      <c r="R79" s="96"/>
      <c r="S79" s="97"/>
      <c r="T79" s="98"/>
      <c r="U79" s="99"/>
      <c r="V79" s="100"/>
      <c r="W79" s="99"/>
      <c r="X79" s="99"/>
      <c r="Y79" s="100"/>
      <c r="Z79" s="101"/>
      <c r="AA79" s="40">
        <v>18110429</v>
      </c>
      <c r="AB79" s="41">
        <v>3200</v>
      </c>
      <c r="AC79" s="52">
        <f t="shared" si="16"/>
        <v>224</v>
      </c>
      <c r="AD79" s="52">
        <f t="shared" si="17"/>
        <v>3424</v>
      </c>
      <c r="AE79" s="53">
        <v>43417</v>
      </c>
      <c r="AF79" s="39" t="s">
        <v>869</v>
      </c>
      <c r="AI79" s="21" t="s">
        <v>1276</v>
      </c>
      <c r="AJ79" s="44">
        <v>1</v>
      </c>
      <c r="AK79" s="45" t="s">
        <v>1148</v>
      </c>
      <c r="AN79" s="47">
        <v>4</v>
      </c>
      <c r="AO79" s="48" t="s">
        <v>628</v>
      </c>
      <c r="AQ79" s="54"/>
      <c r="AR79" s="44"/>
      <c r="AS79" s="44"/>
      <c r="AT79" s="44"/>
      <c r="AU79" s="54"/>
      <c r="AW79" s="54"/>
      <c r="AX79" s="44"/>
      <c r="AY79" s="44"/>
      <c r="AZ79" s="44"/>
      <c r="BA79" s="54"/>
      <c r="BC79" s="54"/>
      <c r="BD79" s="44"/>
      <c r="BE79" s="44"/>
      <c r="BF79" s="44"/>
      <c r="BG79" s="54"/>
      <c r="BI79" s="54"/>
      <c r="BJ79" s="44"/>
      <c r="BK79" s="44"/>
      <c r="BL79" s="44"/>
      <c r="BM79" s="44"/>
      <c r="BO79" s="54"/>
      <c r="BP79" s="44"/>
      <c r="BQ79" s="44"/>
      <c r="BR79" s="44"/>
      <c r="BS79" s="44"/>
      <c r="BU79" s="54"/>
      <c r="BV79" s="44"/>
      <c r="BW79" s="44"/>
      <c r="BX79" s="44"/>
      <c r="BY79" s="44"/>
      <c r="CA79" s="54"/>
      <c r="CB79" s="44"/>
      <c r="CC79" s="44"/>
      <c r="CD79" s="44"/>
      <c r="CE79" s="44"/>
    </row>
    <row r="80" spans="1:83" x14ac:dyDescent="0.5">
      <c r="A80" s="259">
        <v>18116038</v>
      </c>
      <c r="B80" s="104">
        <v>18111016</v>
      </c>
      <c r="C80" s="105">
        <v>244</v>
      </c>
      <c r="D80" s="106" t="s">
        <v>184</v>
      </c>
      <c r="E80" s="107" t="s">
        <v>185</v>
      </c>
      <c r="F80" s="108">
        <v>274</v>
      </c>
      <c r="G80" s="211">
        <v>43442</v>
      </c>
      <c r="H80" s="164">
        <v>18442</v>
      </c>
      <c r="I80" s="127" t="s">
        <v>869</v>
      </c>
      <c r="J80" s="122">
        <v>43441</v>
      </c>
      <c r="K80" s="104" t="s">
        <v>1149</v>
      </c>
      <c r="L80" s="110" t="s">
        <v>1150</v>
      </c>
      <c r="M80" s="104" t="s">
        <v>52</v>
      </c>
      <c r="N80" s="111">
        <v>180000</v>
      </c>
      <c r="O80" s="111">
        <f t="shared" si="18"/>
        <v>12600</v>
      </c>
      <c r="P80" s="111">
        <f t="shared" si="19"/>
        <v>192600</v>
      </c>
      <c r="Q80" s="311">
        <v>14000</v>
      </c>
      <c r="R80" s="113" t="s">
        <v>567</v>
      </c>
      <c r="S80" s="114">
        <f>N80-Q80</f>
        <v>166000</v>
      </c>
      <c r="T80" s="115">
        <v>5</v>
      </c>
      <c r="U80" s="116">
        <f>S80*T80/100</f>
        <v>8300</v>
      </c>
      <c r="V80" s="117">
        <f>S80-U80</f>
        <v>157700</v>
      </c>
      <c r="W80" s="118">
        <v>0.44</v>
      </c>
      <c r="X80" s="118">
        <f>V80*W80/100</f>
        <v>693.88</v>
      </c>
      <c r="Y80" s="119">
        <v>0.2</v>
      </c>
      <c r="Z80" s="120">
        <f>V80*Y80/100</f>
        <v>315.39999999999998</v>
      </c>
      <c r="AA80" s="123">
        <v>18120484</v>
      </c>
      <c r="AB80" s="124">
        <v>180000</v>
      </c>
      <c r="AC80" s="260">
        <f t="shared" si="16"/>
        <v>12600</v>
      </c>
      <c r="AD80" s="260">
        <f t="shared" si="17"/>
        <v>192600</v>
      </c>
      <c r="AE80" s="126">
        <v>43467</v>
      </c>
      <c r="AF80" s="127" t="s">
        <v>869</v>
      </c>
      <c r="AG80" s="127"/>
      <c r="AH80" s="127"/>
      <c r="AI80" s="103" t="s">
        <v>1670</v>
      </c>
      <c r="AJ80" s="128">
        <v>1</v>
      </c>
      <c r="AK80" s="129" t="s">
        <v>1151</v>
      </c>
      <c r="AL80" s="130" t="s">
        <v>1205</v>
      </c>
      <c r="AM80" s="130"/>
      <c r="AN80" s="131">
        <v>3</v>
      </c>
      <c r="AO80" s="132" t="s">
        <v>636</v>
      </c>
      <c r="AP80" s="128"/>
      <c r="AQ80" s="133"/>
      <c r="AR80" s="128"/>
      <c r="AS80" s="128"/>
      <c r="AT80" s="128"/>
      <c r="AU80" s="133"/>
      <c r="AV80" s="128"/>
      <c r="AW80" s="133"/>
      <c r="AX80" s="128"/>
      <c r="AY80" s="128"/>
      <c r="AZ80" s="128"/>
      <c r="BA80" s="133"/>
      <c r="BB80" s="128"/>
      <c r="BC80" s="133"/>
      <c r="BD80" s="128"/>
      <c r="BE80" s="128"/>
      <c r="BF80" s="128"/>
      <c r="BG80" s="133"/>
      <c r="BH80" s="128"/>
      <c r="BI80" s="133"/>
      <c r="BJ80" s="128"/>
      <c r="BK80" s="128"/>
      <c r="BL80" s="128"/>
      <c r="BM80" s="128"/>
      <c r="BN80" s="128"/>
      <c r="BO80" s="133"/>
      <c r="BP80" s="128"/>
      <c r="BQ80" s="128"/>
      <c r="BR80" s="128"/>
      <c r="BS80" s="128"/>
      <c r="BT80" s="128"/>
      <c r="BU80" s="133"/>
      <c r="BV80" s="128"/>
      <c r="BW80" s="128"/>
      <c r="BX80" s="128"/>
      <c r="BY80" s="128"/>
      <c r="BZ80" s="128"/>
      <c r="CA80" s="133"/>
      <c r="CB80" s="128"/>
      <c r="CC80" s="128"/>
      <c r="CD80" s="128"/>
      <c r="CE80" s="128"/>
    </row>
    <row r="81" spans="1:83" x14ac:dyDescent="0.5">
      <c r="A81" s="268"/>
      <c r="B81" s="181"/>
      <c r="C81" s="182"/>
      <c r="D81" s="183"/>
      <c r="E81" s="184"/>
      <c r="F81" s="185"/>
      <c r="G81" s="186">
        <v>43442</v>
      </c>
      <c r="H81" s="187">
        <v>18443</v>
      </c>
      <c r="I81" s="199"/>
      <c r="J81" s="181"/>
      <c r="K81" s="181"/>
      <c r="L81" s="188"/>
      <c r="M81" s="181"/>
      <c r="N81" s="189"/>
      <c r="O81" s="189"/>
      <c r="P81" s="189"/>
      <c r="Q81" s="190"/>
      <c r="R81" s="215"/>
      <c r="S81" s="216"/>
      <c r="T81" s="217"/>
      <c r="U81" s="218"/>
      <c r="V81" s="195"/>
      <c r="W81" s="196"/>
      <c r="X81" s="196"/>
      <c r="Y81" s="197"/>
      <c r="Z81" s="198"/>
      <c r="AA81" s="200"/>
      <c r="AB81" s="201"/>
      <c r="AC81" s="237"/>
      <c r="AD81" s="237"/>
      <c r="AE81" s="203"/>
      <c r="AF81" s="199"/>
      <c r="AG81" s="199"/>
      <c r="AH81" s="199"/>
      <c r="AI81" s="180"/>
      <c r="AJ81" s="204"/>
      <c r="AK81" s="205"/>
      <c r="AL81" s="206"/>
      <c r="AM81" s="206"/>
      <c r="AN81" s="207"/>
      <c r="AO81" s="208"/>
      <c r="AP81" s="204"/>
      <c r="AQ81" s="210"/>
      <c r="AR81" s="204"/>
      <c r="AS81" s="204"/>
      <c r="AT81" s="204"/>
      <c r="AU81" s="210"/>
      <c r="AV81" s="204"/>
      <c r="AW81" s="210"/>
      <c r="AX81" s="204"/>
      <c r="AY81" s="204"/>
      <c r="AZ81" s="204"/>
      <c r="BA81" s="210"/>
      <c r="BB81" s="204"/>
      <c r="BC81" s="210"/>
      <c r="BD81" s="204"/>
      <c r="BE81" s="204"/>
      <c r="BF81" s="204"/>
      <c r="BG81" s="210"/>
      <c r="BH81" s="204"/>
      <c r="BI81" s="210"/>
      <c r="BJ81" s="204"/>
      <c r="BK81" s="204"/>
      <c r="BL81" s="204"/>
      <c r="BM81" s="204"/>
      <c r="BN81" s="204"/>
      <c r="BO81" s="210"/>
      <c r="BP81" s="204"/>
      <c r="BQ81" s="204"/>
      <c r="BR81" s="204"/>
      <c r="BS81" s="204"/>
      <c r="BT81" s="204"/>
      <c r="BU81" s="210"/>
      <c r="BV81" s="204"/>
      <c r="BW81" s="204"/>
      <c r="BX81" s="204"/>
      <c r="BY81" s="204"/>
      <c r="BZ81" s="204"/>
      <c r="CA81" s="210"/>
      <c r="CB81" s="204"/>
      <c r="CC81" s="204"/>
      <c r="CD81" s="204"/>
      <c r="CE81" s="204"/>
    </row>
    <row r="82" spans="1:83" x14ac:dyDescent="0.5">
      <c r="A82" s="227">
        <v>18116037</v>
      </c>
      <c r="B82" s="22">
        <v>18111017</v>
      </c>
      <c r="C82" s="55"/>
      <c r="D82" s="56"/>
      <c r="E82" s="57"/>
      <c r="F82" s="58"/>
      <c r="G82" s="59"/>
      <c r="H82" s="60"/>
      <c r="I82" s="269"/>
      <c r="J82" s="59"/>
      <c r="K82" s="22" t="s">
        <v>273</v>
      </c>
      <c r="L82" s="28" t="s">
        <v>1152</v>
      </c>
      <c r="M82" s="22" t="s">
        <v>51</v>
      </c>
      <c r="N82" s="29">
        <v>16800</v>
      </c>
      <c r="O82" s="29">
        <f t="shared" si="18"/>
        <v>1176</v>
      </c>
      <c r="P82" s="29">
        <f t="shared" si="19"/>
        <v>17976</v>
      </c>
      <c r="U82" s="34"/>
      <c r="V82" s="35"/>
      <c r="W82" s="36"/>
      <c r="X82" s="36"/>
      <c r="Y82" s="37"/>
      <c r="AA82" s="40">
        <v>18110443</v>
      </c>
      <c r="AB82" s="41">
        <v>16800</v>
      </c>
      <c r="AC82" s="52">
        <f t="shared" si="16"/>
        <v>1176</v>
      </c>
      <c r="AD82" s="52">
        <f t="shared" si="17"/>
        <v>17976</v>
      </c>
      <c r="AE82" s="53">
        <v>43450</v>
      </c>
      <c r="AF82" s="39" t="s">
        <v>869</v>
      </c>
      <c r="AI82" s="21" t="s">
        <v>1667</v>
      </c>
      <c r="AJ82" s="44">
        <v>1</v>
      </c>
      <c r="AK82" s="45" t="s">
        <v>1153</v>
      </c>
      <c r="AN82" s="47">
        <v>1</v>
      </c>
      <c r="AO82" s="48" t="s">
        <v>628</v>
      </c>
      <c r="AQ82" s="54"/>
      <c r="AR82" s="44"/>
      <c r="AS82" s="44"/>
      <c r="AT82" s="44"/>
      <c r="AU82" s="54"/>
      <c r="AW82" s="54"/>
      <c r="AX82" s="44"/>
      <c r="AY82" s="44"/>
      <c r="AZ82" s="44"/>
      <c r="BA82" s="54"/>
      <c r="BC82" s="54"/>
      <c r="BD82" s="44"/>
      <c r="BE82" s="44"/>
      <c r="BF82" s="44"/>
      <c r="BG82" s="54"/>
      <c r="BI82" s="54"/>
      <c r="BJ82" s="44"/>
      <c r="BK82" s="44"/>
      <c r="BL82" s="44"/>
      <c r="BM82" s="44"/>
      <c r="BO82" s="54"/>
      <c r="BP82" s="44"/>
      <c r="BQ82" s="44"/>
      <c r="BR82" s="44"/>
      <c r="BS82" s="44"/>
      <c r="BU82" s="54"/>
      <c r="BV82" s="44"/>
      <c r="BW82" s="44"/>
      <c r="BX82" s="44"/>
      <c r="BY82" s="44"/>
      <c r="CA82" s="54"/>
      <c r="CB82" s="44"/>
      <c r="CC82" s="44"/>
      <c r="CD82" s="44"/>
      <c r="CE82" s="44"/>
    </row>
    <row r="83" spans="1:83" x14ac:dyDescent="0.5">
      <c r="A83" s="259">
        <v>18116036</v>
      </c>
      <c r="B83" s="104">
        <v>18116036</v>
      </c>
      <c r="C83" s="105">
        <v>243</v>
      </c>
      <c r="D83" s="106" t="s">
        <v>184</v>
      </c>
      <c r="E83" s="107" t="s">
        <v>185</v>
      </c>
      <c r="F83" s="108">
        <v>268</v>
      </c>
      <c r="G83" s="211">
        <v>43432</v>
      </c>
      <c r="H83" s="164">
        <v>18435</v>
      </c>
      <c r="I83" s="127" t="s">
        <v>869</v>
      </c>
      <c r="J83" s="122">
        <v>43433</v>
      </c>
      <c r="K83" s="104" t="s">
        <v>554</v>
      </c>
      <c r="L83" s="110" t="s">
        <v>1154</v>
      </c>
      <c r="M83" s="104" t="s">
        <v>52</v>
      </c>
      <c r="N83" s="111">
        <v>84000</v>
      </c>
      <c r="O83" s="111">
        <f t="shared" si="18"/>
        <v>5880</v>
      </c>
      <c r="P83" s="111">
        <f t="shared" si="19"/>
        <v>89880</v>
      </c>
      <c r="Q83" s="212"/>
      <c r="R83" s="113" t="s">
        <v>1198</v>
      </c>
      <c r="S83" s="114">
        <f>N83</f>
        <v>84000</v>
      </c>
      <c r="T83" s="115">
        <v>4</v>
      </c>
      <c r="U83" s="116">
        <f>S83*T83/100</f>
        <v>3360</v>
      </c>
      <c r="V83" s="117">
        <f>S83-U83</f>
        <v>80640</v>
      </c>
      <c r="W83" s="118">
        <v>0.21</v>
      </c>
      <c r="X83" s="118">
        <f>V83*W83/100</f>
        <v>169.34399999999997</v>
      </c>
      <c r="Y83" s="119">
        <v>0.2</v>
      </c>
      <c r="Z83" s="120">
        <f>V83*Y83/100</f>
        <v>161.28</v>
      </c>
      <c r="AA83" s="123">
        <v>18110476</v>
      </c>
      <c r="AB83" s="124">
        <v>84000</v>
      </c>
      <c r="AC83" s="260">
        <f t="shared" si="16"/>
        <v>5880</v>
      </c>
      <c r="AD83" s="260">
        <f t="shared" si="17"/>
        <v>89880</v>
      </c>
      <c r="AE83" s="126">
        <v>43431</v>
      </c>
      <c r="AF83" s="127" t="s">
        <v>869</v>
      </c>
      <c r="AG83" s="127"/>
      <c r="AH83" s="127"/>
      <c r="AI83" s="103" t="s">
        <v>1260</v>
      </c>
      <c r="AJ83" s="128">
        <v>1</v>
      </c>
      <c r="AK83" s="129" t="s">
        <v>593</v>
      </c>
      <c r="AL83" s="130"/>
      <c r="AM83" s="130" t="s">
        <v>1205</v>
      </c>
      <c r="AN83" s="131">
        <v>4</v>
      </c>
      <c r="AO83" s="132" t="s">
        <v>634</v>
      </c>
      <c r="AP83" s="128"/>
      <c r="AQ83" s="133"/>
      <c r="AR83" s="128"/>
      <c r="AS83" s="128"/>
      <c r="AT83" s="128"/>
      <c r="AU83" s="133"/>
      <c r="AV83" s="128"/>
      <c r="AW83" s="133"/>
      <c r="AX83" s="128"/>
      <c r="AY83" s="128"/>
      <c r="AZ83" s="128"/>
      <c r="BA83" s="133"/>
      <c r="BB83" s="128"/>
      <c r="BC83" s="133"/>
      <c r="BD83" s="128"/>
      <c r="BE83" s="128"/>
      <c r="BF83" s="128"/>
      <c r="BG83" s="133"/>
      <c r="BH83" s="128"/>
      <c r="BI83" s="133"/>
      <c r="BJ83" s="128"/>
      <c r="BK83" s="128"/>
      <c r="BL83" s="128"/>
      <c r="BM83" s="128"/>
      <c r="BN83" s="128"/>
      <c r="BO83" s="133"/>
      <c r="BP83" s="128"/>
      <c r="BQ83" s="128"/>
      <c r="BR83" s="128"/>
      <c r="BS83" s="128"/>
      <c r="BT83" s="128"/>
      <c r="BU83" s="133"/>
      <c r="BV83" s="128"/>
      <c r="BW83" s="128"/>
      <c r="BX83" s="128"/>
      <c r="BY83" s="128"/>
      <c r="BZ83" s="128"/>
      <c r="CA83" s="133"/>
      <c r="CB83" s="128"/>
      <c r="CC83" s="128"/>
      <c r="CD83" s="128"/>
      <c r="CE83" s="128"/>
    </row>
    <row r="84" spans="1:83" x14ac:dyDescent="0.5">
      <c r="A84" s="262"/>
      <c r="B84" s="135"/>
      <c r="C84" s="136"/>
      <c r="D84" s="137"/>
      <c r="E84" s="138"/>
      <c r="F84" s="139"/>
      <c r="G84" s="179">
        <v>43432</v>
      </c>
      <c r="H84" s="140">
        <v>18436</v>
      </c>
      <c r="I84" s="152"/>
      <c r="J84" s="179"/>
      <c r="K84" s="135"/>
      <c r="L84" s="141"/>
      <c r="M84" s="135"/>
      <c r="N84" s="142"/>
      <c r="O84" s="142"/>
      <c r="P84" s="142"/>
      <c r="Q84" s="213"/>
      <c r="R84" s="144"/>
      <c r="S84" s="145"/>
      <c r="T84" s="146"/>
      <c r="U84" s="147"/>
      <c r="V84" s="148"/>
      <c r="W84" s="149"/>
      <c r="X84" s="149"/>
      <c r="Y84" s="150"/>
      <c r="Z84" s="151"/>
      <c r="AA84" s="154"/>
      <c r="AB84" s="155"/>
      <c r="AC84" s="253"/>
      <c r="AD84" s="253"/>
      <c r="AE84" s="157"/>
      <c r="AF84" s="152"/>
      <c r="AG84" s="152"/>
      <c r="AH84" s="152"/>
      <c r="AI84" s="134"/>
      <c r="AJ84" s="158"/>
      <c r="AK84" s="159"/>
      <c r="AL84" s="160"/>
      <c r="AM84" s="160"/>
      <c r="AN84" s="161"/>
      <c r="AO84" s="162"/>
      <c r="AP84" s="158"/>
      <c r="AQ84" s="163"/>
      <c r="AR84" s="158"/>
      <c r="AS84" s="339"/>
      <c r="AT84" s="158"/>
      <c r="AU84" s="163"/>
      <c r="AV84" s="158"/>
      <c r="AW84" s="163"/>
      <c r="AX84" s="158"/>
      <c r="AY84" s="339"/>
      <c r="AZ84" s="158"/>
      <c r="BA84" s="163"/>
      <c r="BB84" s="158"/>
      <c r="BC84" s="163"/>
      <c r="BD84" s="158"/>
      <c r="BE84" s="158"/>
      <c r="BF84" s="158"/>
      <c r="BG84" s="163"/>
      <c r="BH84" s="158"/>
      <c r="BI84" s="163"/>
      <c r="BJ84" s="158"/>
      <c r="BK84" s="158"/>
      <c r="BL84" s="158"/>
      <c r="BM84" s="158"/>
      <c r="BN84" s="158"/>
      <c r="BO84" s="163"/>
      <c r="BP84" s="158"/>
      <c r="BQ84" s="158"/>
      <c r="BR84" s="158"/>
      <c r="BS84" s="158"/>
      <c r="BT84" s="158"/>
      <c r="BU84" s="163"/>
      <c r="BV84" s="158"/>
      <c r="BW84" s="158"/>
      <c r="BX84" s="158"/>
      <c r="BY84" s="158"/>
      <c r="BZ84" s="158"/>
      <c r="CA84" s="163"/>
      <c r="CB84" s="158"/>
      <c r="CC84" s="158"/>
      <c r="CD84" s="158"/>
      <c r="CE84" s="158"/>
    </row>
    <row r="85" spans="1:83" x14ac:dyDescent="0.5">
      <c r="A85" s="259">
        <v>18116035</v>
      </c>
      <c r="B85" s="104">
        <v>18116035</v>
      </c>
      <c r="C85" s="105">
        <v>242</v>
      </c>
      <c r="D85" s="106" t="s">
        <v>184</v>
      </c>
      <c r="E85" s="107" t="s">
        <v>185</v>
      </c>
      <c r="F85" s="108">
        <v>260</v>
      </c>
      <c r="G85" s="211">
        <v>43426</v>
      </c>
      <c r="H85" s="164">
        <v>18423</v>
      </c>
      <c r="I85" s="127" t="s">
        <v>869</v>
      </c>
      <c r="J85" s="122">
        <v>43427</v>
      </c>
      <c r="K85" s="104" t="s">
        <v>1155</v>
      </c>
      <c r="L85" s="110" t="s">
        <v>1156</v>
      </c>
      <c r="M85" s="104" t="s">
        <v>50</v>
      </c>
      <c r="N85" s="111">
        <v>252336.45</v>
      </c>
      <c r="O85" s="111">
        <f t="shared" si="18"/>
        <v>17663.551500000001</v>
      </c>
      <c r="P85" s="111">
        <f t="shared" si="19"/>
        <v>270000.00150000001</v>
      </c>
      <c r="Q85" s="311">
        <v>10000</v>
      </c>
      <c r="R85" s="113" t="s">
        <v>1197</v>
      </c>
      <c r="S85" s="114">
        <f>N85-Q85</f>
        <v>242336.45</v>
      </c>
      <c r="T85" s="115">
        <v>5</v>
      </c>
      <c r="U85" s="116">
        <f>S85*T85/100</f>
        <v>12116.8225</v>
      </c>
      <c r="V85" s="117">
        <f>S85-U85</f>
        <v>230219.6275</v>
      </c>
      <c r="W85" s="118">
        <v>0.47</v>
      </c>
      <c r="X85" s="118">
        <f>V85*W85/100</f>
        <v>1082.0322492499999</v>
      </c>
      <c r="Y85" s="119">
        <v>0.2</v>
      </c>
      <c r="Z85" s="120">
        <f>V85*Y85/100</f>
        <v>460.43925500000006</v>
      </c>
      <c r="AA85" s="229">
        <v>18110428</v>
      </c>
      <c r="AB85" s="230">
        <v>75700.94</v>
      </c>
      <c r="AC85" s="220">
        <f t="shared" ref="AC85:AC93" si="20">AB85*7/100</f>
        <v>5299.0658000000003</v>
      </c>
      <c r="AD85" s="220">
        <f t="shared" ref="AD85:AD93" si="21">AB85+AC85</f>
        <v>81000.005799999999</v>
      </c>
      <c r="AE85" s="221">
        <v>43416</v>
      </c>
      <c r="AF85" s="121" t="s">
        <v>869</v>
      </c>
      <c r="AG85" s="121"/>
      <c r="AH85" s="121"/>
      <c r="AI85" s="222" t="s">
        <v>1277</v>
      </c>
      <c r="AJ85" s="128">
        <v>1</v>
      </c>
      <c r="AK85" s="129" t="s">
        <v>1157</v>
      </c>
      <c r="AL85" s="130" t="s">
        <v>1205</v>
      </c>
      <c r="AM85" s="130"/>
      <c r="AN85" s="131">
        <v>2</v>
      </c>
      <c r="AO85" s="132" t="s">
        <v>634</v>
      </c>
      <c r="AP85" s="128">
        <v>2</v>
      </c>
      <c r="AQ85" s="123" t="s">
        <v>1158</v>
      </c>
      <c r="AR85" s="131"/>
      <c r="AS85" s="130" t="s">
        <v>1205</v>
      </c>
      <c r="AT85" s="131">
        <v>1</v>
      </c>
      <c r="AU85" s="169" t="s">
        <v>634</v>
      </c>
      <c r="AV85" s="128">
        <v>3</v>
      </c>
      <c r="AW85" s="123" t="s">
        <v>1159</v>
      </c>
      <c r="AX85" s="131"/>
      <c r="AY85" s="130" t="s">
        <v>1205</v>
      </c>
      <c r="AZ85" s="131">
        <v>1</v>
      </c>
      <c r="BA85" s="169" t="s">
        <v>634</v>
      </c>
      <c r="BB85" s="128"/>
      <c r="BC85" s="133"/>
      <c r="BD85" s="128"/>
      <c r="BE85" s="128"/>
      <c r="BF85" s="128"/>
      <c r="BG85" s="133"/>
      <c r="BH85" s="128"/>
      <c r="BI85" s="133"/>
      <c r="BJ85" s="128"/>
      <c r="BK85" s="128"/>
      <c r="BL85" s="128"/>
      <c r="BM85" s="128"/>
      <c r="BN85" s="128"/>
      <c r="BO85" s="133"/>
      <c r="BP85" s="128"/>
      <c r="BQ85" s="128"/>
      <c r="BR85" s="128"/>
      <c r="BS85" s="128"/>
      <c r="BT85" s="128"/>
      <c r="BU85" s="133"/>
      <c r="BV85" s="128"/>
      <c r="BW85" s="128"/>
      <c r="BX85" s="128"/>
      <c r="BY85" s="128"/>
      <c r="BZ85" s="128"/>
      <c r="CA85" s="133"/>
      <c r="CB85" s="128"/>
      <c r="CC85" s="128"/>
      <c r="CD85" s="128"/>
      <c r="CE85" s="128"/>
    </row>
    <row r="86" spans="1:83" x14ac:dyDescent="0.5">
      <c r="A86" s="262"/>
      <c r="B86" s="135"/>
      <c r="C86" s="136"/>
      <c r="D86" s="137"/>
      <c r="E86" s="138"/>
      <c r="F86" s="139"/>
      <c r="G86" s="178">
        <v>43426</v>
      </c>
      <c r="H86" s="171">
        <v>18424</v>
      </c>
      <c r="I86" s="152"/>
      <c r="J86" s="135"/>
      <c r="K86" s="135"/>
      <c r="L86" s="141"/>
      <c r="M86" s="135"/>
      <c r="N86" s="142"/>
      <c r="O86" s="142"/>
      <c r="P86" s="142"/>
      <c r="Q86" s="340"/>
      <c r="R86" s="144"/>
      <c r="S86" s="145"/>
      <c r="T86" s="146"/>
      <c r="U86" s="147"/>
      <c r="V86" s="148"/>
      <c r="W86" s="149"/>
      <c r="X86" s="149"/>
      <c r="Y86" s="150"/>
      <c r="Z86" s="151"/>
      <c r="AA86" s="154">
        <v>18110466</v>
      </c>
      <c r="AB86" s="155">
        <v>176635.51999999999</v>
      </c>
      <c r="AC86" s="156">
        <f>AB86*7/100</f>
        <v>12364.4864</v>
      </c>
      <c r="AD86" s="156">
        <f>AB86+AC86</f>
        <v>189000.00639999998</v>
      </c>
      <c r="AE86" s="157">
        <v>43454</v>
      </c>
      <c r="AF86" s="152" t="s">
        <v>869</v>
      </c>
      <c r="AG86" s="152"/>
      <c r="AH86" s="152"/>
      <c r="AI86" s="900" t="s">
        <v>1255</v>
      </c>
      <c r="AJ86" s="158"/>
      <c r="AK86" s="159"/>
      <c r="AL86" s="161"/>
      <c r="AM86" s="160"/>
      <c r="AN86" s="161"/>
      <c r="AO86" s="162"/>
      <c r="AP86" s="158"/>
      <c r="AQ86" s="154"/>
      <c r="AR86" s="161"/>
      <c r="AS86" s="160"/>
      <c r="AT86" s="161"/>
      <c r="AU86" s="177"/>
      <c r="AV86" s="158"/>
      <c r="AW86" s="154"/>
      <c r="AX86" s="161"/>
      <c r="AY86" s="160"/>
      <c r="AZ86" s="161"/>
      <c r="BA86" s="177"/>
      <c r="BB86" s="158"/>
      <c r="BC86" s="163"/>
      <c r="BD86" s="158"/>
      <c r="BE86" s="158"/>
      <c r="BF86" s="158"/>
      <c r="BG86" s="163"/>
      <c r="BH86" s="158"/>
      <c r="BI86" s="163"/>
      <c r="BJ86" s="158"/>
      <c r="BK86" s="158"/>
      <c r="BL86" s="158"/>
      <c r="BM86" s="158"/>
      <c r="BN86" s="158"/>
      <c r="BO86" s="163"/>
      <c r="BP86" s="158"/>
      <c r="BQ86" s="158"/>
      <c r="BR86" s="158"/>
      <c r="BS86" s="158"/>
      <c r="BT86" s="158"/>
      <c r="BU86" s="163"/>
      <c r="BV86" s="158"/>
      <c r="BW86" s="158"/>
      <c r="BX86" s="158"/>
      <c r="BY86" s="158"/>
      <c r="BZ86" s="158"/>
      <c r="CA86" s="163"/>
      <c r="CB86" s="158"/>
      <c r="CC86" s="158"/>
      <c r="CD86" s="158"/>
      <c r="CE86" s="158"/>
    </row>
    <row r="87" spans="1:83" x14ac:dyDescent="0.5">
      <c r="A87" s="268"/>
      <c r="B87" s="181"/>
      <c r="C87" s="182"/>
      <c r="D87" s="183"/>
      <c r="E87" s="184"/>
      <c r="F87" s="185"/>
      <c r="G87" s="186">
        <v>43440</v>
      </c>
      <c r="H87" s="187">
        <v>18441</v>
      </c>
      <c r="I87" s="199"/>
      <c r="J87" s="181"/>
      <c r="K87" s="181"/>
      <c r="L87" s="188"/>
      <c r="M87" s="181"/>
      <c r="N87" s="189"/>
      <c r="O87" s="189"/>
      <c r="P87" s="189"/>
      <c r="Q87" s="190"/>
      <c r="R87" s="215"/>
      <c r="S87" s="216"/>
      <c r="T87" s="217"/>
      <c r="U87" s="218"/>
      <c r="V87" s="195"/>
      <c r="W87" s="196"/>
      <c r="X87" s="196"/>
      <c r="Y87" s="197"/>
      <c r="Z87" s="198"/>
      <c r="AA87" s="200"/>
      <c r="AB87" s="201"/>
      <c r="AC87" s="202"/>
      <c r="AD87" s="202"/>
      <c r="AE87" s="203"/>
      <c r="AF87" s="199"/>
      <c r="AG87" s="199"/>
      <c r="AH87" s="199"/>
      <c r="AI87" s="180"/>
      <c r="AJ87" s="204"/>
      <c r="AK87" s="205"/>
      <c r="AL87" s="206"/>
      <c r="AM87" s="206"/>
      <c r="AN87" s="207"/>
      <c r="AO87" s="208"/>
      <c r="AP87" s="204"/>
      <c r="AQ87" s="200"/>
      <c r="AR87" s="207"/>
      <c r="AS87" s="206"/>
      <c r="AT87" s="207"/>
      <c r="AU87" s="209"/>
      <c r="AV87" s="204"/>
      <c r="AW87" s="200"/>
      <c r="AX87" s="207"/>
      <c r="AY87" s="206"/>
      <c r="AZ87" s="207"/>
      <c r="BA87" s="209"/>
      <c r="BB87" s="204"/>
      <c r="BC87" s="210"/>
      <c r="BD87" s="204"/>
      <c r="BE87" s="204"/>
      <c r="BF87" s="204"/>
      <c r="BG87" s="210"/>
      <c r="BH87" s="204"/>
      <c r="BI87" s="210"/>
      <c r="BJ87" s="204"/>
      <c r="BK87" s="204"/>
      <c r="BL87" s="204"/>
      <c r="BM87" s="204"/>
      <c r="BN87" s="204"/>
      <c r="BO87" s="210"/>
      <c r="BP87" s="204"/>
      <c r="BQ87" s="204"/>
      <c r="BR87" s="204"/>
      <c r="BS87" s="204"/>
      <c r="BT87" s="204"/>
      <c r="BU87" s="210"/>
      <c r="BV87" s="204"/>
      <c r="BW87" s="204"/>
      <c r="BX87" s="204"/>
      <c r="BY87" s="204"/>
      <c r="BZ87" s="204"/>
      <c r="CA87" s="210"/>
      <c r="CB87" s="204"/>
      <c r="CC87" s="204"/>
      <c r="CD87" s="204"/>
      <c r="CE87" s="204"/>
    </row>
    <row r="88" spans="1:83" x14ac:dyDescent="0.5">
      <c r="A88" s="227">
        <v>18116034</v>
      </c>
      <c r="B88" s="22">
        <v>18111012</v>
      </c>
      <c r="C88" s="23">
        <v>241</v>
      </c>
      <c r="D88" s="24" t="s">
        <v>184</v>
      </c>
      <c r="E88" s="25" t="s">
        <v>185</v>
      </c>
      <c r="F88" s="26">
        <v>254</v>
      </c>
      <c r="G88" s="62">
        <v>43419</v>
      </c>
      <c r="H88" s="27">
        <v>18418</v>
      </c>
      <c r="I88" s="39" t="s">
        <v>869</v>
      </c>
      <c r="J88" s="62">
        <v>43421</v>
      </c>
      <c r="K88" s="22" t="s">
        <v>1160</v>
      </c>
      <c r="L88" s="28" t="s">
        <v>1161</v>
      </c>
      <c r="M88" s="22" t="s">
        <v>50</v>
      </c>
      <c r="N88" s="29">
        <v>27200</v>
      </c>
      <c r="O88" s="29">
        <f t="shared" si="18"/>
        <v>1904</v>
      </c>
      <c r="P88" s="29">
        <f t="shared" si="19"/>
        <v>29104</v>
      </c>
      <c r="Q88" s="61"/>
      <c r="R88" s="96"/>
      <c r="S88" s="97"/>
      <c r="T88" s="98"/>
      <c r="U88" s="99"/>
      <c r="V88" s="35">
        <f>N88</f>
        <v>27200</v>
      </c>
      <c r="W88" s="36">
        <v>0.25</v>
      </c>
      <c r="X88" s="36">
        <f>V88*W88/100</f>
        <v>68</v>
      </c>
      <c r="Y88" s="37">
        <v>0.2</v>
      </c>
      <c r="Z88" s="38">
        <f>V88*Y88/100</f>
        <v>54.4</v>
      </c>
      <c r="AA88" s="40">
        <v>18110435</v>
      </c>
      <c r="AB88" s="41">
        <v>27200</v>
      </c>
      <c r="AC88" s="52">
        <f t="shared" si="20"/>
        <v>1904</v>
      </c>
      <c r="AD88" s="52">
        <f t="shared" si="21"/>
        <v>29104</v>
      </c>
      <c r="AE88" s="53">
        <v>43426</v>
      </c>
      <c r="AF88" s="39" t="s">
        <v>869</v>
      </c>
      <c r="AI88" s="21" t="s">
        <v>1471</v>
      </c>
      <c r="AJ88" s="44">
        <v>1</v>
      </c>
      <c r="AK88" s="45" t="s">
        <v>1162</v>
      </c>
      <c r="AM88" s="46" t="s">
        <v>1205</v>
      </c>
      <c r="AN88" s="47">
        <v>1</v>
      </c>
      <c r="AO88" s="48" t="s">
        <v>634</v>
      </c>
      <c r="AQ88" s="54"/>
      <c r="AR88" s="44"/>
      <c r="AS88" s="44"/>
      <c r="AT88" s="44"/>
      <c r="AU88" s="54"/>
      <c r="AW88" s="54"/>
      <c r="AX88" s="44"/>
      <c r="AY88" s="44"/>
      <c r="AZ88" s="44"/>
      <c r="BA88" s="54"/>
      <c r="BC88" s="54"/>
      <c r="BD88" s="44"/>
      <c r="BE88" s="44"/>
      <c r="BF88" s="44"/>
      <c r="BG88" s="54"/>
      <c r="BI88" s="54"/>
      <c r="BJ88" s="44"/>
      <c r="BK88" s="44"/>
      <c r="BL88" s="44"/>
      <c r="BM88" s="44"/>
      <c r="BO88" s="54"/>
      <c r="BP88" s="44"/>
      <c r="BQ88" s="44"/>
      <c r="BR88" s="44"/>
      <c r="BS88" s="44"/>
      <c r="BU88" s="54"/>
      <c r="BV88" s="44"/>
      <c r="BW88" s="44"/>
      <c r="BX88" s="44"/>
      <c r="BY88" s="44"/>
      <c r="CA88" s="54"/>
      <c r="CB88" s="44"/>
      <c r="CC88" s="44"/>
      <c r="CD88" s="44"/>
      <c r="CE88" s="44"/>
    </row>
    <row r="89" spans="1:83" x14ac:dyDescent="0.5">
      <c r="A89" s="227">
        <v>18116033</v>
      </c>
      <c r="B89" s="22">
        <v>18111010</v>
      </c>
      <c r="C89" s="55"/>
      <c r="D89" s="56"/>
      <c r="E89" s="57"/>
      <c r="F89" s="58"/>
      <c r="G89" s="59"/>
      <c r="H89" s="60"/>
      <c r="I89" s="269"/>
      <c r="J89" s="59"/>
      <c r="K89" s="22" t="s">
        <v>220</v>
      </c>
      <c r="L89" s="28" t="s">
        <v>1163</v>
      </c>
      <c r="M89" s="22" t="s">
        <v>51</v>
      </c>
      <c r="N89" s="29">
        <v>10500</v>
      </c>
      <c r="O89" s="29">
        <f t="shared" si="18"/>
        <v>735</v>
      </c>
      <c r="P89" s="29">
        <f t="shared" si="19"/>
        <v>11235</v>
      </c>
      <c r="U89" s="34"/>
      <c r="V89" s="35"/>
      <c r="W89" s="36"/>
      <c r="X89" s="36"/>
      <c r="Y89" s="37"/>
      <c r="AA89" s="40">
        <v>18110427</v>
      </c>
      <c r="AB89" s="41">
        <v>10500</v>
      </c>
      <c r="AC89" s="52">
        <f t="shared" si="20"/>
        <v>735</v>
      </c>
      <c r="AD89" s="52">
        <f t="shared" si="21"/>
        <v>11235</v>
      </c>
      <c r="AE89" s="53">
        <v>43446</v>
      </c>
      <c r="AF89" s="39" t="s">
        <v>869</v>
      </c>
      <c r="AI89" s="21" t="s">
        <v>2037</v>
      </c>
      <c r="AJ89" s="44">
        <v>1</v>
      </c>
      <c r="AK89" s="45" t="s">
        <v>1164</v>
      </c>
      <c r="AN89" s="47">
        <v>1</v>
      </c>
      <c r="AO89" s="48" t="s">
        <v>628</v>
      </c>
      <c r="AQ89" s="54"/>
      <c r="AR89" s="44"/>
      <c r="AS89" s="44"/>
      <c r="AT89" s="44"/>
      <c r="AU89" s="54"/>
      <c r="AW89" s="54"/>
      <c r="AX89" s="44"/>
      <c r="AY89" s="44"/>
      <c r="AZ89" s="44"/>
      <c r="BA89" s="54"/>
      <c r="BC89" s="54"/>
      <c r="BD89" s="44"/>
      <c r="BE89" s="44"/>
      <c r="BF89" s="44"/>
      <c r="BG89" s="54"/>
      <c r="BI89" s="54"/>
      <c r="BJ89" s="44"/>
      <c r="BK89" s="44"/>
      <c r="BL89" s="44"/>
      <c r="BM89" s="44"/>
      <c r="BO89" s="54"/>
      <c r="BP89" s="44"/>
      <c r="BQ89" s="44"/>
      <c r="BR89" s="44"/>
      <c r="BS89" s="44"/>
      <c r="BU89" s="54"/>
      <c r="BV89" s="44"/>
      <c r="BW89" s="44"/>
      <c r="BX89" s="44"/>
      <c r="BY89" s="44"/>
      <c r="CA89" s="54"/>
      <c r="CB89" s="44"/>
      <c r="CC89" s="44"/>
      <c r="CD89" s="44"/>
      <c r="CE89" s="44"/>
    </row>
    <row r="90" spans="1:83" x14ac:dyDescent="0.5">
      <c r="A90" s="227">
        <v>18116032</v>
      </c>
      <c r="B90" s="22">
        <v>18110996</v>
      </c>
      <c r="C90" s="23">
        <v>240</v>
      </c>
      <c r="D90" s="24" t="s">
        <v>184</v>
      </c>
      <c r="E90" s="25" t="s">
        <v>185</v>
      </c>
      <c r="F90" s="26">
        <v>256</v>
      </c>
      <c r="G90" s="62">
        <v>43424</v>
      </c>
      <c r="H90" s="27">
        <v>18421</v>
      </c>
      <c r="I90" s="39" t="s">
        <v>869</v>
      </c>
      <c r="J90" s="62">
        <v>43424</v>
      </c>
      <c r="K90" s="22" t="s">
        <v>23</v>
      </c>
      <c r="L90" s="28" t="s">
        <v>311</v>
      </c>
      <c r="M90" s="22" t="s">
        <v>51</v>
      </c>
      <c r="N90" s="29">
        <v>156400</v>
      </c>
      <c r="O90" s="29">
        <f t="shared" ref="O90:O99" si="22">N90*7/100</f>
        <v>10948</v>
      </c>
      <c r="P90" s="29">
        <f t="shared" ref="P90:P99" si="23">N90+O90</f>
        <v>167348</v>
      </c>
      <c r="U90" s="34"/>
      <c r="V90" s="35"/>
      <c r="W90" s="36"/>
      <c r="X90" s="36"/>
      <c r="Y90" s="37"/>
      <c r="AA90" s="40">
        <v>18110461</v>
      </c>
      <c r="AB90" s="41">
        <v>156400</v>
      </c>
      <c r="AC90" s="63">
        <f t="shared" si="20"/>
        <v>10948</v>
      </c>
      <c r="AD90" s="63">
        <f t="shared" si="21"/>
        <v>167348</v>
      </c>
      <c r="AE90" s="53">
        <v>43453</v>
      </c>
      <c r="AF90" s="39" t="s">
        <v>869</v>
      </c>
      <c r="AI90" s="21" t="s">
        <v>1457</v>
      </c>
      <c r="AJ90" s="44">
        <v>1</v>
      </c>
      <c r="AK90" s="45" t="s">
        <v>1141</v>
      </c>
      <c r="AL90" s="46" t="s">
        <v>1205</v>
      </c>
      <c r="AN90" s="47">
        <v>2</v>
      </c>
      <c r="AO90" s="48" t="s">
        <v>635</v>
      </c>
      <c r="AP90" s="44">
        <v>2</v>
      </c>
      <c r="AQ90" s="40" t="s">
        <v>1142</v>
      </c>
      <c r="AR90" s="46" t="s">
        <v>1205</v>
      </c>
      <c r="AT90" s="47">
        <v>1</v>
      </c>
      <c r="AU90" s="49" t="s">
        <v>633</v>
      </c>
      <c r="AW90" s="54"/>
      <c r="AX90" s="44"/>
      <c r="AY90" s="44"/>
      <c r="AZ90" s="44"/>
      <c r="BA90" s="54"/>
      <c r="BC90" s="54"/>
      <c r="BD90" s="44"/>
      <c r="BE90" s="44"/>
      <c r="BF90" s="44"/>
      <c r="BG90" s="54"/>
      <c r="BI90" s="54"/>
      <c r="BJ90" s="44"/>
      <c r="BK90" s="44"/>
      <c r="BL90" s="44"/>
      <c r="BM90" s="44"/>
      <c r="BO90" s="54"/>
      <c r="BP90" s="44"/>
      <c r="BQ90" s="44"/>
      <c r="BR90" s="44"/>
      <c r="BS90" s="44"/>
      <c r="BU90" s="54"/>
      <c r="BV90" s="44"/>
      <c r="BW90" s="44"/>
      <c r="BX90" s="44"/>
      <c r="BY90" s="44"/>
      <c r="CA90" s="54"/>
      <c r="CB90" s="44"/>
      <c r="CC90" s="44"/>
      <c r="CD90" s="44"/>
      <c r="CE90" s="44"/>
    </row>
    <row r="91" spans="1:83" x14ac:dyDescent="0.5">
      <c r="A91" s="259">
        <v>18116031</v>
      </c>
      <c r="B91" s="104" t="s">
        <v>1143</v>
      </c>
      <c r="C91" s="105">
        <v>239</v>
      </c>
      <c r="D91" s="106" t="s">
        <v>184</v>
      </c>
      <c r="E91" s="107" t="s">
        <v>185</v>
      </c>
      <c r="F91" s="108">
        <v>259</v>
      </c>
      <c r="G91" s="122">
        <v>43426</v>
      </c>
      <c r="H91" s="109">
        <v>18425</v>
      </c>
      <c r="I91" s="127" t="s">
        <v>869</v>
      </c>
      <c r="J91" s="122">
        <v>43426</v>
      </c>
      <c r="K91" s="104" t="s">
        <v>1144</v>
      </c>
      <c r="L91" s="110" t="s">
        <v>1145</v>
      </c>
      <c r="M91" s="104" t="s">
        <v>50</v>
      </c>
      <c r="N91" s="111">
        <v>70093.460000000006</v>
      </c>
      <c r="O91" s="111">
        <f t="shared" si="22"/>
        <v>4906.5421999999999</v>
      </c>
      <c r="P91" s="111">
        <f t="shared" si="23"/>
        <v>75000.002200000003</v>
      </c>
      <c r="Q91" s="212"/>
      <c r="R91" s="165"/>
      <c r="S91" s="166"/>
      <c r="T91" s="167"/>
      <c r="U91" s="168"/>
      <c r="V91" s="117">
        <f>N91</f>
        <v>70093.460000000006</v>
      </c>
      <c r="W91" s="118">
        <v>0.42</v>
      </c>
      <c r="X91" s="118">
        <f>V91*W91/100</f>
        <v>294.39253200000002</v>
      </c>
      <c r="Y91" s="119">
        <v>0.2</v>
      </c>
      <c r="Z91" s="120">
        <f>V91*Y91/100</f>
        <v>140.18692000000001</v>
      </c>
      <c r="AA91" s="229">
        <v>18110422</v>
      </c>
      <c r="AB91" s="230">
        <f>N91*30/100</f>
        <v>21028.038000000004</v>
      </c>
      <c r="AC91" s="234">
        <f t="shared" si="20"/>
        <v>1471.9626600000004</v>
      </c>
      <c r="AD91" s="234">
        <f t="shared" si="21"/>
        <v>22500.000660000005</v>
      </c>
      <c r="AE91" s="221">
        <v>43413</v>
      </c>
      <c r="AF91" s="121" t="s">
        <v>869</v>
      </c>
      <c r="AG91" s="121"/>
      <c r="AH91" s="121"/>
      <c r="AI91" s="222" t="s">
        <v>1183</v>
      </c>
      <c r="AJ91" s="128">
        <v>1</v>
      </c>
      <c r="AK91" s="129" t="s">
        <v>720</v>
      </c>
      <c r="AL91" s="130"/>
      <c r="AM91" s="130" t="s">
        <v>1205</v>
      </c>
      <c r="AN91" s="131">
        <v>1</v>
      </c>
      <c r="AO91" s="132" t="s">
        <v>636</v>
      </c>
      <c r="AP91" s="128"/>
      <c r="AQ91" s="133"/>
      <c r="AR91" s="128"/>
      <c r="AS91" s="128"/>
      <c r="AT91" s="128"/>
      <c r="AU91" s="133"/>
      <c r="AV91" s="128"/>
      <c r="AW91" s="133"/>
      <c r="AX91" s="128"/>
      <c r="AY91" s="128"/>
      <c r="AZ91" s="128"/>
      <c r="BA91" s="133"/>
      <c r="BB91" s="128"/>
      <c r="BC91" s="133"/>
      <c r="BD91" s="128"/>
      <c r="BE91" s="128"/>
      <c r="BF91" s="128"/>
      <c r="BG91" s="133"/>
      <c r="BH91" s="128"/>
      <c r="BI91" s="133"/>
      <c r="BJ91" s="128"/>
      <c r="BK91" s="128"/>
      <c r="BL91" s="128"/>
      <c r="BM91" s="128"/>
      <c r="BN91" s="128"/>
      <c r="BO91" s="133"/>
      <c r="BP91" s="128"/>
      <c r="BQ91" s="128"/>
      <c r="BR91" s="128"/>
      <c r="BS91" s="128"/>
      <c r="BT91" s="128"/>
      <c r="BU91" s="133"/>
      <c r="BV91" s="128"/>
      <c r="BW91" s="128"/>
      <c r="BX91" s="128"/>
      <c r="BY91" s="128"/>
      <c r="BZ91" s="128"/>
      <c r="CA91" s="133"/>
      <c r="CB91" s="128"/>
      <c r="CC91" s="128"/>
      <c r="CD91" s="128"/>
      <c r="CE91" s="128"/>
    </row>
    <row r="92" spans="1:83" x14ac:dyDescent="0.5">
      <c r="A92" s="268"/>
      <c r="B92" s="181"/>
      <c r="C92" s="182"/>
      <c r="D92" s="183"/>
      <c r="E92" s="184"/>
      <c r="F92" s="185"/>
      <c r="G92" s="181"/>
      <c r="H92" s="187"/>
      <c r="I92" s="199"/>
      <c r="J92" s="181"/>
      <c r="K92" s="181"/>
      <c r="L92" s="188"/>
      <c r="M92" s="181"/>
      <c r="N92" s="189"/>
      <c r="O92" s="189"/>
      <c r="P92" s="189"/>
      <c r="Q92" s="214"/>
      <c r="R92" s="191"/>
      <c r="S92" s="192"/>
      <c r="T92" s="193"/>
      <c r="U92" s="194"/>
      <c r="V92" s="195"/>
      <c r="W92" s="196"/>
      <c r="X92" s="196"/>
      <c r="Y92" s="197"/>
      <c r="Z92" s="198"/>
      <c r="AA92" s="200">
        <v>18110463</v>
      </c>
      <c r="AB92" s="201">
        <v>49065</v>
      </c>
      <c r="AC92" s="238">
        <f>AB92*7/100</f>
        <v>3434.55</v>
      </c>
      <c r="AD92" s="238">
        <f>AB92+AC92</f>
        <v>52499.55</v>
      </c>
      <c r="AE92" s="203">
        <v>43424</v>
      </c>
      <c r="AF92" s="199" t="s">
        <v>869</v>
      </c>
      <c r="AG92" s="199"/>
      <c r="AH92" s="199"/>
      <c r="AI92" s="180" t="s">
        <v>1270</v>
      </c>
      <c r="AJ92" s="204"/>
      <c r="AK92" s="205"/>
      <c r="AL92" s="206"/>
      <c r="AM92" s="206"/>
      <c r="AN92" s="207"/>
      <c r="AO92" s="208"/>
      <c r="AP92" s="204"/>
      <c r="AQ92" s="210"/>
      <c r="AR92" s="204"/>
      <c r="AS92" s="204"/>
      <c r="AT92" s="204"/>
      <c r="AU92" s="210"/>
      <c r="AV92" s="204"/>
      <c r="AW92" s="210"/>
      <c r="AX92" s="204"/>
      <c r="AY92" s="204"/>
      <c r="AZ92" s="204"/>
      <c r="BA92" s="210"/>
      <c r="BB92" s="204"/>
      <c r="BC92" s="210"/>
      <c r="BD92" s="204"/>
      <c r="BE92" s="204"/>
      <c r="BF92" s="204"/>
      <c r="BG92" s="210"/>
      <c r="BH92" s="204"/>
      <c r="BI92" s="210"/>
      <c r="BJ92" s="204"/>
      <c r="BK92" s="204"/>
      <c r="BL92" s="204"/>
      <c r="BM92" s="204"/>
      <c r="BN92" s="204"/>
      <c r="BO92" s="210"/>
      <c r="BP92" s="204"/>
      <c r="BQ92" s="204"/>
      <c r="BR92" s="204"/>
      <c r="BS92" s="204"/>
      <c r="BT92" s="204"/>
      <c r="BU92" s="210"/>
      <c r="BV92" s="204"/>
      <c r="BW92" s="204"/>
      <c r="BX92" s="204"/>
      <c r="BY92" s="204"/>
      <c r="BZ92" s="204"/>
      <c r="CA92" s="210"/>
      <c r="CB92" s="204"/>
      <c r="CC92" s="204"/>
      <c r="CD92" s="204"/>
      <c r="CE92" s="204"/>
    </row>
    <row r="93" spans="1:83" x14ac:dyDescent="0.5">
      <c r="A93" s="227">
        <v>18116030</v>
      </c>
      <c r="B93" s="22">
        <v>18110980</v>
      </c>
      <c r="C93" s="23">
        <v>238</v>
      </c>
      <c r="D93" s="24" t="s">
        <v>184</v>
      </c>
      <c r="E93" s="25" t="s">
        <v>185</v>
      </c>
      <c r="F93" s="26">
        <v>265</v>
      </c>
      <c r="G93" s="62">
        <v>43431</v>
      </c>
      <c r="H93" s="27">
        <v>18432</v>
      </c>
      <c r="I93" s="39" t="s">
        <v>869</v>
      </c>
      <c r="J93" s="62">
        <v>43430</v>
      </c>
      <c r="K93" s="22" t="s">
        <v>91</v>
      </c>
      <c r="L93" s="28" t="s">
        <v>1134</v>
      </c>
      <c r="M93" s="22" t="s">
        <v>52</v>
      </c>
      <c r="N93" s="29">
        <v>168224.3</v>
      </c>
      <c r="O93" s="29">
        <f t="shared" si="22"/>
        <v>11775.700999999999</v>
      </c>
      <c r="P93" s="29">
        <f t="shared" si="23"/>
        <v>180000.00099999999</v>
      </c>
      <c r="Q93" s="61"/>
      <c r="R93" s="31" t="s">
        <v>1146</v>
      </c>
      <c r="S93" s="32">
        <f>N93</f>
        <v>168224.3</v>
      </c>
      <c r="T93" s="33">
        <v>5</v>
      </c>
      <c r="U93" s="34">
        <f>S93*T93/100</f>
        <v>8411.2150000000001</v>
      </c>
      <c r="V93" s="35">
        <f>S93-U93</f>
        <v>159813.08499999999</v>
      </c>
      <c r="W93" s="36">
        <v>0.35</v>
      </c>
      <c r="X93" s="36">
        <f>V93*W93/100</f>
        <v>559.3457975</v>
      </c>
      <c r="Y93" s="37">
        <v>0.2</v>
      </c>
      <c r="Z93" s="38">
        <f>V93*Y93/100</f>
        <v>319.62617</v>
      </c>
      <c r="AA93" s="40">
        <v>18110424</v>
      </c>
      <c r="AB93" s="41">
        <f>N93</f>
        <v>168224.3</v>
      </c>
      <c r="AC93" s="64">
        <f t="shared" si="20"/>
        <v>11775.700999999999</v>
      </c>
      <c r="AD93" s="64">
        <f t="shared" si="21"/>
        <v>180000.00099999999</v>
      </c>
      <c r="AE93" s="53">
        <v>43413</v>
      </c>
      <c r="AF93" s="39" t="s">
        <v>869</v>
      </c>
      <c r="AI93" s="21" t="s">
        <v>1263</v>
      </c>
      <c r="AJ93" s="44">
        <v>1</v>
      </c>
      <c r="AK93" s="45" t="s">
        <v>1135</v>
      </c>
      <c r="AM93" s="46" t="s">
        <v>1205</v>
      </c>
      <c r="AN93" s="47">
        <v>1</v>
      </c>
      <c r="AO93" s="48" t="s">
        <v>634</v>
      </c>
      <c r="AQ93" s="54"/>
      <c r="AR93" s="44"/>
      <c r="AS93" s="44"/>
      <c r="AT93" s="44"/>
      <c r="AU93" s="54"/>
      <c r="AW93" s="54"/>
      <c r="AX93" s="44"/>
      <c r="AY93" s="44"/>
      <c r="AZ93" s="44"/>
      <c r="BA93" s="54"/>
      <c r="BC93" s="54"/>
      <c r="BD93" s="44"/>
      <c r="BE93" s="44"/>
      <c r="BF93" s="44"/>
      <c r="BG93" s="54"/>
      <c r="BI93" s="54"/>
      <c r="BJ93" s="44"/>
      <c r="BK93" s="44"/>
      <c r="BL93" s="44"/>
      <c r="BM93" s="44"/>
      <c r="BO93" s="54"/>
      <c r="BP93" s="44"/>
      <c r="BQ93" s="44"/>
      <c r="BR93" s="44"/>
      <c r="BS93" s="44"/>
      <c r="BU93" s="54"/>
      <c r="BV93" s="44"/>
      <c r="BW93" s="44"/>
      <c r="BX93" s="44"/>
      <c r="BY93" s="44"/>
      <c r="CA93" s="54"/>
      <c r="CB93" s="44"/>
      <c r="CC93" s="44"/>
      <c r="CD93" s="44"/>
      <c r="CE93" s="44"/>
    </row>
    <row r="94" spans="1:83" x14ac:dyDescent="0.5">
      <c r="A94" s="259">
        <v>18116029</v>
      </c>
      <c r="B94" s="104">
        <v>18110977</v>
      </c>
      <c r="C94" s="105">
        <v>237</v>
      </c>
      <c r="D94" s="106" t="s">
        <v>184</v>
      </c>
      <c r="E94" s="852" t="s">
        <v>185</v>
      </c>
      <c r="F94" s="853">
        <v>262</v>
      </c>
      <c r="G94" s="211"/>
      <c r="H94" s="164"/>
      <c r="I94" s="854"/>
      <c r="J94" s="342"/>
      <c r="K94" s="104" t="s">
        <v>20</v>
      </c>
      <c r="L94" s="110" t="s">
        <v>1132</v>
      </c>
      <c r="M94" s="104" t="s">
        <v>51</v>
      </c>
      <c r="N94" s="111">
        <v>26544</v>
      </c>
      <c r="O94" s="111">
        <f t="shared" si="22"/>
        <v>1858.08</v>
      </c>
      <c r="P94" s="111">
        <f t="shared" si="23"/>
        <v>28402.080000000002</v>
      </c>
      <c r="Q94" s="212"/>
      <c r="R94" s="165"/>
      <c r="S94" s="166"/>
      <c r="T94" s="167"/>
      <c r="U94" s="168"/>
      <c r="V94" s="231"/>
      <c r="W94" s="168"/>
      <c r="X94" s="168"/>
      <c r="Y94" s="231"/>
      <c r="Z94" s="232"/>
      <c r="AA94" s="123"/>
      <c r="AB94" s="124"/>
      <c r="AC94" s="547"/>
      <c r="AD94" s="547"/>
      <c r="AE94" s="370"/>
      <c r="AF94" s="127"/>
      <c r="AG94" s="127"/>
      <c r="AH94" s="127"/>
      <c r="AI94" s="103"/>
      <c r="AJ94" s="128">
        <v>1</v>
      </c>
      <c r="AK94" s="129" t="s">
        <v>1133</v>
      </c>
      <c r="AL94" s="130"/>
      <c r="AM94" s="130" t="s">
        <v>1205</v>
      </c>
      <c r="AN94" s="131">
        <v>1</v>
      </c>
      <c r="AO94" s="132" t="s">
        <v>633</v>
      </c>
      <c r="AP94" s="128"/>
      <c r="AQ94" s="133"/>
      <c r="AR94" s="128"/>
      <c r="AS94" s="128"/>
      <c r="AT94" s="128"/>
      <c r="AU94" s="133"/>
      <c r="AV94" s="128"/>
      <c r="AW94" s="133"/>
      <c r="AX94" s="128"/>
      <c r="AY94" s="128"/>
      <c r="AZ94" s="128"/>
      <c r="BA94" s="133"/>
      <c r="BB94" s="128"/>
      <c r="BC94" s="133"/>
      <c r="BD94" s="128"/>
      <c r="BE94" s="128"/>
      <c r="BF94" s="128"/>
      <c r="BG94" s="133"/>
      <c r="BH94" s="128"/>
      <c r="BI94" s="133"/>
      <c r="BJ94" s="128"/>
      <c r="BK94" s="128"/>
      <c r="BL94" s="128"/>
      <c r="BM94" s="128"/>
      <c r="BN94" s="128"/>
      <c r="BO94" s="133"/>
      <c r="BP94" s="128"/>
      <c r="BQ94" s="128"/>
      <c r="BR94" s="128"/>
      <c r="BS94" s="128"/>
      <c r="BT94" s="128"/>
      <c r="BU94" s="133"/>
      <c r="BV94" s="128"/>
      <c r="BW94" s="128"/>
      <c r="BX94" s="128"/>
      <c r="BY94" s="128"/>
      <c r="BZ94" s="128"/>
      <c r="CA94" s="133"/>
      <c r="CB94" s="128"/>
      <c r="CC94" s="128"/>
      <c r="CD94" s="128"/>
      <c r="CE94" s="128"/>
    </row>
    <row r="95" spans="1:83" x14ac:dyDescent="0.5">
      <c r="A95" s="268">
        <v>18116029</v>
      </c>
      <c r="B95" s="181"/>
      <c r="C95" s="182"/>
      <c r="D95" s="183"/>
      <c r="E95" s="849" t="s">
        <v>1324</v>
      </c>
      <c r="F95" s="850" t="s">
        <v>1380</v>
      </c>
      <c r="G95" s="186">
        <v>43600</v>
      </c>
      <c r="H95" s="187">
        <v>19130</v>
      </c>
      <c r="I95" s="851" t="s">
        <v>869</v>
      </c>
      <c r="J95" s="749">
        <v>43600</v>
      </c>
      <c r="K95" s="181" t="s">
        <v>20</v>
      </c>
      <c r="L95" s="188" t="s">
        <v>1132</v>
      </c>
      <c r="M95" s="181"/>
      <c r="N95" s="189"/>
      <c r="O95" s="189"/>
      <c r="P95" s="189"/>
      <c r="Q95" s="214"/>
      <c r="R95" s="191"/>
      <c r="S95" s="192"/>
      <c r="T95" s="193"/>
      <c r="U95" s="194"/>
      <c r="V95" s="235"/>
      <c r="W95" s="194"/>
      <c r="X95" s="194"/>
      <c r="Y95" s="235"/>
      <c r="Z95" s="236"/>
      <c r="AA95" s="200">
        <v>19050185</v>
      </c>
      <c r="AB95" s="201">
        <v>26544</v>
      </c>
      <c r="AC95" s="202">
        <f>AB95*7/100</f>
        <v>1858.08</v>
      </c>
      <c r="AD95" s="202">
        <f>AB95+AC95</f>
        <v>28402.080000000002</v>
      </c>
      <c r="AE95" s="203">
        <v>43639</v>
      </c>
      <c r="AF95" s="199" t="s">
        <v>869</v>
      </c>
      <c r="AG95" s="199"/>
      <c r="AH95" s="199"/>
      <c r="AI95" s="180" t="s">
        <v>2773</v>
      </c>
      <c r="AJ95" s="204"/>
      <c r="AK95" s="205"/>
      <c r="AL95" s="206"/>
      <c r="AM95" s="206"/>
      <c r="AN95" s="207"/>
      <c r="AO95" s="208"/>
      <c r="AP95" s="204"/>
      <c r="AQ95" s="210"/>
      <c r="AR95" s="204"/>
      <c r="AS95" s="204"/>
      <c r="AT95" s="204"/>
      <c r="AU95" s="210"/>
      <c r="AV95" s="204"/>
      <c r="AW95" s="210"/>
      <c r="AX95" s="204"/>
      <c r="AY95" s="204"/>
      <c r="AZ95" s="204"/>
      <c r="BA95" s="210"/>
      <c r="BB95" s="204"/>
      <c r="BC95" s="210"/>
      <c r="BD95" s="204"/>
      <c r="BE95" s="204"/>
      <c r="BF95" s="204"/>
      <c r="BG95" s="210"/>
      <c r="BH95" s="204"/>
      <c r="BI95" s="210"/>
      <c r="BJ95" s="204"/>
      <c r="BK95" s="204"/>
      <c r="BL95" s="204"/>
      <c r="BM95" s="204"/>
      <c r="BN95" s="204"/>
      <c r="BO95" s="210"/>
      <c r="BP95" s="204"/>
      <c r="BQ95" s="204"/>
      <c r="BR95" s="204"/>
      <c r="BS95" s="204"/>
      <c r="BT95" s="204"/>
      <c r="BU95" s="210"/>
      <c r="BV95" s="204"/>
      <c r="BW95" s="204"/>
      <c r="BX95" s="204"/>
      <c r="BY95" s="204"/>
      <c r="BZ95" s="204"/>
      <c r="CA95" s="210"/>
      <c r="CB95" s="204"/>
      <c r="CC95" s="204"/>
      <c r="CD95" s="204"/>
      <c r="CE95" s="204"/>
    </row>
    <row r="96" spans="1:83" x14ac:dyDescent="0.5">
      <c r="A96" s="227">
        <v>18106028</v>
      </c>
      <c r="B96" s="22">
        <v>18110976</v>
      </c>
      <c r="C96" s="55"/>
      <c r="D96" s="56"/>
      <c r="E96" s="57"/>
      <c r="F96" s="58"/>
      <c r="G96" s="59"/>
      <c r="H96" s="60"/>
      <c r="I96" s="269"/>
      <c r="J96" s="59"/>
      <c r="K96" s="22" t="s">
        <v>543</v>
      </c>
      <c r="L96" s="28" t="s">
        <v>1130</v>
      </c>
      <c r="M96" s="22" t="s">
        <v>51</v>
      </c>
      <c r="N96" s="29">
        <v>60000</v>
      </c>
      <c r="O96" s="29">
        <f t="shared" si="22"/>
        <v>4200</v>
      </c>
      <c r="P96" s="29">
        <f t="shared" si="23"/>
        <v>64200</v>
      </c>
      <c r="Q96" s="61"/>
      <c r="R96" s="96"/>
      <c r="S96" s="97"/>
      <c r="T96" s="98"/>
      <c r="U96" s="99"/>
      <c r="V96" s="100"/>
      <c r="W96" s="99"/>
      <c r="X96" s="99"/>
      <c r="Y96" s="100"/>
      <c r="Z96" s="101"/>
      <c r="AA96" s="40">
        <v>19010034</v>
      </c>
      <c r="AB96" s="41">
        <v>60000</v>
      </c>
      <c r="AC96" s="42" t="s">
        <v>402</v>
      </c>
      <c r="AD96" s="64">
        <f>AB96</f>
        <v>60000</v>
      </c>
      <c r="AE96" s="53">
        <v>43496</v>
      </c>
      <c r="AF96" s="39" t="s">
        <v>869</v>
      </c>
      <c r="AI96" s="21" t="s">
        <v>1642</v>
      </c>
      <c r="AJ96" s="44">
        <v>1</v>
      </c>
      <c r="AK96" s="45" t="s">
        <v>1131</v>
      </c>
      <c r="AN96" s="47">
        <v>2</v>
      </c>
      <c r="AO96" s="102"/>
      <c r="AQ96" s="54"/>
      <c r="AR96" s="44"/>
      <c r="AS96" s="44"/>
      <c r="AT96" s="44"/>
      <c r="AU96" s="54"/>
      <c r="AW96" s="54"/>
      <c r="AX96" s="44"/>
      <c r="AY96" s="44"/>
      <c r="AZ96" s="44"/>
      <c r="BA96" s="54"/>
      <c r="BC96" s="54"/>
      <c r="BD96" s="44"/>
      <c r="BE96" s="44"/>
      <c r="BF96" s="44"/>
      <c r="BG96" s="54"/>
      <c r="BI96" s="54"/>
      <c r="BJ96" s="44"/>
      <c r="BK96" s="44"/>
      <c r="BL96" s="44"/>
      <c r="BM96" s="44"/>
      <c r="BO96" s="54"/>
      <c r="BP96" s="44"/>
      <c r="BQ96" s="44"/>
      <c r="BR96" s="44"/>
      <c r="BS96" s="44"/>
      <c r="BU96" s="54"/>
      <c r="BV96" s="44"/>
      <c r="BW96" s="44"/>
      <c r="BX96" s="44"/>
      <c r="BY96" s="44"/>
      <c r="CA96" s="54"/>
      <c r="CB96" s="44"/>
      <c r="CC96" s="44"/>
      <c r="CD96" s="44"/>
      <c r="CE96" s="44"/>
    </row>
    <row r="97" spans="1:83" x14ac:dyDescent="0.5">
      <c r="A97" s="259">
        <v>18106027</v>
      </c>
      <c r="B97" s="104">
        <v>18110975</v>
      </c>
      <c r="C97" s="242"/>
      <c r="D97" s="243"/>
      <c r="E97" s="244"/>
      <c r="F97" s="245"/>
      <c r="G97" s="246"/>
      <c r="H97" s="247"/>
      <c r="I97" s="306"/>
      <c r="J97" s="246"/>
      <c r="K97" s="104" t="s">
        <v>1127</v>
      </c>
      <c r="L97" s="110" t="s">
        <v>1128</v>
      </c>
      <c r="M97" s="104" t="s">
        <v>51</v>
      </c>
      <c r="N97" s="111">
        <v>5500</v>
      </c>
      <c r="O97" s="111">
        <f t="shared" si="22"/>
        <v>385</v>
      </c>
      <c r="P97" s="111">
        <f t="shared" si="23"/>
        <v>5885</v>
      </c>
      <c r="Q97" s="212"/>
      <c r="R97" s="165"/>
      <c r="S97" s="166"/>
      <c r="T97" s="167"/>
      <c r="U97" s="168"/>
      <c r="V97" s="231"/>
      <c r="W97" s="168"/>
      <c r="X97" s="168"/>
      <c r="Y97" s="231"/>
      <c r="Z97" s="232"/>
      <c r="AA97" s="771">
        <v>19010033</v>
      </c>
      <c r="AB97" s="819">
        <v>5500</v>
      </c>
      <c r="AC97" s="821">
        <f>AB97*7/100</f>
        <v>385</v>
      </c>
      <c r="AD97" s="821">
        <f>AB97+AC97</f>
        <v>5885</v>
      </c>
      <c r="AE97" s="822">
        <v>43540</v>
      </c>
      <c r="AF97" s="775"/>
      <c r="AG97" s="775"/>
      <c r="AH97" s="775" t="s">
        <v>869</v>
      </c>
      <c r="AI97" s="776"/>
      <c r="AJ97" s="128">
        <v>1</v>
      </c>
      <c r="AK97" s="129" t="s">
        <v>1129</v>
      </c>
      <c r="AL97" s="130"/>
      <c r="AM97" s="130"/>
      <c r="AN97" s="131">
        <v>1</v>
      </c>
      <c r="AO97" s="132" t="s">
        <v>628</v>
      </c>
      <c r="AP97" s="128"/>
      <c r="AQ97" s="133"/>
      <c r="AR97" s="128"/>
      <c r="AS97" s="128"/>
      <c r="AT97" s="128"/>
      <c r="AU97" s="133"/>
      <c r="AV97" s="128"/>
      <c r="AW97" s="133"/>
      <c r="AX97" s="128"/>
      <c r="AY97" s="128"/>
      <c r="AZ97" s="128"/>
      <c r="BA97" s="133"/>
      <c r="BB97" s="128"/>
      <c r="BC97" s="133"/>
      <c r="BD97" s="128"/>
      <c r="BE97" s="128"/>
      <c r="BF97" s="128"/>
      <c r="BG97" s="133"/>
      <c r="BH97" s="128"/>
      <c r="BI97" s="133"/>
      <c r="BJ97" s="128"/>
      <c r="BK97" s="128"/>
      <c r="BL97" s="128"/>
      <c r="BM97" s="128"/>
      <c r="BN97" s="128"/>
      <c r="BO97" s="133"/>
      <c r="BP97" s="128"/>
      <c r="BQ97" s="128"/>
      <c r="BR97" s="128"/>
      <c r="BS97" s="128"/>
      <c r="BT97" s="128"/>
      <c r="BU97" s="133"/>
      <c r="BV97" s="128"/>
      <c r="BW97" s="128"/>
      <c r="BX97" s="128"/>
      <c r="BY97" s="128"/>
      <c r="BZ97" s="128"/>
      <c r="CA97" s="133"/>
      <c r="CB97" s="128"/>
      <c r="CC97" s="128"/>
      <c r="CD97" s="128"/>
      <c r="CE97" s="128"/>
    </row>
    <row r="98" spans="1:83" x14ac:dyDescent="0.5">
      <c r="A98" s="268"/>
      <c r="B98" s="181"/>
      <c r="C98" s="285"/>
      <c r="D98" s="286"/>
      <c r="E98" s="287"/>
      <c r="F98" s="288"/>
      <c r="G98" s="289"/>
      <c r="H98" s="290"/>
      <c r="I98" s="832"/>
      <c r="J98" s="289"/>
      <c r="K98" s="181"/>
      <c r="L98" s="188"/>
      <c r="M98" s="181"/>
      <c r="N98" s="189"/>
      <c r="O98" s="189"/>
      <c r="P98" s="189"/>
      <c r="Q98" s="214"/>
      <c r="R98" s="191"/>
      <c r="S98" s="192"/>
      <c r="T98" s="193"/>
      <c r="U98" s="194"/>
      <c r="V98" s="235"/>
      <c r="W98" s="194"/>
      <c r="X98" s="194"/>
      <c r="Y98" s="235"/>
      <c r="Z98" s="236"/>
      <c r="AA98" s="200" t="s">
        <v>2001</v>
      </c>
      <c r="AB98" s="201">
        <v>5500</v>
      </c>
      <c r="AC98" s="202">
        <f>AB98*7/100</f>
        <v>385</v>
      </c>
      <c r="AD98" s="202">
        <f>AB98+AC98</f>
        <v>5885</v>
      </c>
      <c r="AE98" s="203">
        <v>43639</v>
      </c>
      <c r="AF98" s="199" t="s">
        <v>869</v>
      </c>
      <c r="AG98" s="199"/>
      <c r="AH98" s="199"/>
      <c r="AI98" s="180" t="s">
        <v>2741</v>
      </c>
      <c r="AJ98" s="204"/>
      <c r="AK98" s="205"/>
      <c r="AL98" s="206"/>
      <c r="AM98" s="206"/>
      <c r="AN98" s="207"/>
      <c r="AO98" s="208"/>
      <c r="AP98" s="204"/>
      <c r="AQ98" s="210"/>
      <c r="AR98" s="204"/>
      <c r="AS98" s="848"/>
      <c r="AT98" s="204"/>
      <c r="AU98" s="210"/>
      <c r="AV98" s="204"/>
      <c r="AW98" s="210"/>
      <c r="AX98" s="204"/>
      <c r="AY98" s="204"/>
      <c r="AZ98" s="204"/>
      <c r="BA98" s="210"/>
      <c r="BB98" s="204"/>
      <c r="BC98" s="210"/>
      <c r="BD98" s="204"/>
      <c r="BE98" s="204"/>
      <c r="BF98" s="204"/>
      <c r="BG98" s="210"/>
      <c r="BH98" s="204"/>
      <c r="BI98" s="210"/>
      <c r="BJ98" s="204"/>
      <c r="BK98" s="204"/>
      <c r="BL98" s="204"/>
      <c r="BM98" s="204"/>
      <c r="BN98" s="204"/>
      <c r="BO98" s="210"/>
      <c r="BP98" s="204"/>
      <c r="BQ98" s="204"/>
      <c r="BR98" s="204"/>
      <c r="BS98" s="204"/>
      <c r="BT98" s="204"/>
      <c r="BU98" s="210"/>
      <c r="BV98" s="204"/>
      <c r="BW98" s="204"/>
      <c r="BX98" s="204"/>
      <c r="BY98" s="204"/>
      <c r="BZ98" s="204"/>
      <c r="CA98" s="210"/>
      <c r="CB98" s="204"/>
      <c r="CC98" s="204"/>
      <c r="CD98" s="204"/>
      <c r="CE98" s="204"/>
    </row>
    <row r="99" spans="1:83" x14ac:dyDescent="0.5">
      <c r="A99" s="227">
        <v>18106026</v>
      </c>
      <c r="B99" s="22">
        <v>18100954</v>
      </c>
      <c r="C99" s="23">
        <v>236</v>
      </c>
      <c r="D99" s="24" t="s">
        <v>184</v>
      </c>
      <c r="E99" s="25" t="s">
        <v>185</v>
      </c>
      <c r="F99" s="26">
        <v>270</v>
      </c>
      <c r="G99" s="62">
        <v>43434</v>
      </c>
      <c r="H99" s="27">
        <v>18440</v>
      </c>
      <c r="I99" s="39" t="s">
        <v>869</v>
      </c>
      <c r="J99" s="62">
        <v>43435</v>
      </c>
      <c r="K99" s="22" t="s">
        <v>1123</v>
      </c>
      <c r="L99" s="28" t="s">
        <v>1124</v>
      </c>
      <c r="M99" s="22" t="s">
        <v>52</v>
      </c>
      <c r="N99" s="29">
        <v>84112.15</v>
      </c>
      <c r="O99" s="29">
        <f t="shared" si="22"/>
        <v>5887.8504999999996</v>
      </c>
      <c r="P99" s="29">
        <f t="shared" si="23"/>
        <v>90000.000499999995</v>
      </c>
      <c r="Q99" s="30">
        <v>14000</v>
      </c>
      <c r="R99" s="31" t="s">
        <v>567</v>
      </c>
      <c r="S99" s="32">
        <f>N99-Q99</f>
        <v>70112.149999999994</v>
      </c>
      <c r="T99" s="33">
        <v>5</v>
      </c>
      <c r="U99" s="34">
        <f>S99*T99/100</f>
        <v>3505.6075000000001</v>
      </c>
      <c r="V99" s="35">
        <f>S99-U99</f>
        <v>66606.542499999996</v>
      </c>
      <c r="W99" s="36">
        <v>0.3</v>
      </c>
      <c r="X99" s="36">
        <f>V99*W99/100</f>
        <v>199.8196275</v>
      </c>
      <c r="Y99" s="37">
        <v>0.2</v>
      </c>
      <c r="Z99" s="38">
        <f>V99*Y99/100</f>
        <v>133.21308499999998</v>
      </c>
      <c r="AA99" s="40">
        <v>18110477</v>
      </c>
      <c r="AB99" s="41">
        <v>84112.15</v>
      </c>
      <c r="AC99" s="52">
        <f>AB99*7/100</f>
        <v>5887.8504999999996</v>
      </c>
      <c r="AD99" s="52">
        <f>AB99+AC99</f>
        <v>90000.000499999995</v>
      </c>
      <c r="AE99" s="53">
        <v>43431</v>
      </c>
      <c r="AF99" s="39" t="s">
        <v>869</v>
      </c>
      <c r="AI99" s="21" t="s">
        <v>1258</v>
      </c>
      <c r="AJ99" s="44">
        <v>1</v>
      </c>
      <c r="AK99" s="45" t="s">
        <v>1125</v>
      </c>
      <c r="AM99" s="46" t="s">
        <v>1205</v>
      </c>
      <c r="AN99" s="47">
        <v>1</v>
      </c>
      <c r="AO99" s="48" t="s">
        <v>634</v>
      </c>
      <c r="AP99" s="44">
        <v>2</v>
      </c>
      <c r="AQ99" s="40" t="s">
        <v>1126</v>
      </c>
      <c r="AS99" s="46" t="s">
        <v>1205</v>
      </c>
      <c r="AT99" s="47">
        <v>1</v>
      </c>
      <c r="AU99" s="49" t="s">
        <v>634</v>
      </c>
      <c r="AW99" s="54"/>
      <c r="AX99" s="44"/>
      <c r="AY99" s="44"/>
      <c r="AZ99" s="44"/>
      <c r="BA99" s="54"/>
      <c r="BC99" s="54"/>
      <c r="BD99" s="44"/>
      <c r="BE99" s="44"/>
      <c r="BF99" s="44"/>
      <c r="BG99" s="54"/>
      <c r="BI99" s="54"/>
      <c r="BJ99" s="44"/>
      <c r="BK99" s="44"/>
      <c r="BL99" s="44"/>
      <c r="BM99" s="44"/>
      <c r="BO99" s="54"/>
      <c r="BP99" s="44"/>
      <c r="BQ99" s="44"/>
      <c r="BR99" s="44"/>
      <c r="BS99" s="44"/>
      <c r="BU99" s="54"/>
      <c r="BV99" s="44"/>
      <c r="BW99" s="44"/>
      <c r="BX99" s="44"/>
      <c r="BY99" s="44"/>
      <c r="CA99" s="54"/>
      <c r="CB99" s="44"/>
      <c r="CC99" s="44"/>
      <c r="CD99" s="44"/>
      <c r="CE99" s="44"/>
    </row>
    <row r="100" spans="1:83" s="95" customFormat="1" x14ac:dyDescent="0.5">
      <c r="A100" s="65">
        <v>18106025</v>
      </c>
      <c r="B100" s="66">
        <v>18100966</v>
      </c>
      <c r="C100" s="67">
        <v>235</v>
      </c>
      <c r="D100" s="68" t="s">
        <v>184</v>
      </c>
      <c r="E100" s="69"/>
      <c r="F100" s="70"/>
      <c r="G100" s="66"/>
      <c r="H100" s="71"/>
      <c r="I100" s="83"/>
      <c r="J100" s="66"/>
      <c r="K100" s="66" t="s">
        <v>189</v>
      </c>
      <c r="L100" s="72" t="s">
        <v>1114</v>
      </c>
      <c r="M100" s="66" t="s">
        <v>53</v>
      </c>
      <c r="N100" s="73">
        <v>142000</v>
      </c>
      <c r="O100" s="73">
        <f t="shared" ref="O100:O124" si="24">N100*7/100</f>
        <v>9940</v>
      </c>
      <c r="P100" s="73">
        <f t="shared" ref="P100:P124" si="25">N100+O100</f>
        <v>151940</v>
      </c>
      <c r="Q100" s="74">
        <v>16600</v>
      </c>
      <c r="R100" s="319"/>
      <c r="S100" s="320"/>
      <c r="T100" s="321"/>
      <c r="U100" s="322"/>
      <c r="V100" s="79">
        <v>142000</v>
      </c>
      <c r="W100" s="80">
        <v>0.5</v>
      </c>
      <c r="X100" s="80">
        <f>V100*W100/100</f>
        <v>710</v>
      </c>
      <c r="Y100" s="81">
        <v>0.2</v>
      </c>
      <c r="Z100" s="82">
        <f>V100*Y100/100</f>
        <v>284</v>
      </c>
      <c r="AA100" s="84"/>
      <c r="AB100" s="85"/>
      <c r="AC100" s="86"/>
      <c r="AD100" s="86"/>
      <c r="AE100" s="87"/>
      <c r="AF100" s="83"/>
      <c r="AG100" s="83"/>
      <c r="AH100" s="83"/>
      <c r="AI100" s="65"/>
      <c r="AJ100" s="88">
        <v>1</v>
      </c>
      <c r="AK100" s="89" t="s">
        <v>833</v>
      </c>
      <c r="AL100" s="90"/>
      <c r="AM100" s="90" t="s">
        <v>1205</v>
      </c>
      <c r="AN100" s="91">
        <v>2</v>
      </c>
      <c r="AO100" s="92" t="s">
        <v>634</v>
      </c>
      <c r="AP100" s="88">
        <v>2</v>
      </c>
      <c r="AQ100" s="84" t="s">
        <v>660</v>
      </c>
      <c r="AR100" s="91"/>
      <c r="AS100" s="90" t="s">
        <v>1205</v>
      </c>
      <c r="AT100" s="91">
        <v>2</v>
      </c>
      <c r="AU100" s="93" t="s">
        <v>634</v>
      </c>
      <c r="AV100" s="88"/>
      <c r="AW100" s="94"/>
      <c r="AX100" s="88"/>
      <c r="AY100" s="88"/>
      <c r="AZ100" s="88"/>
      <c r="BA100" s="94"/>
      <c r="BB100" s="88"/>
      <c r="BC100" s="94"/>
      <c r="BD100" s="88"/>
      <c r="BE100" s="88"/>
      <c r="BF100" s="88"/>
      <c r="BG100" s="94"/>
      <c r="BH100" s="88"/>
      <c r="BI100" s="94"/>
      <c r="BJ100" s="88"/>
      <c r="BK100" s="88"/>
      <c r="BL100" s="88"/>
      <c r="BM100" s="88"/>
      <c r="BN100" s="88"/>
      <c r="BO100" s="94"/>
      <c r="BP100" s="88"/>
      <c r="BQ100" s="88"/>
      <c r="BR100" s="88"/>
      <c r="BS100" s="88"/>
      <c r="BT100" s="88"/>
      <c r="BU100" s="94"/>
      <c r="BV100" s="88"/>
      <c r="BW100" s="88"/>
      <c r="BX100" s="88"/>
      <c r="BY100" s="88"/>
      <c r="BZ100" s="88"/>
      <c r="CA100" s="94"/>
      <c r="CB100" s="88"/>
      <c r="CC100" s="88"/>
      <c r="CD100" s="88"/>
      <c r="CE100" s="88"/>
    </row>
    <row r="101" spans="1:83" x14ac:dyDescent="0.5">
      <c r="A101" s="227">
        <v>18106024</v>
      </c>
      <c r="B101" s="22">
        <v>18100968</v>
      </c>
      <c r="C101" s="55"/>
      <c r="D101" s="56"/>
      <c r="E101" s="57"/>
      <c r="F101" s="58"/>
      <c r="G101" s="59"/>
      <c r="H101" s="60"/>
      <c r="I101" s="269"/>
      <c r="J101" s="59"/>
      <c r="K101" s="22" t="s">
        <v>1117</v>
      </c>
      <c r="L101" s="28" t="s">
        <v>1118</v>
      </c>
      <c r="M101" s="22" t="s">
        <v>51</v>
      </c>
      <c r="N101" s="29">
        <v>3300</v>
      </c>
      <c r="O101" s="29">
        <f t="shared" si="24"/>
        <v>231</v>
      </c>
      <c r="P101" s="29">
        <f t="shared" si="25"/>
        <v>3531</v>
      </c>
      <c r="Q101" s="61"/>
      <c r="R101" s="96"/>
      <c r="S101" s="97"/>
      <c r="T101" s="98"/>
      <c r="U101" s="99"/>
      <c r="V101" s="100"/>
      <c r="W101" s="99"/>
      <c r="X101" s="99"/>
      <c r="Y101" s="100"/>
      <c r="Z101" s="101"/>
      <c r="AA101" s="40">
        <v>18110430</v>
      </c>
      <c r="AB101" s="41">
        <v>3300</v>
      </c>
      <c r="AC101" s="63">
        <f>AB101*7/100</f>
        <v>231</v>
      </c>
      <c r="AD101" s="64">
        <f>AB101+AC101</f>
        <v>3531</v>
      </c>
      <c r="AE101" s="53">
        <v>43418</v>
      </c>
      <c r="AF101" s="39" t="s">
        <v>869</v>
      </c>
      <c r="AI101" s="21" t="s">
        <v>1476</v>
      </c>
      <c r="AJ101" s="44">
        <v>1</v>
      </c>
      <c r="AK101" s="45" t="s">
        <v>1136</v>
      </c>
      <c r="AN101" s="47">
        <v>1</v>
      </c>
      <c r="AO101" s="48" t="s">
        <v>628</v>
      </c>
      <c r="AQ101" s="54"/>
      <c r="AR101" s="44"/>
      <c r="AS101" s="44"/>
      <c r="AT101" s="44"/>
      <c r="AU101" s="54"/>
      <c r="AW101" s="54"/>
      <c r="AX101" s="44"/>
      <c r="AY101" s="44"/>
      <c r="AZ101" s="44"/>
      <c r="BA101" s="54"/>
      <c r="BC101" s="54"/>
      <c r="BD101" s="44"/>
      <c r="BE101" s="44"/>
      <c r="BF101" s="44"/>
      <c r="BG101" s="54"/>
      <c r="BI101" s="54"/>
      <c r="BJ101" s="44"/>
      <c r="BK101" s="44"/>
      <c r="BL101" s="44"/>
      <c r="BM101" s="44"/>
      <c r="BO101" s="54"/>
      <c r="BP101" s="44"/>
      <c r="BQ101" s="44"/>
      <c r="BR101" s="44"/>
      <c r="BS101" s="44"/>
      <c r="BU101" s="54"/>
      <c r="BV101" s="44"/>
      <c r="BW101" s="44"/>
      <c r="BX101" s="44"/>
      <c r="BY101" s="44"/>
      <c r="CA101" s="54"/>
      <c r="CB101" s="44"/>
      <c r="CC101" s="44"/>
      <c r="CD101" s="44"/>
      <c r="CE101" s="44"/>
    </row>
    <row r="102" spans="1:83" x14ac:dyDescent="0.5">
      <c r="A102" s="259">
        <v>18106023</v>
      </c>
      <c r="B102" s="104">
        <v>18100965</v>
      </c>
      <c r="C102" s="105">
        <v>234</v>
      </c>
      <c r="D102" s="106" t="s">
        <v>184</v>
      </c>
      <c r="E102" s="107" t="s">
        <v>185</v>
      </c>
      <c r="F102" s="108">
        <v>258</v>
      </c>
      <c r="G102" s="122">
        <v>43426</v>
      </c>
      <c r="H102" s="109">
        <v>18428</v>
      </c>
      <c r="I102" s="127" t="s">
        <v>869</v>
      </c>
      <c r="J102" s="122">
        <v>43426</v>
      </c>
      <c r="K102" s="104" t="s">
        <v>1115</v>
      </c>
      <c r="L102" s="110" t="s">
        <v>1116</v>
      </c>
      <c r="M102" s="104" t="s">
        <v>53</v>
      </c>
      <c r="N102" s="111">
        <v>53100</v>
      </c>
      <c r="O102" s="111">
        <f t="shared" si="24"/>
        <v>3717</v>
      </c>
      <c r="P102" s="111">
        <f t="shared" si="25"/>
        <v>56817</v>
      </c>
      <c r="Q102" s="212"/>
      <c r="R102" s="165"/>
      <c r="S102" s="166"/>
      <c r="T102" s="167"/>
      <c r="U102" s="168"/>
      <c r="V102" s="117">
        <v>53100</v>
      </c>
      <c r="W102" s="118">
        <v>0.37</v>
      </c>
      <c r="X102" s="118">
        <f>V102*W102/100</f>
        <v>196.47</v>
      </c>
      <c r="Y102" s="119">
        <v>0.2</v>
      </c>
      <c r="Z102" s="120">
        <f>V102*Y102/100</f>
        <v>106.2</v>
      </c>
      <c r="AA102" s="229">
        <v>18110416</v>
      </c>
      <c r="AB102" s="230">
        <v>15930</v>
      </c>
      <c r="AC102" s="234">
        <f>AB102*7/100</f>
        <v>1115.0999999999999</v>
      </c>
      <c r="AD102" s="234">
        <f>AB102+AC102</f>
        <v>17045.099999999999</v>
      </c>
      <c r="AE102" s="221">
        <v>43405</v>
      </c>
      <c r="AF102" s="121" t="s">
        <v>869</v>
      </c>
      <c r="AG102" s="121"/>
      <c r="AH102" s="121"/>
      <c r="AI102" s="222" t="s">
        <v>1267</v>
      </c>
      <c r="AJ102" s="128">
        <v>1</v>
      </c>
      <c r="AK102" s="129" t="s">
        <v>877</v>
      </c>
      <c r="AL102" s="130"/>
      <c r="AM102" s="130" t="s">
        <v>1205</v>
      </c>
      <c r="AN102" s="131">
        <v>1</v>
      </c>
      <c r="AO102" s="132" t="s">
        <v>634</v>
      </c>
      <c r="AP102" s="128"/>
      <c r="AQ102" s="133"/>
      <c r="AR102" s="128"/>
      <c r="AS102" s="128"/>
      <c r="AT102" s="128"/>
      <c r="AU102" s="133"/>
      <c r="AV102" s="128"/>
      <c r="AW102" s="133"/>
      <c r="AX102" s="128"/>
      <c r="AY102" s="128"/>
      <c r="AZ102" s="128"/>
      <c r="BA102" s="133"/>
      <c r="BB102" s="128"/>
      <c r="BC102" s="133"/>
      <c r="BD102" s="128"/>
      <c r="BE102" s="128"/>
      <c r="BF102" s="128"/>
      <c r="BG102" s="133"/>
      <c r="BH102" s="128"/>
      <c r="BI102" s="133"/>
      <c r="BJ102" s="128"/>
      <c r="BK102" s="128"/>
      <c r="BL102" s="128"/>
      <c r="BM102" s="128"/>
      <c r="BN102" s="128"/>
      <c r="BO102" s="133"/>
      <c r="BP102" s="128"/>
      <c r="BQ102" s="128"/>
      <c r="BR102" s="128"/>
      <c r="BS102" s="128"/>
      <c r="BT102" s="128"/>
      <c r="BU102" s="133"/>
      <c r="BV102" s="128"/>
      <c r="BW102" s="128"/>
      <c r="BX102" s="128"/>
      <c r="BY102" s="128"/>
      <c r="BZ102" s="128"/>
      <c r="CA102" s="133"/>
      <c r="CB102" s="128"/>
      <c r="CC102" s="128"/>
      <c r="CD102" s="128"/>
      <c r="CE102" s="128"/>
    </row>
    <row r="103" spans="1:83" x14ac:dyDescent="0.5">
      <c r="A103" s="268"/>
      <c r="B103" s="181"/>
      <c r="C103" s="182"/>
      <c r="D103" s="183"/>
      <c r="E103" s="184"/>
      <c r="F103" s="185"/>
      <c r="G103" s="181"/>
      <c r="H103" s="187"/>
      <c r="I103" s="199"/>
      <c r="J103" s="181"/>
      <c r="K103" s="181"/>
      <c r="L103" s="188"/>
      <c r="M103" s="181"/>
      <c r="N103" s="189"/>
      <c r="O103" s="189"/>
      <c r="P103" s="189"/>
      <c r="Q103" s="214"/>
      <c r="R103" s="191"/>
      <c r="S103" s="192"/>
      <c r="T103" s="193"/>
      <c r="U103" s="194"/>
      <c r="V103" s="195"/>
      <c r="W103" s="196"/>
      <c r="X103" s="196"/>
      <c r="Y103" s="197"/>
      <c r="Z103" s="198"/>
      <c r="AA103" s="200">
        <v>18110431</v>
      </c>
      <c r="AB103" s="201">
        <v>37170</v>
      </c>
      <c r="AC103" s="238">
        <f>AB103*7/100</f>
        <v>2601.9</v>
      </c>
      <c r="AD103" s="238">
        <f>AB103+AC103</f>
        <v>39771.9</v>
      </c>
      <c r="AE103" s="203">
        <v>43419</v>
      </c>
      <c r="AF103" s="199" t="s">
        <v>869</v>
      </c>
      <c r="AG103" s="199"/>
      <c r="AH103" s="199"/>
      <c r="AI103" s="180" t="s">
        <v>1268</v>
      </c>
      <c r="AJ103" s="204"/>
      <c r="AK103" s="205"/>
      <c r="AL103" s="206"/>
      <c r="AM103" s="206"/>
      <c r="AN103" s="207"/>
      <c r="AO103" s="208"/>
      <c r="AP103" s="204"/>
      <c r="AQ103" s="210"/>
      <c r="AR103" s="204"/>
      <c r="AS103" s="204"/>
      <c r="AT103" s="204"/>
      <c r="AU103" s="210"/>
      <c r="AV103" s="204"/>
      <c r="AW103" s="210"/>
      <c r="AX103" s="204"/>
      <c r="AY103" s="204"/>
      <c r="AZ103" s="204"/>
      <c r="BA103" s="210"/>
      <c r="BB103" s="204"/>
      <c r="BC103" s="210"/>
      <c r="BD103" s="204"/>
      <c r="BE103" s="204"/>
      <c r="BF103" s="204"/>
      <c r="BG103" s="210"/>
      <c r="BH103" s="204"/>
      <c r="BI103" s="210"/>
      <c r="BJ103" s="204"/>
      <c r="BK103" s="204"/>
      <c r="BL103" s="204"/>
      <c r="BM103" s="204"/>
      <c r="BN103" s="204"/>
      <c r="BO103" s="210"/>
      <c r="BP103" s="204"/>
      <c r="BQ103" s="204"/>
      <c r="BR103" s="204"/>
      <c r="BS103" s="204"/>
      <c r="BT103" s="204"/>
      <c r="BU103" s="210"/>
      <c r="BV103" s="204"/>
      <c r="BW103" s="204"/>
      <c r="BX103" s="204"/>
      <c r="BY103" s="204"/>
      <c r="BZ103" s="204"/>
      <c r="CA103" s="210"/>
      <c r="CB103" s="204"/>
      <c r="CC103" s="204"/>
      <c r="CD103" s="204"/>
      <c r="CE103" s="204"/>
    </row>
    <row r="104" spans="1:83" x14ac:dyDescent="0.5">
      <c r="A104" s="227">
        <v>18106022</v>
      </c>
      <c r="B104" s="22">
        <v>18100964</v>
      </c>
      <c r="C104" s="23">
        <v>233</v>
      </c>
      <c r="D104" s="24" t="s">
        <v>184</v>
      </c>
      <c r="E104" s="25" t="s">
        <v>185</v>
      </c>
      <c r="F104" s="26">
        <v>255</v>
      </c>
      <c r="G104" s="62">
        <v>43423</v>
      </c>
      <c r="H104" s="27">
        <v>18419</v>
      </c>
      <c r="I104" s="39" t="s">
        <v>869</v>
      </c>
      <c r="J104" s="62">
        <v>43423</v>
      </c>
      <c r="K104" s="22" t="s">
        <v>23</v>
      </c>
      <c r="L104" s="28" t="s">
        <v>1119</v>
      </c>
      <c r="M104" s="22" t="s">
        <v>51</v>
      </c>
      <c r="N104" s="29">
        <v>73000</v>
      </c>
      <c r="O104" s="29">
        <f t="shared" si="24"/>
        <v>5110</v>
      </c>
      <c r="P104" s="29">
        <f t="shared" si="25"/>
        <v>78110</v>
      </c>
      <c r="Q104" s="61"/>
      <c r="R104" s="96"/>
      <c r="S104" s="97"/>
      <c r="T104" s="98"/>
      <c r="U104" s="99"/>
      <c r="V104" s="100"/>
      <c r="W104" s="99"/>
      <c r="X104" s="99"/>
      <c r="Y104" s="100"/>
      <c r="Z104" s="101"/>
      <c r="AA104" s="40">
        <v>18110460</v>
      </c>
      <c r="AB104" s="41">
        <v>73000</v>
      </c>
      <c r="AC104" s="52">
        <f>AB104*7/100</f>
        <v>5110</v>
      </c>
      <c r="AD104" s="52">
        <f>AB104+AC104</f>
        <v>78110</v>
      </c>
      <c r="AE104" s="53">
        <v>43453</v>
      </c>
      <c r="AF104" s="39" t="s">
        <v>869</v>
      </c>
      <c r="AI104" s="21" t="s">
        <v>1302</v>
      </c>
      <c r="AJ104" s="44">
        <v>1</v>
      </c>
      <c r="AK104" s="45" t="s">
        <v>1137</v>
      </c>
      <c r="AM104" s="46" t="s">
        <v>1205</v>
      </c>
      <c r="AN104" s="47">
        <v>1</v>
      </c>
      <c r="AO104" s="48" t="s">
        <v>633</v>
      </c>
      <c r="AQ104" s="54"/>
      <c r="AR104" s="44"/>
      <c r="AS104" s="44"/>
      <c r="AT104" s="44"/>
      <c r="AU104" s="54"/>
      <c r="AW104" s="54"/>
      <c r="AX104" s="44"/>
      <c r="AY104" s="44"/>
      <c r="AZ104" s="44"/>
      <c r="BA104" s="54"/>
      <c r="BC104" s="54"/>
      <c r="BD104" s="44"/>
      <c r="BE104" s="44"/>
      <c r="BF104" s="44"/>
      <c r="BG104" s="54"/>
      <c r="BI104" s="54"/>
      <c r="BJ104" s="44"/>
      <c r="BK104" s="44"/>
      <c r="BL104" s="44"/>
      <c r="BM104" s="44"/>
      <c r="BO104" s="54"/>
      <c r="BP104" s="44"/>
      <c r="BQ104" s="44"/>
      <c r="BR104" s="44"/>
      <c r="BS104" s="44"/>
      <c r="BU104" s="54"/>
      <c r="BV104" s="44"/>
      <c r="BW104" s="44"/>
      <c r="BX104" s="44"/>
      <c r="BY104" s="44"/>
      <c r="CA104" s="54"/>
      <c r="CB104" s="44"/>
      <c r="CC104" s="44"/>
      <c r="CD104" s="44"/>
      <c r="CE104" s="44"/>
    </row>
    <row r="105" spans="1:83" x14ac:dyDescent="0.5">
      <c r="A105" s="259">
        <v>18106021</v>
      </c>
      <c r="B105" s="104">
        <v>18100953</v>
      </c>
      <c r="C105" s="105">
        <v>232</v>
      </c>
      <c r="D105" s="106" t="s">
        <v>184</v>
      </c>
      <c r="E105" s="107" t="s">
        <v>185</v>
      </c>
      <c r="F105" s="108">
        <v>251</v>
      </c>
      <c r="G105" s="211">
        <v>43413</v>
      </c>
      <c r="H105" s="164">
        <v>18411</v>
      </c>
      <c r="I105" s="127" t="s">
        <v>869</v>
      </c>
      <c r="J105" s="122">
        <v>43413</v>
      </c>
      <c r="K105" s="104" t="s">
        <v>167</v>
      </c>
      <c r="L105" s="110" t="s">
        <v>1109</v>
      </c>
      <c r="M105" s="104" t="s">
        <v>53</v>
      </c>
      <c r="N105" s="111">
        <v>476415</v>
      </c>
      <c r="O105" s="111">
        <f t="shared" si="24"/>
        <v>33349.050000000003</v>
      </c>
      <c r="P105" s="111">
        <f t="shared" si="25"/>
        <v>509764.05</v>
      </c>
      <c r="Q105" s="311"/>
      <c r="R105" s="113" t="s">
        <v>1120</v>
      </c>
      <c r="S105" s="114">
        <v>452115</v>
      </c>
      <c r="T105" s="115">
        <v>5</v>
      </c>
      <c r="U105" s="116">
        <f>S105*T105/100</f>
        <v>22605.75</v>
      </c>
      <c r="V105" s="117">
        <f>S105-U105</f>
        <v>429509.25</v>
      </c>
      <c r="W105" s="118">
        <v>0.26</v>
      </c>
      <c r="X105" s="118">
        <f>V105*W105/100</f>
        <v>1116.72405</v>
      </c>
      <c r="Y105" s="119">
        <v>0.2</v>
      </c>
      <c r="Z105" s="120">
        <f>V105*Y105/100</f>
        <v>859.01850000000002</v>
      </c>
      <c r="AA105" s="123">
        <v>18110434</v>
      </c>
      <c r="AB105" s="124">
        <v>476415</v>
      </c>
      <c r="AC105" s="125">
        <f>AB105*7/100</f>
        <v>33349.050000000003</v>
      </c>
      <c r="AD105" s="125">
        <f>AB105+AC105</f>
        <v>509764.05</v>
      </c>
      <c r="AE105" s="126">
        <v>43449</v>
      </c>
      <c r="AF105" s="127" t="s">
        <v>869</v>
      </c>
      <c r="AG105" s="127"/>
      <c r="AH105" s="127"/>
      <c r="AI105" s="103" t="s">
        <v>2170</v>
      </c>
      <c r="AJ105" s="128">
        <v>1</v>
      </c>
      <c r="AK105" s="129" t="s">
        <v>724</v>
      </c>
      <c r="AL105" s="130"/>
      <c r="AM105" s="130" t="s">
        <v>1205</v>
      </c>
      <c r="AN105" s="131">
        <v>3</v>
      </c>
      <c r="AO105" s="132" t="s">
        <v>634</v>
      </c>
      <c r="AP105" s="128"/>
      <c r="AQ105" s="133"/>
      <c r="AR105" s="128"/>
      <c r="AS105" s="128"/>
      <c r="AT105" s="128"/>
      <c r="AU105" s="133"/>
      <c r="AV105" s="128"/>
      <c r="AW105" s="133"/>
      <c r="AX105" s="128"/>
      <c r="AY105" s="128"/>
      <c r="AZ105" s="128"/>
      <c r="BA105" s="133"/>
      <c r="BB105" s="128"/>
      <c r="BC105" s="133"/>
      <c r="BD105" s="128"/>
      <c r="BE105" s="128"/>
      <c r="BF105" s="128"/>
      <c r="BG105" s="133"/>
      <c r="BH105" s="128"/>
      <c r="BI105" s="133"/>
      <c r="BJ105" s="128"/>
      <c r="BK105" s="128"/>
      <c r="BL105" s="128"/>
      <c r="BM105" s="128"/>
      <c r="BN105" s="128"/>
      <c r="BO105" s="133"/>
      <c r="BP105" s="128"/>
      <c r="BQ105" s="128"/>
      <c r="BR105" s="128"/>
      <c r="BS105" s="128"/>
      <c r="BT105" s="128"/>
      <c r="BU105" s="133"/>
      <c r="BV105" s="128"/>
      <c r="BW105" s="128"/>
      <c r="BX105" s="128"/>
      <c r="BY105" s="128"/>
      <c r="BZ105" s="128"/>
      <c r="CA105" s="133"/>
      <c r="CB105" s="128"/>
      <c r="CC105" s="128"/>
      <c r="CD105" s="128"/>
      <c r="CE105" s="128"/>
    </row>
    <row r="106" spans="1:83" x14ac:dyDescent="0.5">
      <c r="A106" s="262"/>
      <c r="B106" s="135"/>
      <c r="C106" s="136"/>
      <c r="D106" s="137"/>
      <c r="E106" s="138"/>
      <c r="F106" s="139"/>
      <c r="G106" s="170">
        <v>43413</v>
      </c>
      <c r="H106" s="251">
        <v>18412</v>
      </c>
      <c r="I106" s="152"/>
      <c r="J106" s="135"/>
      <c r="K106" s="135"/>
      <c r="L106" s="141"/>
      <c r="M106" s="135"/>
      <c r="N106" s="142"/>
      <c r="O106" s="142"/>
      <c r="P106" s="142"/>
      <c r="Q106" s="143"/>
      <c r="R106" s="144"/>
      <c r="S106" s="145"/>
      <c r="T106" s="146"/>
      <c r="U106" s="147"/>
      <c r="V106" s="148"/>
      <c r="W106" s="149"/>
      <c r="X106" s="149"/>
      <c r="Y106" s="150"/>
      <c r="Z106" s="151"/>
      <c r="AA106" s="154"/>
      <c r="AB106" s="155"/>
      <c r="AC106" s="255"/>
      <c r="AD106" s="255"/>
      <c r="AE106" s="256"/>
      <c r="AF106" s="152"/>
      <c r="AG106" s="152"/>
      <c r="AH106" s="152"/>
      <c r="AI106" s="134"/>
      <c r="AJ106" s="158"/>
      <c r="AK106" s="159"/>
      <c r="AL106" s="160"/>
      <c r="AM106" s="160"/>
      <c r="AN106" s="161"/>
      <c r="AO106" s="162"/>
      <c r="AP106" s="158"/>
      <c r="AQ106" s="163"/>
      <c r="AR106" s="158"/>
      <c r="AS106" s="158"/>
      <c r="AT106" s="158"/>
      <c r="AU106" s="163"/>
      <c r="AV106" s="158"/>
      <c r="AW106" s="163"/>
      <c r="AX106" s="158"/>
      <c r="AY106" s="158"/>
      <c r="AZ106" s="158"/>
      <c r="BA106" s="163"/>
      <c r="BB106" s="158"/>
      <c r="BC106" s="163"/>
      <c r="BD106" s="158"/>
      <c r="BE106" s="158"/>
      <c r="BF106" s="158"/>
      <c r="BG106" s="163"/>
      <c r="BH106" s="158"/>
      <c r="BI106" s="163"/>
      <c r="BJ106" s="158"/>
      <c r="BK106" s="158"/>
      <c r="BL106" s="158"/>
      <c r="BM106" s="158"/>
      <c r="BN106" s="158"/>
      <c r="BO106" s="163"/>
      <c r="BP106" s="158"/>
      <c r="BQ106" s="158"/>
      <c r="BR106" s="158"/>
      <c r="BS106" s="158"/>
      <c r="BT106" s="158"/>
      <c r="BU106" s="163"/>
      <c r="BV106" s="158"/>
      <c r="BW106" s="158"/>
      <c r="BX106" s="158"/>
      <c r="BY106" s="158"/>
      <c r="BZ106" s="158"/>
      <c r="CA106" s="163"/>
      <c r="CB106" s="158"/>
      <c r="CC106" s="158"/>
      <c r="CD106" s="158"/>
      <c r="CE106" s="158"/>
    </row>
    <row r="107" spans="1:83" x14ac:dyDescent="0.5">
      <c r="A107" s="268"/>
      <c r="B107" s="181"/>
      <c r="C107" s="182"/>
      <c r="D107" s="183"/>
      <c r="E107" s="184"/>
      <c r="F107" s="185"/>
      <c r="G107" s="186">
        <v>43413</v>
      </c>
      <c r="H107" s="187">
        <v>18413</v>
      </c>
      <c r="I107" s="199"/>
      <c r="J107" s="181"/>
      <c r="K107" s="181"/>
      <c r="L107" s="188"/>
      <c r="M107" s="181"/>
      <c r="N107" s="189"/>
      <c r="O107" s="189"/>
      <c r="P107" s="189"/>
      <c r="Q107" s="190"/>
      <c r="R107" s="215"/>
      <c r="S107" s="216"/>
      <c r="T107" s="217"/>
      <c r="U107" s="218"/>
      <c r="V107" s="195"/>
      <c r="W107" s="196"/>
      <c r="X107" s="196"/>
      <c r="Y107" s="197"/>
      <c r="Z107" s="198"/>
      <c r="AA107" s="200"/>
      <c r="AB107" s="201"/>
      <c r="AC107" s="240"/>
      <c r="AD107" s="240"/>
      <c r="AE107" s="241"/>
      <c r="AF107" s="199"/>
      <c r="AG107" s="199"/>
      <c r="AH107" s="199"/>
      <c r="AI107" s="180"/>
      <c r="AJ107" s="204"/>
      <c r="AK107" s="205"/>
      <c r="AL107" s="206"/>
      <c r="AM107" s="206"/>
      <c r="AN107" s="207"/>
      <c r="AO107" s="208"/>
      <c r="AP107" s="204"/>
      <c r="AQ107" s="210"/>
      <c r="AR107" s="204"/>
      <c r="AS107" s="204"/>
      <c r="AT107" s="204"/>
      <c r="AU107" s="210"/>
      <c r="AV107" s="204"/>
      <c r="AW107" s="210"/>
      <c r="AX107" s="204"/>
      <c r="AY107" s="204"/>
      <c r="AZ107" s="204"/>
      <c r="BA107" s="210"/>
      <c r="BB107" s="204"/>
      <c r="BC107" s="210"/>
      <c r="BD107" s="204"/>
      <c r="BE107" s="204"/>
      <c r="BF107" s="204"/>
      <c r="BG107" s="210"/>
      <c r="BH107" s="204"/>
      <c r="BI107" s="210"/>
      <c r="BJ107" s="204"/>
      <c r="BK107" s="204"/>
      <c r="BL107" s="204"/>
      <c r="BM107" s="204"/>
      <c r="BN107" s="204"/>
      <c r="BO107" s="210"/>
      <c r="BP107" s="204"/>
      <c r="BQ107" s="204"/>
      <c r="BR107" s="204"/>
      <c r="BS107" s="204"/>
      <c r="BT107" s="204"/>
      <c r="BU107" s="210"/>
      <c r="BV107" s="204"/>
      <c r="BW107" s="204"/>
      <c r="BX107" s="204"/>
      <c r="BY107" s="204"/>
      <c r="BZ107" s="204"/>
      <c r="CA107" s="210"/>
      <c r="CB107" s="204"/>
      <c r="CC107" s="204"/>
      <c r="CD107" s="204"/>
      <c r="CE107" s="204"/>
    </row>
    <row r="108" spans="1:83" s="95" customFormat="1" x14ac:dyDescent="0.5">
      <c r="A108" s="65">
        <v>18106020</v>
      </c>
      <c r="B108" s="66">
        <v>18100946</v>
      </c>
      <c r="C108" s="67">
        <v>231</v>
      </c>
      <c r="D108" s="68" t="s">
        <v>184</v>
      </c>
      <c r="E108" s="69"/>
      <c r="F108" s="70"/>
      <c r="G108" s="66"/>
      <c r="H108" s="71"/>
      <c r="I108" s="83"/>
      <c r="J108" s="66"/>
      <c r="K108" s="66" t="s">
        <v>165</v>
      </c>
      <c r="L108" s="72" t="s">
        <v>1110</v>
      </c>
      <c r="M108" s="66" t="s">
        <v>53</v>
      </c>
      <c r="N108" s="73">
        <v>99000</v>
      </c>
      <c r="O108" s="73">
        <f t="shared" si="24"/>
        <v>6930</v>
      </c>
      <c r="P108" s="73">
        <f t="shared" si="25"/>
        <v>105930</v>
      </c>
      <c r="Q108" s="318"/>
      <c r="R108" s="341"/>
      <c r="S108" s="76">
        <f>N108</f>
        <v>99000</v>
      </c>
      <c r="T108" s="77">
        <v>5</v>
      </c>
      <c r="U108" s="78">
        <f>S108*T108/100</f>
        <v>4950</v>
      </c>
      <c r="V108" s="79">
        <f>S108-U108</f>
        <v>94050</v>
      </c>
      <c r="W108" s="80">
        <v>0.31</v>
      </c>
      <c r="X108" s="80">
        <f>V108*W108/100</f>
        <v>291.55500000000001</v>
      </c>
      <c r="Y108" s="81">
        <v>0.2</v>
      </c>
      <c r="Z108" s="82">
        <f>V108*Y108/100</f>
        <v>188.1</v>
      </c>
      <c r="AA108" s="84"/>
      <c r="AB108" s="85"/>
      <c r="AC108" s="86"/>
      <c r="AD108" s="86"/>
      <c r="AE108" s="87"/>
      <c r="AF108" s="83"/>
      <c r="AG108" s="83"/>
      <c r="AH108" s="83"/>
      <c r="AI108" s="65"/>
      <c r="AJ108" s="88">
        <v>1</v>
      </c>
      <c r="AK108" s="89" t="s">
        <v>829</v>
      </c>
      <c r="AL108" s="90"/>
      <c r="AM108" s="90" t="s">
        <v>1205</v>
      </c>
      <c r="AN108" s="91">
        <v>8</v>
      </c>
      <c r="AO108" s="92" t="s">
        <v>634</v>
      </c>
      <c r="AP108" s="88"/>
      <c r="AQ108" s="94"/>
      <c r="AR108" s="88"/>
      <c r="AS108" s="88"/>
      <c r="AT108" s="88"/>
      <c r="AU108" s="94"/>
      <c r="AV108" s="88"/>
      <c r="AW108" s="94"/>
      <c r="AX108" s="88"/>
      <c r="AY108" s="88"/>
      <c r="AZ108" s="88"/>
      <c r="BA108" s="94"/>
      <c r="BB108" s="88"/>
      <c r="BC108" s="94"/>
      <c r="BD108" s="88"/>
      <c r="BE108" s="88"/>
      <c r="BF108" s="88"/>
      <c r="BG108" s="94"/>
      <c r="BH108" s="88"/>
      <c r="BI108" s="94"/>
      <c r="BJ108" s="88"/>
      <c r="BK108" s="88"/>
      <c r="BL108" s="88"/>
      <c r="BM108" s="88"/>
      <c r="BN108" s="88"/>
      <c r="BO108" s="94"/>
      <c r="BP108" s="88"/>
      <c r="BQ108" s="88"/>
      <c r="BR108" s="88"/>
      <c r="BS108" s="88"/>
      <c r="BT108" s="88"/>
      <c r="BU108" s="94"/>
      <c r="BV108" s="88"/>
      <c r="BW108" s="88"/>
      <c r="BX108" s="88"/>
      <c r="BY108" s="88"/>
      <c r="BZ108" s="88"/>
      <c r="CA108" s="94"/>
      <c r="CB108" s="88"/>
      <c r="CC108" s="88"/>
      <c r="CD108" s="88"/>
      <c r="CE108" s="88"/>
    </row>
    <row r="109" spans="1:83" x14ac:dyDescent="0.5">
      <c r="A109" s="259">
        <v>18106019</v>
      </c>
      <c r="B109" s="104">
        <v>18100945</v>
      </c>
      <c r="C109" s="105">
        <v>230</v>
      </c>
      <c r="D109" s="106" t="s">
        <v>184</v>
      </c>
      <c r="E109" s="107" t="s">
        <v>1324</v>
      </c>
      <c r="F109" s="108" t="s">
        <v>2303</v>
      </c>
      <c r="G109" s="211">
        <v>43664</v>
      </c>
      <c r="H109" s="164">
        <v>19200</v>
      </c>
      <c r="I109" s="248" t="s">
        <v>869</v>
      </c>
      <c r="J109" s="122">
        <v>43666</v>
      </c>
      <c r="K109" s="104" t="s">
        <v>165</v>
      </c>
      <c r="L109" s="110" t="s">
        <v>1111</v>
      </c>
      <c r="M109" s="104" t="s">
        <v>53</v>
      </c>
      <c r="N109" s="111">
        <v>204750</v>
      </c>
      <c r="O109" s="111">
        <f t="shared" si="24"/>
        <v>14332.5</v>
      </c>
      <c r="P109" s="111">
        <f t="shared" si="25"/>
        <v>219082.5</v>
      </c>
      <c r="Q109" s="212"/>
      <c r="R109" s="113" t="s">
        <v>1310</v>
      </c>
      <c r="S109" s="114">
        <f>N109</f>
        <v>204750</v>
      </c>
      <c r="T109" s="115">
        <v>5</v>
      </c>
      <c r="U109" s="116">
        <f>S109*T109/100</f>
        <v>10237.5</v>
      </c>
      <c r="V109" s="117">
        <f>S109-U109</f>
        <v>194512.5</v>
      </c>
      <c r="W109" s="118">
        <v>0.31</v>
      </c>
      <c r="X109" s="118">
        <f>V109*W109/100</f>
        <v>602.98874999999998</v>
      </c>
      <c r="Y109" s="119">
        <v>0.2</v>
      </c>
      <c r="Z109" s="120">
        <f>V109*Y109/100</f>
        <v>389.02499999999998</v>
      </c>
      <c r="AA109" s="123">
        <v>19070264</v>
      </c>
      <c r="AB109" s="124">
        <v>184275</v>
      </c>
      <c r="AC109" s="260">
        <f>AB109*7/100</f>
        <v>12899.25</v>
      </c>
      <c r="AD109" s="261">
        <f>AB109+AC109</f>
        <v>197174.25</v>
      </c>
      <c r="AE109" s="126">
        <v>43703</v>
      </c>
      <c r="AF109" s="127" t="s">
        <v>869</v>
      </c>
      <c r="AG109" s="127"/>
      <c r="AH109" s="127"/>
      <c r="AI109" s="103" t="s">
        <v>2851</v>
      </c>
      <c r="AJ109" s="128">
        <v>1</v>
      </c>
      <c r="AK109" s="129" t="s">
        <v>784</v>
      </c>
      <c r="AL109" s="130"/>
      <c r="AM109" s="130" t="s">
        <v>1205</v>
      </c>
      <c r="AN109" s="131">
        <v>10</v>
      </c>
      <c r="AO109" s="132" t="s">
        <v>634</v>
      </c>
      <c r="AP109" s="128"/>
      <c r="AQ109" s="133"/>
      <c r="AR109" s="128"/>
      <c r="AS109" s="128"/>
      <c r="AT109" s="128"/>
      <c r="AU109" s="133"/>
      <c r="AV109" s="128"/>
      <c r="AW109" s="133"/>
      <c r="AX109" s="128"/>
      <c r="AY109" s="128"/>
      <c r="AZ109" s="128"/>
      <c r="BA109" s="133"/>
      <c r="BB109" s="128"/>
      <c r="BC109" s="133"/>
      <c r="BD109" s="128"/>
      <c r="BE109" s="128"/>
      <c r="BF109" s="128"/>
      <c r="BG109" s="133"/>
      <c r="BH109" s="128"/>
      <c r="BI109" s="133"/>
      <c r="BJ109" s="128"/>
      <c r="BK109" s="128"/>
      <c r="BL109" s="128"/>
      <c r="BM109" s="128"/>
      <c r="BN109" s="128"/>
      <c r="BO109" s="133"/>
      <c r="BP109" s="128"/>
      <c r="BQ109" s="128"/>
      <c r="BR109" s="128"/>
      <c r="BS109" s="128"/>
      <c r="BT109" s="128"/>
      <c r="BU109" s="133"/>
      <c r="BV109" s="128"/>
      <c r="BW109" s="128"/>
      <c r="BX109" s="128"/>
      <c r="BY109" s="128"/>
      <c r="BZ109" s="128"/>
      <c r="CA109" s="133"/>
      <c r="CB109" s="128"/>
      <c r="CC109" s="128"/>
      <c r="CD109" s="128"/>
      <c r="CE109" s="128"/>
    </row>
    <row r="110" spans="1:83" x14ac:dyDescent="0.5">
      <c r="A110" s="262"/>
      <c r="B110" s="135"/>
      <c r="C110" s="136"/>
      <c r="D110" s="137"/>
      <c r="E110" s="138"/>
      <c r="F110" s="139"/>
      <c r="G110" s="170">
        <v>43664</v>
      </c>
      <c r="H110" s="251">
        <v>19201</v>
      </c>
      <c r="I110" s="252"/>
      <c r="J110" s="179"/>
      <c r="K110" s="135"/>
      <c r="L110" s="141"/>
      <c r="M110" s="135"/>
      <c r="N110" s="142"/>
      <c r="O110" s="142"/>
      <c r="P110" s="142"/>
      <c r="Q110" s="213"/>
      <c r="R110" s="144"/>
      <c r="S110" s="145"/>
      <c r="T110" s="146"/>
      <c r="U110" s="147"/>
      <c r="V110" s="148"/>
      <c r="W110" s="149"/>
      <c r="X110" s="149"/>
      <c r="Y110" s="150"/>
      <c r="Z110" s="151"/>
      <c r="AA110" s="154">
        <v>19090346</v>
      </c>
      <c r="AB110" s="155">
        <v>20475</v>
      </c>
      <c r="AC110" s="255">
        <f>AB110*7/100</f>
        <v>1433.25</v>
      </c>
      <c r="AD110" s="263">
        <f>AB110+AC110</f>
        <v>21908.25</v>
      </c>
      <c r="AE110" s="157">
        <v>43755</v>
      </c>
      <c r="AF110" s="152" t="s">
        <v>869</v>
      </c>
      <c r="AG110" s="152"/>
      <c r="AH110" s="152"/>
      <c r="AI110" s="134" t="s">
        <v>3025</v>
      </c>
      <c r="AJ110" s="158"/>
      <c r="AK110" s="159"/>
      <c r="AL110" s="160"/>
      <c r="AM110" s="160"/>
      <c r="AN110" s="161"/>
      <c r="AO110" s="162"/>
      <c r="AP110" s="158"/>
      <c r="AQ110" s="163"/>
      <c r="AR110" s="158"/>
      <c r="AS110" s="158"/>
      <c r="AT110" s="158"/>
      <c r="AU110" s="163"/>
      <c r="AV110" s="158"/>
      <c r="AW110" s="163"/>
      <c r="AX110" s="158"/>
      <c r="AY110" s="158"/>
      <c r="AZ110" s="158"/>
      <c r="BA110" s="163"/>
      <c r="BB110" s="158"/>
      <c r="BC110" s="163"/>
      <c r="BD110" s="158"/>
      <c r="BE110" s="158"/>
      <c r="BF110" s="158"/>
      <c r="BG110" s="163"/>
      <c r="BH110" s="158"/>
      <c r="BI110" s="163"/>
      <c r="BJ110" s="158"/>
      <c r="BK110" s="158"/>
      <c r="BL110" s="158"/>
      <c r="BM110" s="158"/>
      <c r="BN110" s="158"/>
      <c r="BO110" s="163"/>
      <c r="BP110" s="158"/>
      <c r="BQ110" s="158"/>
      <c r="BR110" s="158"/>
      <c r="BS110" s="158"/>
      <c r="BT110" s="158"/>
      <c r="BU110" s="163"/>
      <c r="BV110" s="158"/>
      <c r="BW110" s="158"/>
      <c r="BX110" s="158"/>
      <c r="BY110" s="158"/>
      <c r="BZ110" s="158"/>
      <c r="CA110" s="163"/>
      <c r="CB110" s="158"/>
      <c r="CC110" s="158"/>
      <c r="CD110" s="158"/>
      <c r="CE110" s="158"/>
    </row>
    <row r="111" spans="1:83" x14ac:dyDescent="0.5">
      <c r="A111" s="262"/>
      <c r="B111" s="135"/>
      <c r="C111" s="136"/>
      <c r="D111" s="137"/>
      <c r="E111" s="138"/>
      <c r="F111" s="139"/>
      <c r="G111" s="170">
        <v>43664</v>
      </c>
      <c r="H111" s="251">
        <v>19202</v>
      </c>
      <c r="I111" s="252"/>
      <c r="J111" s="179"/>
      <c r="K111" s="135"/>
      <c r="L111" s="141"/>
      <c r="M111" s="135"/>
      <c r="N111" s="142"/>
      <c r="O111" s="142"/>
      <c r="P111" s="142"/>
      <c r="Q111" s="213"/>
      <c r="R111" s="144"/>
      <c r="S111" s="145"/>
      <c r="T111" s="146"/>
      <c r="U111" s="147"/>
      <c r="V111" s="148"/>
      <c r="W111" s="149"/>
      <c r="X111" s="149"/>
      <c r="Y111" s="150"/>
      <c r="Z111" s="151"/>
      <c r="AA111" s="154"/>
      <c r="AB111" s="155"/>
      <c r="AC111" s="255"/>
      <c r="AD111" s="255"/>
      <c r="AE111" s="256"/>
      <c r="AF111" s="152"/>
      <c r="AG111" s="152"/>
      <c r="AH111" s="152"/>
      <c r="AI111" s="134"/>
      <c r="AJ111" s="158"/>
      <c r="AK111" s="159"/>
      <c r="AL111" s="160"/>
      <c r="AM111" s="160"/>
      <c r="AN111" s="161"/>
      <c r="AO111" s="162"/>
      <c r="AP111" s="158"/>
      <c r="AQ111" s="163"/>
      <c r="AR111" s="158"/>
      <c r="AS111" s="158"/>
      <c r="AT111" s="158"/>
      <c r="AU111" s="163"/>
      <c r="AV111" s="158"/>
      <c r="AW111" s="163"/>
      <c r="AX111" s="158"/>
      <c r="AY111" s="158"/>
      <c r="AZ111" s="158"/>
      <c r="BA111" s="163"/>
      <c r="BB111" s="158"/>
      <c r="BC111" s="163"/>
      <c r="BD111" s="158"/>
      <c r="BE111" s="158"/>
      <c r="BF111" s="158"/>
      <c r="BG111" s="163"/>
      <c r="BH111" s="158"/>
      <c r="BI111" s="163"/>
      <c r="BJ111" s="158"/>
      <c r="BK111" s="158"/>
      <c r="BL111" s="158"/>
      <c r="BM111" s="158"/>
      <c r="BN111" s="158"/>
      <c r="BO111" s="163"/>
      <c r="BP111" s="158"/>
      <c r="BQ111" s="158"/>
      <c r="BR111" s="158"/>
      <c r="BS111" s="158"/>
      <c r="BT111" s="158"/>
      <c r="BU111" s="163"/>
      <c r="BV111" s="158"/>
      <c r="BW111" s="158"/>
      <c r="BX111" s="158"/>
      <c r="BY111" s="158"/>
      <c r="BZ111" s="158"/>
      <c r="CA111" s="163"/>
      <c r="CB111" s="158"/>
      <c r="CC111" s="158"/>
      <c r="CD111" s="158"/>
      <c r="CE111" s="158"/>
    </row>
    <row r="112" spans="1:83" x14ac:dyDescent="0.5">
      <c r="A112" s="262"/>
      <c r="B112" s="135"/>
      <c r="C112" s="136"/>
      <c r="D112" s="137"/>
      <c r="E112" s="249" t="s">
        <v>1324</v>
      </c>
      <c r="F112" s="250" t="s">
        <v>2381</v>
      </c>
      <c r="G112" s="178">
        <v>43670</v>
      </c>
      <c r="H112" s="171">
        <v>19213</v>
      </c>
      <c r="I112" s="252"/>
      <c r="J112" s="170">
        <v>43671</v>
      </c>
      <c r="K112" s="135"/>
      <c r="L112" s="141"/>
      <c r="M112" s="135"/>
      <c r="N112" s="142"/>
      <c r="O112" s="142"/>
      <c r="P112" s="142"/>
      <c r="Q112" s="213"/>
      <c r="R112" s="144"/>
      <c r="S112" s="145"/>
      <c r="T112" s="146"/>
      <c r="U112" s="147"/>
      <c r="V112" s="148"/>
      <c r="W112" s="149"/>
      <c r="X112" s="149"/>
      <c r="Y112" s="150"/>
      <c r="Z112" s="151"/>
      <c r="AA112" s="154"/>
      <c r="AB112" s="155"/>
      <c r="AC112" s="255"/>
      <c r="AD112" s="255"/>
      <c r="AE112" s="256"/>
      <c r="AF112" s="152"/>
      <c r="AG112" s="152"/>
      <c r="AH112" s="152"/>
      <c r="AI112" s="134"/>
      <c r="AJ112" s="158"/>
      <c r="AK112" s="159"/>
      <c r="AL112" s="160"/>
      <c r="AM112" s="160"/>
      <c r="AN112" s="161"/>
      <c r="AO112" s="162"/>
      <c r="AP112" s="158"/>
      <c r="AQ112" s="163"/>
      <c r="AR112" s="158"/>
      <c r="AS112" s="158"/>
      <c r="AT112" s="158"/>
      <c r="AU112" s="163"/>
      <c r="AV112" s="158"/>
      <c r="AW112" s="163"/>
      <c r="AX112" s="158"/>
      <c r="AY112" s="158"/>
      <c r="AZ112" s="158"/>
      <c r="BA112" s="163"/>
      <c r="BB112" s="158"/>
      <c r="BC112" s="163"/>
      <c r="BD112" s="158"/>
      <c r="BE112" s="158"/>
      <c r="BF112" s="158"/>
      <c r="BG112" s="163"/>
      <c r="BH112" s="158"/>
      <c r="BI112" s="163"/>
      <c r="BJ112" s="158"/>
      <c r="BK112" s="158"/>
      <c r="BL112" s="158"/>
      <c r="BM112" s="158"/>
      <c r="BN112" s="158"/>
      <c r="BO112" s="163"/>
      <c r="BP112" s="158"/>
      <c r="BQ112" s="158"/>
      <c r="BR112" s="158"/>
      <c r="BS112" s="158"/>
      <c r="BT112" s="158"/>
      <c r="BU112" s="163"/>
      <c r="BV112" s="158"/>
      <c r="BW112" s="158"/>
      <c r="BX112" s="158"/>
      <c r="BY112" s="158"/>
      <c r="BZ112" s="158"/>
      <c r="CA112" s="163"/>
      <c r="CB112" s="158"/>
      <c r="CC112" s="158"/>
      <c r="CD112" s="158"/>
      <c r="CE112" s="158"/>
    </row>
    <row r="113" spans="1:83" x14ac:dyDescent="0.5">
      <c r="A113" s="268"/>
      <c r="B113" s="181"/>
      <c r="C113" s="182"/>
      <c r="D113" s="183"/>
      <c r="E113" s="184" t="s">
        <v>1324</v>
      </c>
      <c r="F113" s="185" t="s">
        <v>2571</v>
      </c>
      <c r="G113" s="186">
        <v>43712</v>
      </c>
      <c r="H113" s="187">
        <v>19268</v>
      </c>
      <c r="I113" s="257"/>
      <c r="J113" s="186">
        <v>43713</v>
      </c>
      <c r="K113" s="181"/>
      <c r="L113" s="188"/>
      <c r="M113" s="181"/>
      <c r="N113" s="189"/>
      <c r="O113" s="189"/>
      <c r="P113" s="189"/>
      <c r="Q113" s="214"/>
      <c r="R113" s="215"/>
      <c r="S113" s="216"/>
      <c r="T113" s="217"/>
      <c r="U113" s="218"/>
      <c r="V113" s="195"/>
      <c r="W113" s="196"/>
      <c r="X113" s="196"/>
      <c r="Y113" s="197"/>
      <c r="Z113" s="198"/>
      <c r="AA113" s="200"/>
      <c r="AB113" s="201"/>
      <c r="AC113" s="240"/>
      <c r="AD113" s="240"/>
      <c r="AE113" s="241"/>
      <c r="AF113" s="199"/>
      <c r="AG113" s="199"/>
      <c r="AH113" s="199"/>
      <c r="AI113" s="180"/>
      <c r="AJ113" s="204"/>
      <c r="AK113" s="205"/>
      <c r="AL113" s="206"/>
      <c r="AM113" s="206"/>
      <c r="AN113" s="207"/>
      <c r="AO113" s="208"/>
      <c r="AP113" s="204"/>
      <c r="AQ113" s="210"/>
      <c r="AR113" s="204"/>
      <c r="AS113" s="204"/>
      <c r="AT113" s="204"/>
      <c r="AU113" s="210"/>
      <c r="AV113" s="204"/>
      <c r="AW113" s="210"/>
      <c r="AX113" s="204"/>
      <c r="AY113" s="204"/>
      <c r="AZ113" s="204"/>
      <c r="BA113" s="210"/>
      <c r="BB113" s="204"/>
      <c r="BC113" s="210"/>
      <c r="BD113" s="204"/>
      <c r="BE113" s="204"/>
      <c r="BF113" s="204"/>
      <c r="BG113" s="210"/>
      <c r="BH113" s="204"/>
      <c r="BI113" s="210"/>
      <c r="BJ113" s="204"/>
      <c r="BK113" s="204"/>
      <c r="BL113" s="204"/>
      <c r="BM113" s="204"/>
      <c r="BN113" s="204"/>
      <c r="BO113" s="210"/>
      <c r="BP113" s="204"/>
      <c r="BQ113" s="204"/>
      <c r="BR113" s="204"/>
      <c r="BS113" s="204"/>
      <c r="BT113" s="204"/>
      <c r="BU113" s="210"/>
      <c r="BV113" s="204"/>
      <c r="BW113" s="204"/>
      <c r="BX113" s="204"/>
      <c r="BY113" s="204"/>
      <c r="BZ113" s="204"/>
      <c r="CA113" s="210"/>
      <c r="CB113" s="204"/>
      <c r="CC113" s="204"/>
      <c r="CD113" s="204"/>
      <c r="CE113" s="204"/>
    </row>
    <row r="114" spans="1:83" x14ac:dyDescent="0.5">
      <c r="A114" s="227">
        <v>18106018</v>
      </c>
      <c r="B114" s="22">
        <v>18100951</v>
      </c>
      <c r="C114" s="55"/>
      <c r="D114" s="56"/>
      <c r="E114" s="57"/>
      <c r="F114" s="58"/>
      <c r="G114" s="59"/>
      <c r="H114" s="60"/>
      <c r="I114" s="269"/>
      <c r="J114" s="59"/>
      <c r="K114" s="22" t="s">
        <v>1121</v>
      </c>
      <c r="L114" s="28" t="s">
        <v>172</v>
      </c>
      <c r="M114" s="22" t="s">
        <v>51</v>
      </c>
      <c r="N114" s="29">
        <v>19500</v>
      </c>
      <c r="O114" s="29">
        <f t="shared" si="24"/>
        <v>1365</v>
      </c>
      <c r="P114" s="29">
        <f t="shared" si="25"/>
        <v>20865</v>
      </c>
      <c r="U114" s="34"/>
      <c r="V114" s="35"/>
      <c r="W114" s="36"/>
      <c r="X114" s="36"/>
      <c r="Y114" s="37"/>
      <c r="AA114" s="40">
        <v>18110421</v>
      </c>
      <c r="AB114" s="41">
        <v>19500</v>
      </c>
      <c r="AC114" s="64">
        <f>AB114*7/100</f>
        <v>1365</v>
      </c>
      <c r="AD114" s="64">
        <f>AB114+AC114</f>
        <v>20865</v>
      </c>
      <c r="AE114" s="53">
        <v>43442</v>
      </c>
      <c r="AF114" s="39" t="s">
        <v>869</v>
      </c>
      <c r="AI114" s="21" t="s">
        <v>1671</v>
      </c>
      <c r="AJ114" s="44">
        <v>1</v>
      </c>
      <c r="AK114" s="45" t="s">
        <v>1138</v>
      </c>
      <c r="AN114" s="47">
        <v>1</v>
      </c>
      <c r="AO114" s="48" t="s">
        <v>628</v>
      </c>
      <c r="AQ114" s="54"/>
      <c r="AR114" s="44"/>
      <c r="AS114" s="44"/>
      <c r="AT114" s="44"/>
      <c r="AU114" s="54"/>
      <c r="AW114" s="54"/>
      <c r="AX114" s="44"/>
      <c r="AY114" s="44"/>
      <c r="AZ114" s="44"/>
      <c r="BA114" s="54"/>
      <c r="BC114" s="54"/>
      <c r="BD114" s="44"/>
      <c r="BE114" s="44"/>
      <c r="BF114" s="44"/>
      <c r="BG114" s="54"/>
      <c r="BI114" s="54"/>
      <c r="BJ114" s="44"/>
      <c r="BK114" s="44"/>
      <c r="BL114" s="44"/>
      <c r="BM114" s="44"/>
      <c r="BO114" s="54"/>
      <c r="BP114" s="44"/>
      <c r="BQ114" s="44"/>
      <c r="BR114" s="44"/>
      <c r="BS114" s="44"/>
      <c r="BU114" s="54"/>
      <c r="BV114" s="44"/>
      <c r="BW114" s="44"/>
      <c r="BX114" s="44"/>
      <c r="BY114" s="44"/>
      <c r="CA114" s="54"/>
      <c r="CB114" s="44"/>
      <c r="CC114" s="44"/>
      <c r="CD114" s="44"/>
      <c r="CE114" s="44"/>
    </row>
    <row r="115" spans="1:83" x14ac:dyDescent="0.5">
      <c r="A115" s="227">
        <v>18106017</v>
      </c>
      <c r="B115" s="22">
        <v>18100950</v>
      </c>
      <c r="C115" s="55"/>
      <c r="D115" s="56"/>
      <c r="E115" s="57"/>
      <c r="F115" s="58"/>
      <c r="G115" s="59"/>
      <c r="H115" s="60"/>
      <c r="I115" s="269"/>
      <c r="J115" s="59"/>
      <c r="K115" s="22" t="s">
        <v>1122</v>
      </c>
      <c r="L115" s="28" t="s">
        <v>172</v>
      </c>
      <c r="M115" s="22" t="s">
        <v>51</v>
      </c>
      <c r="N115" s="29">
        <v>23350</v>
      </c>
      <c r="O115" s="29">
        <f t="shared" si="24"/>
        <v>1634.5</v>
      </c>
      <c r="P115" s="29">
        <f t="shared" si="25"/>
        <v>24984.5</v>
      </c>
      <c r="U115" s="34"/>
      <c r="V115" s="35"/>
      <c r="W115" s="36"/>
      <c r="X115" s="36"/>
      <c r="Y115" s="37"/>
      <c r="AA115" s="40">
        <v>18110420</v>
      </c>
      <c r="AB115" s="41">
        <v>23350</v>
      </c>
      <c r="AC115" s="64">
        <f>AB115*7/100</f>
        <v>1634.5</v>
      </c>
      <c r="AD115" s="64">
        <f>AB115+AC115</f>
        <v>24984.5</v>
      </c>
      <c r="AE115" s="53">
        <v>43442</v>
      </c>
      <c r="AF115" s="39" t="s">
        <v>869</v>
      </c>
      <c r="AI115" s="21" t="s">
        <v>1673</v>
      </c>
      <c r="AJ115" s="44">
        <v>1</v>
      </c>
      <c r="AK115" s="45" t="s">
        <v>1139</v>
      </c>
      <c r="AN115" s="47">
        <v>1</v>
      </c>
      <c r="AO115" s="48" t="s">
        <v>628</v>
      </c>
      <c r="AQ115" s="54"/>
      <c r="AR115" s="44"/>
      <c r="AS115" s="44"/>
      <c r="AT115" s="44"/>
      <c r="AU115" s="54"/>
      <c r="AW115" s="54"/>
      <c r="AX115" s="44"/>
      <c r="AY115" s="44"/>
      <c r="AZ115" s="44"/>
      <c r="BA115" s="54"/>
      <c r="BC115" s="54"/>
      <c r="BD115" s="44"/>
      <c r="BE115" s="44"/>
      <c r="BF115" s="44"/>
      <c r="BG115" s="54"/>
      <c r="BI115" s="54"/>
      <c r="BJ115" s="44"/>
      <c r="BK115" s="44"/>
      <c r="BL115" s="44"/>
      <c r="BM115" s="44"/>
      <c r="BO115" s="54"/>
      <c r="BP115" s="44"/>
      <c r="BQ115" s="44"/>
      <c r="BR115" s="44"/>
      <c r="BS115" s="44"/>
      <c r="BU115" s="54"/>
      <c r="BV115" s="44"/>
      <c r="BW115" s="44"/>
      <c r="BX115" s="44"/>
      <c r="BY115" s="44"/>
      <c r="CA115" s="54"/>
      <c r="CB115" s="44"/>
      <c r="CC115" s="44"/>
      <c r="CD115" s="44"/>
      <c r="CE115" s="44"/>
    </row>
    <row r="116" spans="1:83" x14ac:dyDescent="0.5">
      <c r="A116" s="259">
        <v>18106016</v>
      </c>
      <c r="B116" s="104">
        <v>18100950</v>
      </c>
      <c r="C116" s="105">
        <v>229</v>
      </c>
      <c r="D116" s="106" t="s">
        <v>184</v>
      </c>
      <c r="E116" s="107" t="s">
        <v>1324</v>
      </c>
      <c r="F116" s="108" t="s">
        <v>2268</v>
      </c>
      <c r="G116" s="211">
        <v>43651</v>
      </c>
      <c r="H116" s="164">
        <v>19187</v>
      </c>
      <c r="I116" s="248" t="s">
        <v>869</v>
      </c>
      <c r="J116" s="122">
        <v>43654</v>
      </c>
      <c r="K116" s="104" t="s">
        <v>165</v>
      </c>
      <c r="L116" s="110" t="s">
        <v>1112</v>
      </c>
      <c r="M116" s="104" t="s">
        <v>53</v>
      </c>
      <c r="N116" s="111">
        <v>327600</v>
      </c>
      <c r="O116" s="111">
        <f t="shared" si="24"/>
        <v>22932</v>
      </c>
      <c r="P116" s="111">
        <f t="shared" si="25"/>
        <v>350532</v>
      </c>
      <c r="Q116" s="212"/>
      <c r="R116" s="113" t="s">
        <v>1310</v>
      </c>
      <c r="S116" s="114">
        <f>N116</f>
        <v>327600</v>
      </c>
      <c r="T116" s="115">
        <v>5</v>
      </c>
      <c r="U116" s="116">
        <f>S116*T116/100</f>
        <v>16380</v>
      </c>
      <c r="V116" s="117">
        <f>S116-U116</f>
        <v>311220</v>
      </c>
      <c r="W116" s="118">
        <v>0.31</v>
      </c>
      <c r="X116" s="118">
        <f>V116*W116/100</f>
        <v>964.78199999999993</v>
      </c>
      <c r="Y116" s="119">
        <v>0.2</v>
      </c>
      <c r="Z116" s="120">
        <f>V116*Y116/100</f>
        <v>622.44000000000005</v>
      </c>
      <c r="AA116" s="123">
        <v>19070256</v>
      </c>
      <c r="AB116" s="124">
        <v>184275</v>
      </c>
      <c r="AC116" s="260">
        <f>AB116*7/100</f>
        <v>12899.25</v>
      </c>
      <c r="AD116" s="261">
        <f>AB116+AC116</f>
        <v>197174.25</v>
      </c>
      <c r="AE116" s="126">
        <v>43694</v>
      </c>
      <c r="AF116" s="127" t="s">
        <v>869</v>
      </c>
      <c r="AG116" s="127"/>
      <c r="AH116" s="127"/>
      <c r="AI116" s="103" t="s">
        <v>2850</v>
      </c>
      <c r="AJ116" s="128">
        <v>1</v>
      </c>
      <c r="AK116" s="129" t="s">
        <v>784</v>
      </c>
      <c r="AL116" s="130"/>
      <c r="AM116" s="130" t="s">
        <v>1205</v>
      </c>
      <c r="AN116" s="131">
        <v>16</v>
      </c>
      <c r="AO116" s="132" t="s">
        <v>634</v>
      </c>
      <c r="AP116" s="128"/>
      <c r="AQ116" s="133"/>
      <c r="AR116" s="128"/>
      <c r="AS116" s="128"/>
      <c r="AT116" s="128"/>
      <c r="AU116" s="133"/>
      <c r="AV116" s="128"/>
      <c r="AW116" s="133"/>
      <c r="AX116" s="128"/>
      <c r="AY116" s="128"/>
      <c r="AZ116" s="128"/>
      <c r="BA116" s="133"/>
      <c r="BB116" s="128"/>
      <c r="BC116" s="133"/>
      <c r="BD116" s="128"/>
      <c r="BE116" s="128"/>
      <c r="BF116" s="128"/>
      <c r="BG116" s="133"/>
      <c r="BH116" s="128"/>
      <c r="BI116" s="133"/>
      <c r="BJ116" s="128"/>
      <c r="BK116" s="128"/>
      <c r="BL116" s="128"/>
      <c r="BM116" s="128"/>
      <c r="BN116" s="128"/>
      <c r="BO116" s="133"/>
      <c r="BP116" s="128"/>
      <c r="BQ116" s="128"/>
      <c r="BR116" s="128"/>
      <c r="BS116" s="128"/>
      <c r="BT116" s="128"/>
      <c r="BU116" s="133"/>
      <c r="BV116" s="128"/>
      <c r="BW116" s="128"/>
      <c r="BX116" s="128"/>
      <c r="BY116" s="128"/>
      <c r="BZ116" s="128"/>
      <c r="CA116" s="133"/>
      <c r="CB116" s="128"/>
      <c r="CC116" s="128"/>
      <c r="CD116" s="128"/>
      <c r="CE116" s="128"/>
    </row>
    <row r="117" spans="1:83" x14ac:dyDescent="0.5">
      <c r="A117" s="262"/>
      <c r="B117" s="135"/>
      <c r="C117" s="136"/>
      <c r="D117" s="137"/>
      <c r="E117" s="138"/>
      <c r="F117" s="139"/>
      <c r="G117" s="170">
        <v>43651</v>
      </c>
      <c r="H117" s="251">
        <v>19188</v>
      </c>
      <c r="I117" s="252"/>
      <c r="J117" s="135"/>
      <c r="K117" s="135"/>
      <c r="L117" s="141"/>
      <c r="M117" s="135"/>
      <c r="N117" s="142"/>
      <c r="O117" s="142"/>
      <c r="P117" s="142"/>
      <c r="Q117" s="213"/>
      <c r="R117" s="144"/>
      <c r="S117" s="145"/>
      <c r="T117" s="146"/>
      <c r="U117" s="147"/>
      <c r="V117" s="148"/>
      <c r="W117" s="149"/>
      <c r="X117" s="149"/>
      <c r="Y117" s="150"/>
      <c r="Z117" s="151"/>
      <c r="AA117" s="154">
        <v>19090377</v>
      </c>
      <c r="AB117" s="155">
        <v>143325</v>
      </c>
      <c r="AC117" s="156">
        <f>AB117*7/100</f>
        <v>10032.75</v>
      </c>
      <c r="AD117" s="156">
        <f>AB117+AC117</f>
        <v>153357.75</v>
      </c>
      <c r="AE117" s="157">
        <v>43766</v>
      </c>
      <c r="AF117" s="152" t="s">
        <v>869</v>
      </c>
      <c r="AG117" s="152"/>
      <c r="AH117" s="152"/>
      <c r="AI117" s="134" t="s">
        <v>3028</v>
      </c>
      <c r="AJ117" s="158"/>
      <c r="AK117" s="159"/>
      <c r="AL117" s="160"/>
      <c r="AM117" s="160"/>
      <c r="AN117" s="161"/>
      <c r="AO117" s="162"/>
      <c r="AP117" s="158"/>
      <c r="AQ117" s="163"/>
      <c r="AR117" s="158"/>
      <c r="AS117" s="158"/>
      <c r="AT117" s="158"/>
      <c r="AU117" s="163"/>
      <c r="AV117" s="158"/>
      <c r="AW117" s="163"/>
      <c r="AX117" s="158"/>
      <c r="AY117" s="158"/>
      <c r="AZ117" s="158"/>
      <c r="BA117" s="163"/>
      <c r="BB117" s="158"/>
      <c r="BC117" s="163"/>
      <c r="BD117" s="158"/>
      <c r="BE117" s="158"/>
      <c r="BF117" s="158"/>
      <c r="BG117" s="163"/>
      <c r="BH117" s="158"/>
      <c r="BI117" s="163"/>
      <c r="BJ117" s="158"/>
      <c r="BK117" s="158"/>
      <c r="BL117" s="158"/>
      <c r="BM117" s="158"/>
      <c r="BN117" s="158"/>
      <c r="BO117" s="163"/>
      <c r="BP117" s="158"/>
      <c r="BQ117" s="158"/>
      <c r="BR117" s="158"/>
      <c r="BS117" s="158"/>
      <c r="BT117" s="158"/>
      <c r="BU117" s="163"/>
      <c r="BV117" s="158"/>
      <c r="BW117" s="158"/>
      <c r="BX117" s="158"/>
      <c r="BY117" s="158"/>
      <c r="BZ117" s="158"/>
      <c r="CA117" s="163"/>
      <c r="CB117" s="158"/>
      <c r="CC117" s="158"/>
      <c r="CD117" s="158"/>
      <c r="CE117" s="158"/>
    </row>
    <row r="118" spans="1:83" x14ac:dyDescent="0.5">
      <c r="A118" s="262"/>
      <c r="B118" s="135"/>
      <c r="C118" s="136"/>
      <c r="D118" s="137"/>
      <c r="E118" s="249"/>
      <c r="F118" s="250"/>
      <c r="G118" s="178">
        <v>43651</v>
      </c>
      <c r="H118" s="171">
        <v>19189</v>
      </c>
      <c r="I118" s="252"/>
      <c r="J118" s="1029"/>
      <c r="K118" s="135"/>
      <c r="L118" s="141"/>
      <c r="M118" s="135"/>
      <c r="N118" s="142"/>
      <c r="O118" s="142"/>
      <c r="P118" s="142"/>
      <c r="Q118" s="213"/>
      <c r="R118" s="144"/>
      <c r="S118" s="145"/>
      <c r="T118" s="146"/>
      <c r="U118" s="147"/>
      <c r="V118" s="148"/>
      <c r="W118" s="149"/>
      <c r="X118" s="149"/>
      <c r="Y118" s="150"/>
      <c r="Z118" s="151"/>
      <c r="AA118" s="154"/>
      <c r="AB118" s="155"/>
      <c r="AC118" s="255"/>
      <c r="AD118" s="255"/>
      <c r="AE118" s="256"/>
      <c r="AF118" s="152"/>
      <c r="AG118" s="152"/>
      <c r="AH118" s="152"/>
      <c r="AI118" s="134"/>
      <c r="AJ118" s="158"/>
      <c r="AK118" s="159"/>
      <c r="AL118" s="160"/>
      <c r="AM118" s="160"/>
      <c r="AN118" s="161"/>
      <c r="AO118" s="162"/>
      <c r="AP118" s="158"/>
      <c r="AQ118" s="163"/>
      <c r="AR118" s="158"/>
      <c r="AS118" s="158"/>
      <c r="AT118" s="158"/>
      <c r="AU118" s="163"/>
      <c r="AV118" s="158"/>
      <c r="AW118" s="163"/>
      <c r="AX118" s="158"/>
      <c r="AY118" s="158"/>
      <c r="AZ118" s="158"/>
      <c r="BA118" s="163"/>
      <c r="BB118" s="158"/>
      <c r="BC118" s="163"/>
      <c r="BD118" s="158"/>
      <c r="BE118" s="158"/>
      <c r="BF118" s="158"/>
      <c r="BG118" s="163"/>
      <c r="BH118" s="158"/>
      <c r="BI118" s="163"/>
      <c r="BJ118" s="158"/>
      <c r="BK118" s="158"/>
      <c r="BL118" s="158"/>
      <c r="BM118" s="158"/>
      <c r="BN118" s="158"/>
      <c r="BO118" s="163"/>
      <c r="BP118" s="158"/>
      <c r="BQ118" s="158"/>
      <c r="BR118" s="158"/>
      <c r="BS118" s="158"/>
      <c r="BT118" s="158"/>
      <c r="BU118" s="163"/>
      <c r="BV118" s="158"/>
      <c r="BW118" s="158"/>
      <c r="BX118" s="158"/>
      <c r="BY118" s="158"/>
      <c r="BZ118" s="158"/>
      <c r="CA118" s="163"/>
      <c r="CB118" s="158"/>
      <c r="CC118" s="158"/>
      <c r="CD118" s="158"/>
      <c r="CE118" s="158"/>
    </row>
    <row r="119" spans="1:83" x14ac:dyDescent="0.5">
      <c r="A119" s="262"/>
      <c r="B119" s="135"/>
      <c r="C119" s="136"/>
      <c r="D119" s="137"/>
      <c r="E119" s="249" t="s">
        <v>1324</v>
      </c>
      <c r="F119" s="250" t="s">
        <v>2574</v>
      </c>
      <c r="G119" s="178">
        <v>43712</v>
      </c>
      <c r="H119" s="171">
        <v>19271</v>
      </c>
      <c r="I119" s="252"/>
      <c r="J119" s="178">
        <v>43713</v>
      </c>
      <c r="K119" s="135"/>
      <c r="L119" s="141"/>
      <c r="M119" s="135"/>
      <c r="N119" s="142"/>
      <c r="O119" s="142"/>
      <c r="P119" s="142"/>
      <c r="Q119" s="213"/>
      <c r="R119" s="144"/>
      <c r="S119" s="145"/>
      <c r="T119" s="146"/>
      <c r="U119" s="147"/>
      <c r="V119" s="148"/>
      <c r="W119" s="149"/>
      <c r="X119" s="149"/>
      <c r="Y119" s="150"/>
      <c r="Z119" s="151"/>
      <c r="AA119" s="154"/>
      <c r="AB119" s="155"/>
      <c r="AC119" s="255"/>
      <c r="AD119" s="255"/>
      <c r="AE119" s="256"/>
      <c r="AF119" s="152"/>
      <c r="AG119" s="152"/>
      <c r="AH119" s="152"/>
      <c r="AI119" s="134"/>
      <c r="AJ119" s="158"/>
      <c r="AK119" s="159"/>
      <c r="AL119" s="160"/>
      <c r="AM119" s="160"/>
      <c r="AN119" s="161"/>
      <c r="AO119" s="162"/>
      <c r="AP119" s="158"/>
      <c r="AQ119" s="163"/>
      <c r="AR119" s="158"/>
      <c r="AS119" s="158"/>
      <c r="AT119" s="158"/>
      <c r="AU119" s="163"/>
      <c r="AV119" s="158"/>
      <c r="AW119" s="163"/>
      <c r="AX119" s="158"/>
      <c r="AY119" s="158"/>
      <c r="AZ119" s="158"/>
      <c r="BA119" s="163"/>
      <c r="BB119" s="158"/>
      <c r="BC119" s="163"/>
      <c r="BD119" s="158"/>
      <c r="BE119" s="158"/>
      <c r="BF119" s="158"/>
      <c r="BG119" s="163"/>
      <c r="BH119" s="158"/>
      <c r="BI119" s="163"/>
      <c r="BJ119" s="158"/>
      <c r="BK119" s="158"/>
      <c r="BL119" s="158"/>
      <c r="BM119" s="158"/>
      <c r="BN119" s="158"/>
      <c r="BO119" s="163"/>
      <c r="BP119" s="158"/>
      <c r="BQ119" s="158"/>
      <c r="BR119" s="158"/>
      <c r="BS119" s="158"/>
      <c r="BT119" s="158"/>
      <c r="BU119" s="163"/>
      <c r="BV119" s="158"/>
      <c r="BW119" s="158"/>
      <c r="BX119" s="158"/>
      <c r="BY119" s="158"/>
      <c r="BZ119" s="158"/>
      <c r="CA119" s="163"/>
      <c r="CB119" s="158"/>
      <c r="CC119" s="158"/>
      <c r="CD119" s="158"/>
      <c r="CE119" s="158"/>
    </row>
    <row r="120" spans="1:83" x14ac:dyDescent="0.5">
      <c r="A120" s="262"/>
      <c r="B120" s="135"/>
      <c r="C120" s="136"/>
      <c r="D120" s="137"/>
      <c r="E120" s="138" t="s">
        <v>1324</v>
      </c>
      <c r="F120" s="139" t="s">
        <v>2642</v>
      </c>
      <c r="G120" s="170">
        <v>43725</v>
      </c>
      <c r="H120" s="251">
        <v>19288</v>
      </c>
      <c r="I120" s="252"/>
      <c r="J120" s="179">
        <v>43726</v>
      </c>
      <c r="K120" s="135"/>
      <c r="L120" s="141"/>
      <c r="M120" s="135"/>
      <c r="N120" s="142"/>
      <c r="O120" s="142"/>
      <c r="P120" s="142"/>
      <c r="Q120" s="213"/>
      <c r="R120" s="144"/>
      <c r="S120" s="145"/>
      <c r="T120" s="146"/>
      <c r="U120" s="147"/>
      <c r="V120" s="148"/>
      <c r="W120" s="149"/>
      <c r="X120" s="149"/>
      <c r="Y120" s="150"/>
      <c r="Z120" s="151"/>
      <c r="AA120" s="154"/>
      <c r="AB120" s="155"/>
      <c r="AC120" s="255"/>
      <c r="AD120" s="255"/>
      <c r="AE120" s="256"/>
      <c r="AF120" s="152"/>
      <c r="AG120" s="152"/>
      <c r="AH120" s="152"/>
      <c r="AI120" s="134"/>
      <c r="AJ120" s="158"/>
      <c r="AK120" s="159"/>
      <c r="AL120" s="160"/>
      <c r="AM120" s="160"/>
      <c r="AN120" s="161"/>
      <c r="AO120" s="162"/>
      <c r="AP120" s="158"/>
      <c r="AQ120" s="163"/>
      <c r="AR120" s="158"/>
      <c r="AS120" s="158"/>
      <c r="AT120" s="158"/>
      <c r="AU120" s="163"/>
      <c r="AV120" s="158"/>
      <c r="AW120" s="163"/>
      <c r="AX120" s="158"/>
      <c r="AY120" s="158"/>
      <c r="AZ120" s="158"/>
      <c r="BA120" s="163"/>
      <c r="BB120" s="158"/>
      <c r="BC120" s="163"/>
      <c r="BD120" s="158"/>
      <c r="BE120" s="158"/>
      <c r="BF120" s="158"/>
      <c r="BG120" s="163"/>
      <c r="BH120" s="158"/>
      <c r="BI120" s="163"/>
      <c r="BJ120" s="158"/>
      <c r="BK120" s="158"/>
      <c r="BL120" s="158"/>
      <c r="BM120" s="158"/>
      <c r="BN120" s="158"/>
      <c r="BO120" s="163"/>
      <c r="BP120" s="158"/>
      <c r="BQ120" s="158"/>
      <c r="BR120" s="158"/>
      <c r="BS120" s="158"/>
      <c r="BT120" s="158"/>
      <c r="BU120" s="163"/>
      <c r="BV120" s="158"/>
      <c r="BW120" s="158"/>
      <c r="BX120" s="158"/>
      <c r="BY120" s="158"/>
      <c r="BZ120" s="158"/>
      <c r="CA120" s="163"/>
      <c r="CB120" s="158"/>
      <c r="CC120" s="158"/>
      <c r="CD120" s="158"/>
      <c r="CE120" s="158"/>
    </row>
    <row r="121" spans="1:83" x14ac:dyDescent="0.5">
      <c r="A121" s="262"/>
      <c r="B121" s="135"/>
      <c r="C121" s="136"/>
      <c r="D121" s="137"/>
      <c r="E121" s="138"/>
      <c r="F121" s="139"/>
      <c r="G121" s="179">
        <v>43725</v>
      </c>
      <c r="H121" s="140">
        <v>19289</v>
      </c>
      <c r="I121" s="252"/>
      <c r="J121" s="179"/>
      <c r="K121" s="135"/>
      <c r="L121" s="141"/>
      <c r="M121" s="135"/>
      <c r="N121" s="142"/>
      <c r="O121" s="142"/>
      <c r="P121" s="142"/>
      <c r="Q121" s="213"/>
      <c r="R121" s="144"/>
      <c r="S121" s="145"/>
      <c r="T121" s="146"/>
      <c r="U121" s="147"/>
      <c r="V121" s="148"/>
      <c r="W121" s="149"/>
      <c r="X121" s="149"/>
      <c r="Y121" s="150"/>
      <c r="Z121" s="151"/>
      <c r="AA121" s="154"/>
      <c r="AB121" s="155"/>
      <c r="AC121" s="255"/>
      <c r="AD121" s="255"/>
      <c r="AE121" s="256"/>
      <c r="AF121" s="152"/>
      <c r="AG121" s="152"/>
      <c r="AH121" s="152"/>
      <c r="AI121" s="134"/>
      <c r="AJ121" s="158"/>
      <c r="AK121" s="159"/>
      <c r="AL121" s="160"/>
      <c r="AM121" s="160"/>
      <c r="AN121" s="161"/>
      <c r="AO121" s="162"/>
      <c r="AP121" s="158"/>
      <c r="AQ121" s="163"/>
      <c r="AR121" s="158"/>
      <c r="AS121" s="158"/>
      <c r="AT121" s="158"/>
      <c r="AU121" s="163"/>
      <c r="AV121" s="158"/>
      <c r="AW121" s="163"/>
      <c r="AX121" s="158"/>
      <c r="AY121" s="158"/>
      <c r="AZ121" s="158"/>
      <c r="BA121" s="163"/>
      <c r="BB121" s="158"/>
      <c r="BC121" s="163"/>
      <c r="BD121" s="158"/>
      <c r="BE121" s="158"/>
      <c r="BF121" s="158"/>
      <c r="BG121" s="163"/>
      <c r="BH121" s="158"/>
      <c r="BI121" s="163"/>
      <c r="BJ121" s="158"/>
      <c r="BK121" s="158"/>
      <c r="BL121" s="158"/>
      <c r="BM121" s="158"/>
      <c r="BN121" s="158"/>
      <c r="BO121" s="163"/>
      <c r="BP121" s="158"/>
      <c r="BQ121" s="158"/>
      <c r="BR121" s="158"/>
      <c r="BS121" s="158"/>
      <c r="BT121" s="158"/>
      <c r="BU121" s="163"/>
      <c r="BV121" s="158"/>
      <c r="BW121" s="158"/>
      <c r="BX121" s="158"/>
      <c r="BY121" s="158"/>
      <c r="BZ121" s="158"/>
      <c r="CA121" s="163"/>
      <c r="CB121" s="158"/>
      <c r="CC121" s="158"/>
      <c r="CD121" s="158"/>
      <c r="CE121" s="158"/>
    </row>
    <row r="122" spans="1:83" x14ac:dyDescent="0.5">
      <c r="A122" s="259">
        <v>18106015</v>
      </c>
      <c r="B122" s="104">
        <v>18100891</v>
      </c>
      <c r="C122" s="105">
        <v>228</v>
      </c>
      <c r="D122" s="106" t="s">
        <v>184</v>
      </c>
      <c r="E122" s="107" t="s">
        <v>185</v>
      </c>
      <c r="F122" s="108">
        <v>261</v>
      </c>
      <c r="G122" s="122">
        <v>43425</v>
      </c>
      <c r="H122" s="109">
        <v>18422</v>
      </c>
      <c r="I122" s="127" t="s">
        <v>869</v>
      </c>
      <c r="J122" s="122">
        <v>43426</v>
      </c>
      <c r="K122" s="104" t="s">
        <v>957</v>
      </c>
      <c r="L122" s="110" t="s">
        <v>958</v>
      </c>
      <c r="M122" s="104" t="s">
        <v>50</v>
      </c>
      <c r="N122" s="111">
        <v>330000</v>
      </c>
      <c r="O122" s="111">
        <f t="shared" si="24"/>
        <v>23100</v>
      </c>
      <c r="P122" s="111">
        <f t="shared" si="25"/>
        <v>353100</v>
      </c>
      <c r="Q122" s="212"/>
      <c r="R122" s="165"/>
      <c r="S122" s="166"/>
      <c r="T122" s="167"/>
      <c r="U122" s="168"/>
      <c r="V122" s="117">
        <f>N122</f>
        <v>330000</v>
      </c>
      <c r="W122" s="118">
        <v>0.21</v>
      </c>
      <c r="X122" s="118">
        <f>V122*W122/100</f>
        <v>693</v>
      </c>
      <c r="Y122" s="119">
        <v>0.2</v>
      </c>
      <c r="Z122" s="120">
        <f>V122*Y122/100</f>
        <v>660</v>
      </c>
      <c r="AA122" s="229">
        <v>18100406</v>
      </c>
      <c r="AB122" s="230">
        <v>99000</v>
      </c>
      <c r="AC122" s="234">
        <f>AB122*7/100</f>
        <v>6930</v>
      </c>
      <c r="AD122" s="234">
        <f>AB122+AC122</f>
        <v>105930</v>
      </c>
      <c r="AE122" s="221">
        <v>43398</v>
      </c>
      <c r="AF122" s="121" t="s">
        <v>869</v>
      </c>
      <c r="AG122" s="121"/>
      <c r="AH122" s="121"/>
      <c r="AI122" s="342" t="s">
        <v>1184</v>
      </c>
      <c r="AJ122" s="128">
        <v>1</v>
      </c>
      <c r="AK122" s="129" t="s">
        <v>1113</v>
      </c>
      <c r="AL122" s="130" t="s">
        <v>1205</v>
      </c>
      <c r="AM122" s="130"/>
      <c r="AN122" s="131">
        <v>1</v>
      </c>
      <c r="AO122" s="132" t="s">
        <v>634</v>
      </c>
      <c r="AP122" s="128"/>
      <c r="AQ122" s="133"/>
      <c r="AR122" s="128"/>
      <c r="AS122" s="128"/>
      <c r="AT122" s="128"/>
      <c r="AU122" s="133"/>
      <c r="AV122" s="128"/>
      <c r="AW122" s="133"/>
      <c r="AX122" s="128"/>
      <c r="AY122" s="128"/>
      <c r="AZ122" s="128"/>
      <c r="BA122" s="133"/>
      <c r="BB122" s="128"/>
      <c r="BC122" s="133"/>
      <c r="BD122" s="128"/>
      <c r="BE122" s="128"/>
      <c r="BF122" s="128"/>
      <c r="BG122" s="133"/>
      <c r="BH122" s="128"/>
      <c r="BI122" s="133"/>
      <c r="BJ122" s="128"/>
      <c r="BK122" s="128"/>
      <c r="BL122" s="128"/>
      <c r="BM122" s="128"/>
      <c r="BN122" s="128"/>
      <c r="BO122" s="133"/>
      <c r="BP122" s="128"/>
      <c r="BQ122" s="128"/>
      <c r="BR122" s="128"/>
      <c r="BS122" s="128"/>
      <c r="BT122" s="128"/>
      <c r="BU122" s="133"/>
      <c r="BV122" s="128"/>
      <c r="BW122" s="128"/>
      <c r="BX122" s="128"/>
      <c r="BY122" s="128"/>
      <c r="BZ122" s="128"/>
      <c r="CA122" s="133"/>
      <c r="CB122" s="128"/>
      <c r="CC122" s="128"/>
      <c r="CD122" s="128"/>
      <c r="CE122" s="128"/>
    </row>
    <row r="123" spans="1:83" x14ac:dyDescent="0.5">
      <c r="A123" s="268"/>
      <c r="B123" s="181"/>
      <c r="C123" s="182"/>
      <c r="D123" s="183"/>
      <c r="E123" s="184"/>
      <c r="F123" s="185"/>
      <c r="G123" s="181"/>
      <c r="H123" s="187"/>
      <c r="I123" s="199"/>
      <c r="J123" s="181"/>
      <c r="K123" s="181"/>
      <c r="L123" s="188"/>
      <c r="M123" s="181"/>
      <c r="N123" s="189"/>
      <c r="O123" s="189"/>
      <c r="P123" s="189"/>
      <c r="Q123" s="214"/>
      <c r="R123" s="191"/>
      <c r="S123" s="192"/>
      <c r="T123" s="193"/>
      <c r="U123" s="194"/>
      <c r="V123" s="195"/>
      <c r="W123" s="196"/>
      <c r="X123" s="196"/>
      <c r="Y123" s="197"/>
      <c r="Z123" s="198"/>
      <c r="AA123" s="200">
        <v>18110465</v>
      </c>
      <c r="AB123" s="201">
        <v>231000</v>
      </c>
      <c r="AC123" s="238">
        <f>AB123*7/100</f>
        <v>16170</v>
      </c>
      <c r="AD123" s="238">
        <f>AB123+AC123</f>
        <v>247170</v>
      </c>
      <c r="AE123" s="203">
        <v>43424</v>
      </c>
      <c r="AF123" s="199" t="s">
        <v>869</v>
      </c>
      <c r="AG123" s="199"/>
      <c r="AH123" s="199"/>
      <c r="AI123" s="343" t="s">
        <v>1455</v>
      </c>
      <c r="AJ123" s="204"/>
      <c r="AK123" s="205"/>
      <c r="AL123" s="206"/>
      <c r="AM123" s="206"/>
      <c r="AN123" s="207"/>
      <c r="AO123" s="208"/>
      <c r="AP123" s="204"/>
      <c r="AQ123" s="210"/>
      <c r="AR123" s="204"/>
      <c r="AS123" s="204"/>
      <c r="AT123" s="204"/>
      <c r="AU123" s="210"/>
      <c r="AV123" s="204"/>
      <c r="AW123" s="210"/>
      <c r="AX123" s="204"/>
      <c r="AY123" s="204"/>
      <c r="AZ123" s="204"/>
      <c r="BA123" s="210"/>
      <c r="BB123" s="204"/>
      <c r="BC123" s="210"/>
      <c r="BD123" s="204"/>
      <c r="BE123" s="204"/>
      <c r="BF123" s="204"/>
      <c r="BG123" s="210"/>
      <c r="BH123" s="204"/>
      <c r="BI123" s="210"/>
      <c r="BJ123" s="204"/>
      <c r="BK123" s="204"/>
      <c r="BL123" s="204"/>
      <c r="BM123" s="204"/>
      <c r="BN123" s="204"/>
      <c r="BO123" s="210"/>
      <c r="BP123" s="204"/>
      <c r="BQ123" s="204"/>
      <c r="BR123" s="204"/>
      <c r="BS123" s="204"/>
      <c r="BT123" s="204"/>
      <c r="BU123" s="210"/>
      <c r="BV123" s="204"/>
      <c r="BW123" s="204"/>
      <c r="BX123" s="204"/>
      <c r="BY123" s="204"/>
      <c r="BZ123" s="204"/>
      <c r="CA123" s="210"/>
      <c r="CB123" s="204"/>
      <c r="CC123" s="204"/>
      <c r="CD123" s="204"/>
      <c r="CE123" s="204"/>
    </row>
    <row r="124" spans="1:83" x14ac:dyDescent="0.5">
      <c r="A124" s="227">
        <v>18106014</v>
      </c>
      <c r="B124" s="22">
        <v>18100935</v>
      </c>
      <c r="C124" s="23">
        <v>227</v>
      </c>
      <c r="D124" s="24" t="s">
        <v>184</v>
      </c>
      <c r="E124" s="25" t="s">
        <v>185</v>
      </c>
      <c r="F124" s="26">
        <v>242</v>
      </c>
      <c r="G124" s="62">
        <v>43399</v>
      </c>
      <c r="H124" s="27">
        <v>18394</v>
      </c>
      <c r="I124" s="39" t="s">
        <v>869</v>
      </c>
      <c r="J124" s="62">
        <v>43400</v>
      </c>
      <c r="K124" s="22" t="s">
        <v>955</v>
      </c>
      <c r="L124" s="28" t="s">
        <v>956</v>
      </c>
      <c r="M124" s="22" t="s">
        <v>52</v>
      </c>
      <c r="N124" s="29">
        <v>22429.91</v>
      </c>
      <c r="O124" s="29">
        <f t="shared" si="24"/>
        <v>1570.0936999999999</v>
      </c>
      <c r="P124" s="29">
        <f t="shared" si="25"/>
        <v>24000.003700000001</v>
      </c>
      <c r="Q124" s="61"/>
      <c r="R124" s="96"/>
      <c r="S124" s="97"/>
      <c r="T124" s="98"/>
      <c r="U124" s="99"/>
      <c r="V124" s="35">
        <f>N124</f>
        <v>22429.91</v>
      </c>
      <c r="W124" s="36">
        <v>0.32</v>
      </c>
      <c r="X124" s="36">
        <f>V124*W124/100</f>
        <v>71.775711999999999</v>
      </c>
      <c r="Y124" s="37">
        <v>0.2</v>
      </c>
      <c r="Z124" s="38">
        <f>V124*Y124/100</f>
        <v>44.859819999999999</v>
      </c>
      <c r="AA124" s="40">
        <v>18100409</v>
      </c>
      <c r="AB124" s="41">
        <v>22429.91</v>
      </c>
      <c r="AC124" s="64">
        <f>AB124*7/100</f>
        <v>1570.0936999999999</v>
      </c>
      <c r="AD124" s="64">
        <f>AB124+AC124</f>
        <v>24000.003700000001</v>
      </c>
      <c r="AE124" s="53">
        <v>43431</v>
      </c>
      <c r="AF124" s="39" t="s">
        <v>869</v>
      </c>
      <c r="AI124" s="21" t="s">
        <v>1259</v>
      </c>
      <c r="AJ124" s="44">
        <v>1</v>
      </c>
      <c r="AK124" s="45" t="s">
        <v>890</v>
      </c>
      <c r="AM124" s="46" t="s">
        <v>1205</v>
      </c>
      <c r="AN124" s="47">
        <v>2</v>
      </c>
      <c r="AO124" s="48" t="s">
        <v>634</v>
      </c>
      <c r="AQ124" s="54"/>
      <c r="AR124" s="44"/>
      <c r="AS124" s="44"/>
      <c r="AT124" s="44"/>
      <c r="AU124" s="54"/>
      <c r="AW124" s="54"/>
      <c r="AX124" s="44"/>
      <c r="AY124" s="44"/>
      <c r="AZ124" s="44"/>
      <c r="BA124" s="54"/>
      <c r="BC124" s="54"/>
      <c r="BD124" s="44"/>
      <c r="BE124" s="44"/>
      <c r="BF124" s="44"/>
      <c r="BG124" s="54"/>
      <c r="BI124" s="54"/>
      <c r="BJ124" s="44"/>
      <c r="BK124" s="44"/>
      <c r="BL124" s="44"/>
      <c r="BM124" s="44"/>
      <c r="BO124" s="54"/>
      <c r="BP124" s="44"/>
      <c r="BQ124" s="44"/>
      <c r="BR124" s="44"/>
      <c r="BS124" s="44"/>
      <c r="BU124" s="54"/>
      <c r="BV124" s="44"/>
      <c r="BW124" s="44"/>
      <c r="BX124" s="44"/>
      <c r="BY124" s="44"/>
      <c r="CA124" s="54"/>
      <c r="CB124" s="44"/>
      <c r="CC124" s="44"/>
      <c r="CD124" s="44"/>
      <c r="CE124" s="44"/>
    </row>
    <row r="125" spans="1:83" x14ac:dyDescent="0.5">
      <c r="A125" s="227" t="s">
        <v>1480</v>
      </c>
      <c r="B125" s="22">
        <v>18100932</v>
      </c>
      <c r="C125" s="23">
        <v>226</v>
      </c>
      <c r="D125" s="24" t="s">
        <v>184</v>
      </c>
      <c r="E125" s="25" t="s">
        <v>185</v>
      </c>
      <c r="F125" s="26">
        <v>243</v>
      </c>
      <c r="G125" s="62">
        <v>43399</v>
      </c>
      <c r="H125" s="27">
        <v>18393</v>
      </c>
      <c r="I125" s="39" t="s">
        <v>869</v>
      </c>
      <c r="J125" s="62">
        <v>43400</v>
      </c>
      <c r="K125" s="22" t="s">
        <v>10</v>
      </c>
      <c r="L125" s="28" t="s">
        <v>870</v>
      </c>
      <c r="M125" s="22" t="s">
        <v>51</v>
      </c>
      <c r="N125" s="29">
        <v>240000</v>
      </c>
      <c r="O125" s="29" t="s">
        <v>402</v>
      </c>
      <c r="P125" s="29">
        <f>N125</f>
        <v>240000</v>
      </c>
      <c r="U125" s="34"/>
      <c r="V125" s="35"/>
      <c r="W125" s="36"/>
      <c r="X125" s="36"/>
      <c r="Y125" s="37"/>
      <c r="AA125" s="40">
        <v>181001</v>
      </c>
      <c r="AB125" s="41">
        <v>240000</v>
      </c>
      <c r="AC125" s="344" t="s">
        <v>402</v>
      </c>
      <c r="AD125" s="64">
        <f>AB125</f>
        <v>240000</v>
      </c>
      <c r="AF125" s="39" t="s">
        <v>869</v>
      </c>
      <c r="AI125" s="21" t="s">
        <v>1108</v>
      </c>
      <c r="AJ125" s="44">
        <v>1</v>
      </c>
      <c r="AK125" s="45" t="s">
        <v>742</v>
      </c>
      <c r="AL125" s="46" t="s">
        <v>1205</v>
      </c>
      <c r="AN125" s="47">
        <v>2</v>
      </c>
      <c r="AO125" s="48" t="s">
        <v>635</v>
      </c>
      <c r="AQ125" s="54"/>
      <c r="AR125" s="44"/>
      <c r="AS125" s="44"/>
      <c r="AT125" s="44"/>
      <c r="AU125" s="54"/>
      <c r="AW125" s="54"/>
      <c r="AX125" s="44"/>
      <c r="AY125" s="44"/>
      <c r="AZ125" s="44"/>
      <c r="BA125" s="54"/>
      <c r="BC125" s="54"/>
      <c r="BD125" s="44"/>
      <c r="BE125" s="44"/>
      <c r="BF125" s="44"/>
      <c r="BG125" s="54"/>
      <c r="BI125" s="54"/>
      <c r="BJ125" s="44"/>
      <c r="BK125" s="44"/>
      <c r="BL125" s="44"/>
      <c r="BM125" s="44"/>
      <c r="BO125" s="54"/>
      <c r="BP125" s="44"/>
      <c r="BQ125" s="44"/>
      <c r="BR125" s="44"/>
      <c r="BS125" s="44"/>
      <c r="BU125" s="54"/>
      <c r="BV125" s="44"/>
      <c r="BW125" s="44"/>
      <c r="BX125" s="44"/>
      <c r="BY125" s="44"/>
      <c r="CA125" s="54"/>
      <c r="CB125" s="44"/>
      <c r="CC125" s="44"/>
      <c r="CD125" s="44"/>
      <c r="CE125" s="44"/>
    </row>
    <row r="126" spans="1:83" x14ac:dyDescent="0.5">
      <c r="A126" s="227">
        <v>18106013</v>
      </c>
      <c r="B126" s="22">
        <v>18100920</v>
      </c>
      <c r="C126" s="23">
        <v>225</v>
      </c>
      <c r="D126" s="24" t="s">
        <v>184</v>
      </c>
      <c r="E126" s="25" t="s">
        <v>185</v>
      </c>
      <c r="F126" s="26">
        <v>234</v>
      </c>
      <c r="G126" s="62">
        <v>43391</v>
      </c>
      <c r="H126" s="27">
        <v>18371</v>
      </c>
      <c r="I126" s="39" t="s">
        <v>869</v>
      </c>
      <c r="J126" s="62">
        <v>43391</v>
      </c>
      <c r="K126" s="22" t="s">
        <v>20</v>
      </c>
      <c r="L126" s="28" t="s">
        <v>179</v>
      </c>
      <c r="M126" s="22" t="s">
        <v>51</v>
      </c>
      <c r="N126" s="29">
        <v>18018</v>
      </c>
      <c r="O126" s="29">
        <f>N126*7/100</f>
        <v>1261.26</v>
      </c>
      <c r="P126" s="29">
        <f>N126+O126</f>
        <v>19279.259999999998</v>
      </c>
      <c r="Q126" s="61"/>
      <c r="R126" s="96"/>
      <c r="S126" s="97"/>
      <c r="T126" s="98"/>
      <c r="U126" s="99"/>
      <c r="V126" s="100"/>
      <c r="W126" s="99"/>
      <c r="X126" s="99"/>
      <c r="Y126" s="100"/>
      <c r="Z126" s="101"/>
      <c r="AA126" s="40">
        <v>18100397</v>
      </c>
      <c r="AB126" s="41">
        <v>18018</v>
      </c>
      <c r="AC126" s="64">
        <f t="shared" ref="AC126:AC134" si="26">AB126*7/100</f>
        <v>1261.26</v>
      </c>
      <c r="AD126" s="64">
        <f t="shared" ref="AD126:AD134" si="27">AB126+AC126</f>
        <v>19279.259999999998</v>
      </c>
      <c r="AE126" s="53">
        <v>43420</v>
      </c>
      <c r="AF126" s="345" t="s">
        <v>869</v>
      </c>
      <c r="AG126" s="345"/>
      <c r="AH126" s="345"/>
      <c r="AI126" s="346" t="s">
        <v>1264</v>
      </c>
      <c r="AJ126" s="44">
        <v>1</v>
      </c>
      <c r="AK126" s="45" t="s">
        <v>746</v>
      </c>
      <c r="AM126" s="46" t="s">
        <v>1205</v>
      </c>
      <c r="AN126" s="47">
        <v>1</v>
      </c>
      <c r="AO126" s="48" t="s">
        <v>633</v>
      </c>
      <c r="AP126" s="347"/>
      <c r="AQ126" s="348"/>
      <c r="AR126" s="349"/>
      <c r="AS126" s="349"/>
      <c r="AT126" s="348"/>
      <c r="AU126" s="348"/>
      <c r="AV126" s="348"/>
      <c r="AW126" s="348"/>
      <c r="AX126" s="349"/>
      <c r="AY126" s="349"/>
      <c r="AZ126" s="348"/>
      <c r="BA126" s="348"/>
      <c r="BB126" s="348"/>
      <c r="BC126" s="348"/>
      <c r="BD126" s="349"/>
      <c r="BE126" s="349"/>
      <c r="BF126" s="348"/>
      <c r="BG126" s="348"/>
      <c r="BH126" s="348"/>
      <c r="BI126" s="348"/>
      <c r="BJ126" s="349"/>
      <c r="BK126" s="349"/>
      <c r="BL126" s="348"/>
      <c r="BM126" s="348"/>
      <c r="BN126" s="348"/>
      <c r="BO126" s="348"/>
      <c r="BP126" s="349"/>
      <c r="BQ126" s="349"/>
      <c r="BR126" s="348"/>
      <c r="BS126" s="348"/>
      <c r="BT126" s="348"/>
      <c r="BU126" s="348"/>
      <c r="BV126" s="349"/>
      <c r="BW126" s="349"/>
      <c r="BX126" s="348"/>
      <c r="BY126" s="348"/>
      <c r="BZ126" s="348"/>
      <c r="CA126" s="350"/>
      <c r="CB126" s="44"/>
      <c r="CC126" s="44"/>
      <c r="CD126" s="44"/>
      <c r="CE126" s="44"/>
    </row>
    <row r="127" spans="1:83" x14ac:dyDescent="0.5">
      <c r="A127" s="259">
        <v>18106012</v>
      </c>
      <c r="B127" s="104">
        <v>18090847</v>
      </c>
      <c r="C127" s="105">
        <v>224</v>
      </c>
      <c r="D127" s="106" t="s">
        <v>184</v>
      </c>
      <c r="E127" s="107" t="s">
        <v>185</v>
      </c>
      <c r="F127" s="108">
        <v>238</v>
      </c>
      <c r="G127" s="122">
        <v>43402</v>
      </c>
      <c r="H127" s="109">
        <v>18398</v>
      </c>
      <c r="I127" s="127" t="s">
        <v>869</v>
      </c>
      <c r="J127" s="122">
        <v>43402</v>
      </c>
      <c r="K127" s="104" t="s">
        <v>372</v>
      </c>
      <c r="L127" s="110" t="s">
        <v>822</v>
      </c>
      <c r="M127" s="104" t="s">
        <v>50</v>
      </c>
      <c r="N127" s="111">
        <v>69158.880000000005</v>
      </c>
      <c r="O127" s="111">
        <f>N127*7/100</f>
        <v>4841.1216000000004</v>
      </c>
      <c r="P127" s="111">
        <f>N127+O127</f>
        <v>74000.001600000003</v>
      </c>
      <c r="Q127" s="166"/>
      <c r="R127" s="113" t="s">
        <v>569</v>
      </c>
      <c r="S127" s="114">
        <f>P127</f>
        <v>74000.001600000003</v>
      </c>
      <c r="T127" s="115">
        <v>5</v>
      </c>
      <c r="U127" s="116">
        <f>S127*T127/100</f>
        <v>3700.0000800000003</v>
      </c>
      <c r="V127" s="117">
        <f>S127-U127</f>
        <v>70300.001520000005</v>
      </c>
      <c r="W127" s="118">
        <v>0.36</v>
      </c>
      <c r="X127" s="118">
        <f>V127*W127/100</f>
        <v>253.08000547200001</v>
      </c>
      <c r="Y127" s="119">
        <v>0.2</v>
      </c>
      <c r="Z127" s="120">
        <f>V127*Y127/100</f>
        <v>140.60000304000002</v>
      </c>
      <c r="AA127" s="123">
        <v>18100403</v>
      </c>
      <c r="AB127" s="124">
        <v>48411.22</v>
      </c>
      <c r="AC127" s="261">
        <f t="shared" si="26"/>
        <v>3388.7854000000002</v>
      </c>
      <c r="AD127" s="234">
        <f t="shared" si="27"/>
        <v>51800.005400000002</v>
      </c>
      <c r="AE127" s="126">
        <v>43392</v>
      </c>
      <c r="AF127" s="127" t="s">
        <v>869</v>
      </c>
      <c r="AG127" s="127"/>
      <c r="AH127" s="127"/>
      <c r="AI127" s="103" t="s">
        <v>1171</v>
      </c>
      <c r="AJ127" s="128">
        <v>1</v>
      </c>
      <c r="AK127" s="129" t="s">
        <v>652</v>
      </c>
      <c r="AL127" s="130"/>
      <c r="AM127" s="131" t="s">
        <v>1205</v>
      </c>
      <c r="AN127" s="131">
        <v>2</v>
      </c>
      <c r="AO127" s="132" t="s">
        <v>634</v>
      </c>
      <c r="AP127" s="128"/>
      <c r="AQ127" s="123"/>
      <c r="AR127" s="131"/>
      <c r="AS127" s="131"/>
      <c r="AT127" s="131"/>
      <c r="AU127" s="169"/>
      <c r="AV127" s="128"/>
      <c r="AW127" s="123"/>
      <c r="AX127" s="131"/>
      <c r="AY127" s="131"/>
      <c r="AZ127" s="131"/>
      <c r="BA127" s="169"/>
      <c r="BB127" s="128"/>
      <c r="BC127" s="123"/>
      <c r="BD127" s="131"/>
      <c r="BE127" s="131"/>
      <c r="BF127" s="131"/>
      <c r="BG127" s="169"/>
      <c r="BH127" s="128"/>
      <c r="BI127" s="123"/>
      <c r="BJ127" s="131"/>
      <c r="BK127" s="131"/>
      <c r="BL127" s="131"/>
      <c r="BM127" s="351"/>
      <c r="BN127" s="128"/>
      <c r="BO127" s="123"/>
      <c r="BP127" s="131"/>
      <c r="BQ127" s="131"/>
      <c r="BR127" s="131"/>
      <c r="BS127" s="351"/>
      <c r="BT127" s="128"/>
      <c r="BU127" s="123"/>
      <c r="BV127" s="131"/>
      <c r="BW127" s="131"/>
      <c r="BX127" s="131"/>
      <c r="BY127" s="351"/>
      <c r="BZ127" s="128">
        <v>8</v>
      </c>
      <c r="CA127" s="123"/>
      <c r="CB127" s="131"/>
      <c r="CC127" s="131"/>
      <c r="CD127" s="131"/>
      <c r="CE127" s="351"/>
    </row>
    <row r="128" spans="1:83" x14ac:dyDescent="0.5">
      <c r="A128" s="268"/>
      <c r="B128" s="181"/>
      <c r="C128" s="182"/>
      <c r="D128" s="183"/>
      <c r="E128" s="184"/>
      <c r="F128" s="185"/>
      <c r="G128" s="181"/>
      <c r="H128" s="187"/>
      <c r="I128" s="199"/>
      <c r="J128" s="181"/>
      <c r="K128" s="181"/>
      <c r="L128" s="188"/>
      <c r="M128" s="181"/>
      <c r="N128" s="189"/>
      <c r="O128" s="189"/>
      <c r="P128" s="189"/>
      <c r="Q128" s="214"/>
      <c r="R128" s="215"/>
      <c r="S128" s="216"/>
      <c r="T128" s="217"/>
      <c r="U128" s="218"/>
      <c r="V128" s="195"/>
      <c r="W128" s="196"/>
      <c r="X128" s="196"/>
      <c r="Y128" s="197"/>
      <c r="Z128" s="198"/>
      <c r="AA128" s="223">
        <v>18100402</v>
      </c>
      <c r="AB128" s="224">
        <v>20747.66</v>
      </c>
      <c r="AC128" s="352">
        <f t="shared" si="26"/>
        <v>1452.3362</v>
      </c>
      <c r="AD128" s="238">
        <f t="shared" si="27"/>
        <v>22199.996200000001</v>
      </c>
      <c r="AE128" s="353">
        <v>43392</v>
      </c>
      <c r="AF128" s="199" t="s">
        <v>869</v>
      </c>
      <c r="AG128" s="199"/>
      <c r="AH128" s="199"/>
      <c r="AI128" s="180" t="s">
        <v>1170</v>
      </c>
      <c r="AJ128" s="204"/>
      <c r="AK128" s="205"/>
      <c r="AL128" s="206"/>
      <c r="AM128" s="206"/>
      <c r="AN128" s="207"/>
      <c r="AO128" s="208"/>
      <c r="AP128" s="204"/>
      <c r="AQ128" s="200"/>
      <c r="AR128" s="207"/>
      <c r="AS128" s="207"/>
      <c r="AT128" s="207"/>
      <c r="AU128" s="209"/>
      <c r="AV128" s="204"/>
      <c r="AW128" s="200"/>
      <c r="AX128" s="207"/>
      <c r="AY128" s="207"/>
      <c r="AZ128" s="207"/>
      <c r="BA128" s="209"/>
      <c r="BB128" s="204"/>
      <c r="BC128" s="200"/>
      <c r="BD128" s="207"/>
      <c r="BE128" s="207"/>
      <c r="BF128" s="207"/>
      <c r="BG128" s="209"/>
      <c r="BH128" s="204"/>
      <c r="BI128" s="200"/>
      <c r="BJ128" s="207"/>
      <c r="BK128" s="207"/>
      <c r="BL128" s="207"/>
      <c r="BM128" s="354"/>
      <c r="BN128" s="204"/>
      <c r="BO128" s="200"/>
      <c r="BP128" s="207"/>
      <c r="BQ128" s="207"/>
      <c r="BR128" s="207"/>
      <c r="BS128" s="354"/>
      <c r="BT128" s="204"/>
      <c r="BU128" s="200"/>
      <c r="BV128" s="207"/>
      <c r="BW128" s="207"/>
      <c r="BX128" s="207"/>
      <c r="BY128" s="354"/>
      <c r="BZ128" s="204"/>
      <c r="CA128" s="200"/>
      <c r="CB128" s="207"/>
      <c r="CC128" s="207"/>
      <c r="CD128" s="207"/>
      <c r="CE128" s="354"/>
    </row>
    <row r="129" spans="1:84" x14ac:dyDescent="0.5">
      <c r="A129" s="227">
        <v>18106011</v>
      </c>
      <c r="B129" s="22">
        <v>18100908</v>
      </c>
      <c r="C129" s="55"/>
      <c r="D129" s="56"/>
      <c r="E129" s="57"/>
      <c r="F129" s="58"/>
      <c r="G129" s="59"/>
      <c r="H129" s="60"/>
      <c r="I129" s="269"/>
      <c r="J129" s="59"/>
      <c r="K129" s="22" t="s">
        <v>273</v>
      </c>
      <c r="L129" s="28" t="s">
        <v>821</v>
      </c>
      <c r="M129" s="22" t="s">
        <v>51</v>
      </c>
      <c r="N129" s="29">
        <v>37200</v>
      </c>
      <c r="O129" s="29">
        <f>N129*7/100</f>
        <v>2604</v>
      </c>
      <c r="P129" s="29">
        <f>N129+O129</f>
        <v>39804</v>
      </c>
      <c r="U129" s="34"/>
      <c r="V129" s="35"/>
      <c r="W129" s="36"/>
      <c r="X129" s="36"/>
      <c r="Y129" s="37"/>
      <c r="AA129" s="40">
        <v>18110442</v>
      </c>
      <c r="AB129" s="41">
        <v>37200</v>
      </c>
      <c r="AC129" s="63">
        <f t="shared" si="26"/>
        <v>2604</v>
      </c>
      <c r="AD129" s="63">
        <f t="shared" si="27"/>
        <v>39804</v>
      </c>
      <c r="AE129" s="53">
        <v>43450</v>
      </c>
      <c r="AF129" s="39" t="s">
        <v>869</v>
      </c>
      <c r="AI129" s="21" t="s">
        <v>1667</v>
      </c>
      <c r="AJ129" s="44">
        <v>1</v>
      </c>
      <c r="AK129" s="45" t="s">
        <v>959</v>
      </c>
      <c r="AN129" s="47">
        <v>1</v>
      </c>
      <c r="AO129" s="48" t="s">
        <v>628</v>
      </c>
      <c r="AP129" s="44">
        <v>2</v>
      </c>
      <c r="AV129" s="44">
        <v>3</v>
      </c>
      <c r="BB129" s="44">
        <v>4</v>
      </c>
      <c r="BH129" s="44">
        <v>5</v>
      </c>
      <c r="BN129" s="44">
        <v>6</v>
      </c>
      <c r="BT129" s="44">
        <v>7</v>
      </c>
      <c r="BZ129" s="44">
        <v>8</v>
      </c>
    </row>
    <row r="130" spans="1:84" x14ac:dyDescent="0.5">
      <c r="A130" s="227">
        <v>18106010</v>
      </c>
      <c r="B130" s="22">
        <v>18100893</v>
      </c>
      <c r="C130" s="23">
        <v>223</v>
      </c>
      <c r="D130" s="24" t="s">
        <v>184</v>
      </c>
      <c r="E130" s="25" t="s">
        <v>185</v>
      </c>
      <c r="F130" s="26">
        <v>235</v>
      </c>
      <c r="G130" s="62">
        <v>43392</v>
      </c>
      <c r="H130" s="27">
        <v>18376</v>
      </c>
      <c r="I130" s="39" t="s">
        <v>869</v>
      </c>
      <c r="J130" s="62">
        <v>43392</v>
      </c>
      <c r="K130" s="22" t="s">
        <v>19</v>
      </c>
      <c r="L130" s="28" t="s">
        <v>563</v>
      </c>
      <c r="M130" s="22" t="s">
        <v>51</v>
      </c>
      <c r="N130" s="29">
        <v>35600</v>
      </c>
      <c r="O130" s="29">
        <v>2492</v>
      </c>
      <c r="P130" s="29">
        <f>SUM(N130:O130)</f>
        <v>38092</v>
      </c>
      <c r="R130" s="96"/>
      <c r="S130" s="97"/>
      <c r="T130" s="98"/>
      <c r="U130" s="99"/>
      <c r="V130" s="100"/>
      <c r="W130" s="99"/>
      <c r="X130" s="99"/>
      <c r="Y130" s="100"/>
      <c r="Z130" s="101"/>
      <c r="AA130" s="40">
        <v>18100394</v>
      </c>
      <c r="AB130" s="41">
        <v>35600</v>
      </c>
      <c r="AC130" s="64">
        <f t="shared" si="26"/>
        <v>2492</v>
      </c>
      <c r="AD130" s="64">
        <f t="shared" si="27"/>
        <v>38092</v>
      </c>
      <c r="AE130" s="53">
        <v>43420</v>
      </c>
      <c r="AF130" s="345" t="s">
        <v>869</v>
      </c>
      <c r="AG130" s="345"/>
      <c r="AH130" s="345"/>
      <c r="AI130" s="355" t="s">
        <v>1256</v>
      </c>
      <c r="AJ130" s="44">
        <v>1</v>
      </c>
      <c r="AK130" s="45" t="s">
        <v>582</v>
      </c>
      <c r="AM130" s="46" t="s">
        <v>1205</v>
      </c>
      <c r="AN130" s="47">
        <v>1</v>
      </c>
      <c r="AO130" s="48" t="s">
        <v>633</v>
      </c>
      <c r="AP130" s="44">
        <v>2</v>
      </c>
      <c r="AQ130" s="40" t="s">
        <v>587</v>
      </c>
      <c r="AS130" s="47" t="s">
        <v>1205</v>
      </c>
      <c r="AT130" s="47">
        <v>1</v>
      </c>
      <c r="AU130" s="49" t="s">
        <v>633</v>
      </c>
      <c r="AV130" s="356"/>
      <c r="AW130" s="356"/>
      <c r="AX130" s="44"/>
      <c r="AY130" s="44"/>
      <c r="AZ130" s="356"/>
      <c r="BA130" s="54"/>
      <c r="BB130" s="356"/>
      <c r="BC130" s="356"/>
      <c r="BD130" s="44"/>
      <c r="BE130" s="44"/>
      <c r="BF130" s="356"/>
      <c r="BG130" s="54"/>
      <c r="BH130" s="356"/>
      <c r="BI130" s="356"/>
      <c r="BJ130" s="44"/>
      <c r="BK130" s="44"/>
      <c r="BL130" s="356"/>
      <c r="BM130" s="356"/>
      <c r="BN130" s="356"/>
      <c r="BO130" s="356"/>
      <c r="BP130" s="44"/>
      <c r="BQ130" s="44"/>
      <c r="BR130" s="356"/>
      <c r="BS130" s="356"/>
      <c r="BT130" s="356"/>
      <c r="BU130" s="356"/>
      <c r="BV130" s="44"/>
      <c r="BW130" s="44"/>
      <c r="BX130" s="356"/>
      <c r="BY130" s="356"/>
      <c r="BZ130" s="356"/>
      <c r="CA130" s="356"/>
      <c r="CB130" s="44"/>
      <c r="CC130" s="44"/>
      <c r="CD130" s="356"/>
      <c r="CE130" s="356"/>
    </row>
    <row r="131" spans="1:84" x14ac:dyDescent="0.5">
      <c r="A131" s="227">
        <v>18106009</v>
      </c>
      <c r="B131" s="22">
        <v>18100884</v>
      </c>
      <c r="C131" s="55"/>
      <c r="D131" s="56"/>
      <c r="E131" s="57"/>
      <c r="F131" s="58"/>
      <c r="G131" s="59"/>
      <c r="H131" s="60"/>
      <c r="I131" s="39" t="s">
        <v>869</v>
      </c>
      <c r="J131" s="62">
        <v>43383</v>
      </c>
      <c r="K131" s="22" t="s">
        <v>564</v>
      </c>
      <c r="L131" s="28" t="s">
        <v>565</v>
      </c>
      <c r="M131" s="22" t="s">
        <v>50</v>
      </c>
      <c r="N131" s="29">
        <v>2500</v>
      </c>
      <c r="O131" s="29">
        <v>175</v>
      </c>
      <c r="P131" s="29">
        <f>SUM(N131:O131)</f>
        <v>2675</v>
      </c>
      <c r="R131" s="96"/>
      <c r="S131" s="97"/>
      <c r="T131" s="98"/>
      <c r="U131" s="99"/>
      <c r="V131" s="35">
        <v>2500</v>
      </c>
      <c r="W131" s="36">
        <v>1</v>
      </c>
      <c r="X131" s="36">
        <f>V131*W131/100</f>
        <v>25</v>
      </c>
      <c r="Y131" s="100"/>
      <c r="Z131" s="101"/>
      <c r="AA131" s="40">
        <v>18100386</v>
      </c>
      <c r="AB131" s="41">
        <v>2500</v>
      </c>
      <c r="AC131" s="63">
        <f t="shared" si="26"/>
        <v>175</v>
      </c>
      <c r="AD131" s="63">
        <f t="shared" si="27"/>
        <v>2675</v>
      </c>
      <c r="AE131" s="53">
        <v>43382</v>
      </c>
      <c r="AF131" s="345" t="s">
        <v>869</v>
      </c>
      <c r="AG131" s="345"/>
      <c r="AH131" s="345"/>
      <c r="AI131" s="346" t="s">
        <v>1186</v>
      </c>
      <c r="AJ131" s="44">
        <v>1</v>
      </c>
      <c r="AK131" s="45" t="s">
        <v>588</v>
      </c>
      <c r="AN131" s="47">
        <v>5</v>
      </c>
      <c r="AO131" s="48" t="s">
        <v>628</v>
      </c>
      <c r="AP131" s="356"/>
      <c r="AQ131" s="356"/>
      <c r="AR131" s="44"/>
      <c r="AS131" s="44"/>
      <c r="AT131" s="356"/>
      <c r="AU131" s="54"/>
      <c r="AV131" s="356"/>
      <c r="AW131" s="356"/>
      <c r="AX131" s="44"/>
      <c r="AY131" s="44"/>
      <c r="AZ131" s="356"/>
      <c r="BA131" s="54"/>
      <c r="BB131" s="356"/>
      <c r="BC131" s="356"/>
      <c r="BD131" s="44"/>
      <c r="BE131" s="44"/>
      <c r="BF131" s="356"/>
      <c r="BG131" s="54"/>
      <c r="BH131" s="356"/>
      <c r="BI131" s="356"/>
      <c r="BJ131" s="44"/>
      <c r="BK131" s="44"/>
      <c r="BL131" s="356"/>
      <c r="BM131" s="356"/>
      <c r="BN131" s="356"/>
      <c r="BO131" s="356"/>
      <c r="BP131" s="44"/>
      <c r="BQ131" s="44"/>
      <c r="BR131" s="356"/>
      <c r="BS131" s="356"/>
      <c r="BT131" s="356"/>
      <c r="BU131" s="356"/>
      <c r="BV131" s="44"/>
      <c r="BW131" s="44"/>
      <c r="BX131" s="356"/>
      <c r="BY131" s="356"/>
      <c r="BZ131" s="356"/>
      <c r="CA131" s="356"/>
      <c r="CB131" s="44"/>
      <c r="CC131" s="44"/>
      <c r="CD131" s="356"/>
      <c r="CE131" s="356"/>
    </row>
    <row r="132" spans="1:84" x14ac:dyDescent="0.5">
      <c r="A132" s="227">
        <v>18106008</v>
      </c>
      <c r="B132" s="22">
        <v>18100892</v>
      </c>
      <c r="C132" s="55"/>
      <c r="D132" s="56"/>
      <c r="E132" s="57"/>
      <c r="F132" s="58"/>
      <c r="G132" s="59"/>
      <c r="H132" s="60"/>
      <c r="I132" s="269"/>
      <c r="J132" s="59"/>
      <c r="K132" s="22" t="s">
        <v>171</v>
      </c>
      <c r="L132" s="28" t="s">
        <v>566</v>
      </c>
      <c r="M132" s="22" t="s">
        <v>51</v>
      </c>
      <c r="N132" s="29">
        <v>48900</v>
      </c>
      <c r="O132" s="29">
        <f>N132*7/100</f>
        <v>3423</v>
      </c>
      <c r="P132" s="29">
        <f>SUM(N132:O132)</f>
        <v>52323</v>
      </c>
      <c r="R132" s="96"/>
      <c r="S132" s="97"/>
      <c r="T132" s="98"/>
      <c r="U132" s="99"/>
      <c r="V132" s="100"/>
      <c r="W132" s="99"/>
      <c r="X132" s="99"/>
      <c r="Y132" s="100"/>
      <c r="Z132" s="101"/>
      <c r="AA132" s="40">
        <v>18100389</v>
      </c>
      <c r="AB132" s="41">
        <v>48900</v>
      </c>
      <c r="AC132" s="64">
        <f t="shared" si="26"/>
        <v>3423</v>
      </c>
      <c r="AD132" s="64">
        <f t="shared" si="27"/>
        <v>52323</v>
      </c>
      <c r="AE132" s="53">
        <v>43415</v>
      </c>
      <c r="AF132" s="39" t="s">
        <v>869</v>
      </c>
      <c r="AI132" s="21" t="s">
        <v>1672</v>
      </c>
      <c r="AJ132" s="44">
        <v>1</v>
      </c>
      <c r="AK132" s="45" t="s">
        <v>589</v>
      </c>
      <c r="AN132" s="47">
        <v>2</v>
      </c>
      <c r="AO132" s="48" t="s">
        <v>628</v>
      </c>
      <c r="AP132" s="44">
        <v>2</v>
      </c>
      <c r="AQ132" s="40" t="s">
        <v>590</v>
      </c>
      <c r="AT132" s="47">
        <v>1</v>
      </c>
      <c r="AU132" s="49" t="s">
        <v>628</v>
      </c>
      <c r="AV132" s="44">
        <v>3</v>
      </c>
      <c r="AW132" s="40" t="s">
        <v>591</v>
      </c>
      <c r="AZ132" s="47">
        <v>1</v>
      </c>
      <c r="BA132" s="49" t="s">
        <v>628</v>
      </c>
      <c r="BB132" s="356"/>
      <c r="BC132" s="356"/>
      <c r="BD132" s="44"/>
      <c r="BE132" s="44"/>
      <c r="BF132" s="356"/>
      <c r="BG132" s="54"/>
      <c r="BH132" s="356"/>
      <c r="BI132" s="356"/>
      <c r="BJ132" s="44"/>
      <c r="BK132" s="44"/>
      <c r="BL132" s="356"/>
      <c r="BM132" s="356"/>
      <c r="BN132" s="356"/>
      <c r="BO132" s="356"/>
      <c r="BP132" s="44"/>
      <c r="BQ132" s="44"/>
      <c r="BR132" s="356"/>
      <c r="BS132" s="356"/>
      <c r="BT132" s="356"/>
      <c r="BU132" s="356"/>
      <c r="BV132" s="44"/>
      <c r="BW132" s="44"/>
      <c r="BX132" s="356"/>
      <c r="BY132" s="356"/>
      <c r="BZ132" s="356"/>
      <c r="CA132" s="356"/>
      <c r="CB132" s="44"/>
      <c r="CC132" s="44"/>
      <c r="CD132" s="356"/>
      <c r="CE132" s="356"/>
    </row>
    <row r="133" spans="1:84" x14ac:dyDescent="0.5">
      <c r="A133" s="227">
        <v>18106007</v>
      </c>
      <c r="B133" s="22">
        <v>18100883</v>
      </c>
      <c r="C133" s="23">
        <v>222</v>
      </c>
      <c r="D133" s="24" t="s">
        <v>184</v>
      </c>
      <c r="E133" s="25" t="s">
        <v>185</v>
      </c>
      <c r="F133" s="26">
        <v>252</v>
      </c>
      <c r="G133" s="62">
        <v>43413</v>
      </c>
      <c r="H133" s="27">
        <v>18410</v>
      </c>
      <c r="I133" s="39" t="s">
        <v>869</v>
      </c>
      <c r="J133" s="62">
        <v>43413</v>
      </c>
      <c r="K133" s="22" t="s">
        <v>167</v>
      </c>
      <c r="L133" s="28" t="s">
        <v>552</v>
      </c>
      <c r="M133" s="22" t="s">
        <v>53</v>
      </c>
      <c r="N133" s="29">
        <v>41850</v>
      </c>
      <c r="O133" s="29">
        <f>N133*7/100</f>
        <v>2929.5</v>
      </c>
      <c r="P133" s="29">
        <f>SUM(N133:O133)</f>
        <v>44779.5</v>
      </c>
      <c r="R133" s="357"/>
      <c r="S133" s="32">
        <v>33550</v>
      </c>
      <c r="T133" s="33">
        <v>5</v>
      </c>
      <c r="U133" s="34">
        <f>S133*T133/100</f>
        <v>1677.5</v>
      </c>
      <c r="V133" s="35">
        <f>S133-U133</f>
        <v>31872.5</v>
      </c>
      <c r="W133" s="36">
        <v>0.2</v>
      </c>
      <c r="X133" s="36">
        <f>V133*W133/100</f>
        <v>63.744999999999997</v>
      </c>
      <c r="Y133" s="37">
        <v>0.2</v>
      </c>
      <c r="Z133" s="38">
        <f>V133*Y133/100</f>
        <v>63.744999999999997</v>
      </c>
      <c r="AA133" s="40">
        <v>18110426</v>
      </c>
      <c r="AB133" s="41">
        <v>41850</v>
      </c>
      <c r="AC133" s="63">
        <f t="shared" si="26"/>
        <v>2929.5</v>
      </c>
      <c r="AD133" s="63">
        <f t="shared" si="27"/>
        <v>44779.5</v>
      </c>
      <c r="AE133" s="53">
        <v>43446</v>
      </c>
      <c r="AF133" s="39" t="s">
        <v>869</v>
      </c>
      <c r="AI133" s="21" t="s">
        <v>2170</v>
      </c>
      <c r="AJ133" s="44">
        <v>1</v>
      </c>
      <c r="AK133" s="45" t="s">
        <v>592</v>
      </c>
      <c r="AM133" s="46" t="s">
        <v>1205</v>
      </c>
      <c r="AN133" s="47">
        <v>1</v>
      </c>
      <c r="AO133" s="48" t="s">
        <v>634</v>
      </c>
      <c r="AP133" s="356"/>
      <c r="AQ133" s="356"/>
      <c r="AR133" s="44"/>
      <c r="AS133" s="44"/>
      <c r="AT133" s="356"/>
      <c r="AU133" s="54"/>
      <c r="AV133" s="356"/>
      <c r="AW133" s="356"/>
      <c r="AX133" s="44"/>
      <c r="AY133" s="44"/>
      <c r="AZ133" s="356"/>
      <c r="BA133" s="54"/>
      <c r="BB133" s="356"/>
      <c r="BC133" s="356"/>
      <c r="BD133" s="44"/>
      <c r="BE133" s="44"/>
      <c r="BF133" s="356"/>
      <c r="BG133" s="54"/>
      <c r="BH133" s="356"/>
      <c r="BI133" s="356"/>
      <c r="BJ133" s="44"/>
      <c r="BK133" s="44"/>
      <c r="BL133" s="356"/>
      <c r="BM133" s="356"/>
      <c r="BN133" s="356"/>
      <c r="BO133" s="356"/>
      <c r="BP133" s="44"/>
      <c r="BQ133" s="44"/>
      <c r="BR133" s="356"/>
      <c r="BS133" s="356"/>
      <c r="BT133" s="356"/>
      <c r="BU133" s="356"/>
      <c r="BV133" s="44"/>
      <c r="BW133" s="44"/>
      <c r="BX133" s="356"/>
      <c r="BY133" s="356"/>
      <c r="BZ133" s="356"/>
      <c r="CA133" s="356"/>
      <c r="CB133" s="44"/>
      <c r="CC133" s="44"/>
      <c r="CD133" s="356"/>
      <c r="CE133" s="356"/>
    </row>
    <row r="134" spans="1:84" x14ac:dyDescent="0.5">
      <c r="A134" s="259">
        <v>18106006</v>
      </c>
      <c r="B134" s="104" t="s">
        <v>553</v>
      </c>
      <c r="C134" s="105">
        <v>221</v>
      </c>
      <c r="D134" s="106" t="s">
        <v>184</v>
      </c>
      <c r="E134" s="107" t="s">
        <v>185</v>
      </c>
      <c r="F134" s="108">
        <v>263</v>
      </c>
      <c r="G134" s="211">
        <v>43426</v>
      </c>
      <c r="H134" s="164">
        <v>18426</v>
      </c>
      <c r="I134" s="127" t="s">
        <v>869</v>
      </c>
      <c r="J134" s="122">
        <v>43427</v>
      </c>
      <c r="K134" s="104" t="s">
        <v>554</v>
      </c>
      <c r="L134" s="110" t="s">
        <v>555</v>
      </c>
      <c r="M134" s="104" t="s">
        <v>52</v>
      </c>
      <c r="N134" s="111">
        <v>88785.05</v>
      </c>
      <c r="O134" s="111">
        <f>N134*7/100</f>
        <v>6214.9534999999996</v>
      </c>
      <c r="P134" s="111">
        <f>SUM(N134:O134)</f>
        <v>95000.003500000006</v>
      </c>
      <c r="Q134" s="311"/>
      <c r="R134" s="113" t="s">
        <v>558</v>
      </c>
      <c r="S134" s="114">
        <v>88785.05</v>
      </c>
      <c r="T134" s="115">
        <v>5</v>
      </c>
      <c r="U134" s="116">
        <f>S134*T134/100</f>
        <v>4439.2524999999996</v>
      </c>
      <c r="V134" s="117">
        <v>84345.79</v>
      </c>
      <c r="W134" s="118">
        <v>0.26</v>
      </c>
      <c r="X134" s="118">
        <f>V134*W134/100</f>
        <v>219.29905399999998</v>
      </c>
      <c r="Y134" s="119">
        <v>0.2</v>
      </c>
      <c r="Z134" s="358">
        <f>V134*Y134/100</f>
        <v>168.69157999999999</v>
      </c>
      <c r="AA134" s="123">
        <v>18100391</v>
      </c>
      <c r="AB134" s="124">
        <v>88785.05</v>
      </c>
      <c r="AC134" s="261">
        <f t="shared" si="26"/>
        <v>6214.9534999999996</v>
      </c>
      <c r="AD134" s="261">
        <f t="shared" si="27"/>
        <v>95000.003500000006</v>
      </c>
      <c r="AE134" s="126">
        <v>43388</v>
      </c>
      <c r="AF134" s="359" t="s">
        <v>869</v>
      </c>
      <c r="AG134" s="359"/>
      <c r="AH134" s="359"/>
      <c r="AI134" s="360" t="s">
        <v>1269</v>
      </c>
      <c r="AJ134" s="128">
        <v>1</v>
      </c>
      <c r="AK134" s="129" t="s">
        <v>593</v>
      </c>
      <c r="AL134" s="130"/>
      <c r="AM134" s="130" t="s">
        <v>1205</v>
      </c>
      <c r="AN134" s="131">
        <v>4</v>
      </c>
      <c r="AO134" s="132" t="s">
        <v>634</v>
      </c>
      <c r="AP134" s="361"/>
      <c r="AQ134" s="361"/>
      <c r="AR134" s="128"/>
      <c r="AS134" s="128"/>
      <c r="AT134" s="361"/>
      <c r="AU134" s="133"/>
      <c r="AV134" s="361"/>
      <c r="AW134" s="361"/>
      <c r="AX134" s="128"/>
      <c r="AY134" s="128"/>
      <c r="AZ134" s="361"/>
      <c r="BA134" s="133"/>
      <c r="BB134" s="361"/>
      <c r="BC134" s="361"/>
      <c r="BD134" s="128"/>
      <c r="BE134" s="128"/>
      <c r="BF134" s="361"/>
      <c r="BG134" s="133"/>
      <c r="BH134" s="361"/>
      <c r="BI134" s="361"/>
      <c r="BJ134" s="128"/>
      <c r="BK134" s="128"/>
      <c r="BL134" s="361"/>
      <c r="BM134" s="361"/>
      <c r="BN134" s="361"/>
      <c r="BO134" s="361"/>
      <c r="BP134" s="128"/>
      <c r="BQ134" s="128"/>
      <c r="BR134" s="361"/>
      <c r="BS134" s="361"/>
      <c r="BT134" s="361"/>
      <c r="BU134" s="361"/>
      <c r="BV134" s="128"/>
      <c r="BW134" s="128"/>
      <c r="BX134" s="361"/>
      <c r="BY134" s="361"/>
      <c r="BZ134" s="361"/>
      <c r="CA134" s="361"/>
      <c r="CB134" s="128"/>
      <c r="CC134" s="128"/>
      <c r="CD134" s="361"/>
      <c r="CE134" s="361"/>
    </row>
    <row r="135" spans="1:84" x14ac:dyDescent="0.5">
      <c r="A135" s="268"/>
      <c r="B135" s="181"/>
      <c r="C135" s="182"/>
      <c r="D135" s="183"/>
      <c r="E135" s="184"/>
      <c r="F135" s="185"/>
      <c r="G135" s="186">
        <v>43426</v>
      </c>
      <c r="H135" s="187">
        <v>18427</v>
      </c>
      <c r="I135" s="199"/>
      <c r="J135" s="181"/>
      <c r="K135" s="181"/>
      <c r="L135" s="188"/>
      <c r="M135" s="181"/>
      <c r="N135" s="189"/>
      <c r="O135" s="189"/>
      <c r="P135" s="189"/>
      <c r="Q135" s="190"/>
      <c r="R135" s="215"/>
      <c r="S135" s="216"/>
      <c r="T135" s="217"/>
      <c r="U135" s="218"/>
      <c r="V135" s="195"/>
      <c r="W135" s="196"/>
      <c r="X135" s="196"/>
      <c r="Y135" s="197"/>
      <c r="Z135" s="362"/>
      <c r="AA135" s="200"/>
      <c r="AB135" s="201"/>
      <c r="AC135" s="238"/>
      <c r="AD135" s="238"/>
      <c r="AE135" s="203"/>
      <c r="AF135" s="363"/>
      <c r="AG135" s="363"/>
      <c r="AH135" s="363"/>
      <c r="AI135" s="364"/>
      <c r="AJ135" s="204"/>
      <c r="AK135" s="205"/>
      <c r="AL135" s="206"/>
      <c r="AM135" s="206"/>
      <c r="AN135" s="207"/>
      <c r="AO135" s="208"/>
      <c r="AP135" s="365"/>
      <c r="AQ135" s="365"/>
      <c r="AR135" s="204"/>
      <c r="AS135" s="204"/>
      <c r="AT135" s="365"/>
      <c r="AU135" s="210"/>
      <c r="AV135" s="365"/>
      <c r="AW135" s="365"/>
      <c r="AX135" s="204"/>
      <c r="AY135" s="204"/>
      <c r="AZ135" s="365"/>
      <c r="BA135" s="210"/>
      <c r="BB135" s="365"/>
      <c r="BC135" s="365"/>
      <c r="BD135" s="204"/>
      <c r="BE135" s="204"/>
      <c r="BF135" s="365"/>
      <c r="BG135" s="210"/>
      <c r="BH135" s="365"/>
      <c r="BI135" s="365"/>
      <c r="BJ135" s="204"/>
      <c r="BK135" s="204"/>
      <c r="BL135" s="365"/>
      <c r="BM135" s="365"/>
      <c r="BN135" s="365"/>
      <c r="BO135" s="365"/>
      <c r="BP135" s="204"/>
      <c r="BQ135" s="204"/>
      <c r="BR135" s="365"/>
      <c r="BS135" s="365"/>
      <c r="BT135" s="365"/>
      <c r="BU135" s="365"/>
      <c r="BV135" s="204"/>
      <c r="BW135" s="204"/>
      <c r="BX135" s="365"/>
      <c r="BY135" s="365"/>
      <c r="BZ135" s="365"/>
      <c r="CA135" s="365"/>
      <c r="CB135" s="204"/>
      <c r="CC135" s="204"/>
      <c r="CD135" s="365"/>
      <c r="CE135" s="365"/>
    </row>
    <row r="136" spans="1:84" x14ac:dyDescent="0.5">
      <c r="A136" s="227">
        <v>18106005</v>
      </c>
      <c r="B136" s="22" t="s">
        <v>549</v>
      </c>
      <c r="C136" s="23">
        <v>220</v>
      </c>
      <c r="D136" s="24" t="s">
        <v>184</v>
      </c>
      <c r="E136" s="25" t="s">
        <v>185</v>
      </c>
      <c r="F136" s="26" t="s">
        <v>1442</v>
      </c>
      <c r="G136" s="62">
        <v>43494</v>
      </c>
      <c r="H136" s="27">
        <v>19030</v>
      </c>
      <c r="I136" s="39" t="s">
        <v>869</v>
      </c>
      <c r="J136" s="62">
        <v>43495</v>
      </c>
      <c r="K136" s="22" t="s">
        <v>550</v>
      </c>
      <c r="L136" s="28" t="s">
        <v>551</v>
      </c>
      <c r="M136" s="22" t="s">
        <v>52</v>
      </c>
      <c r="N136" s="29">
        <v>32500</v>
      </c>
      <c r="O136" s="29">
        <v>2275</v>
      </c>
      <c r="P136" s="29">
        <f t="shared" ref="P136:P187" si="28">SUM(N136:O136)</f>
        <v>34775</v>
      </c>
      <c r="Q136" s="30">
        <v>5300</v>
      </c>
      <c r="R136" s="31" t="s">
        <v>562</v>
      </c>
      <c r="S136" s="32">
        <f>N136-Q136</f>
        <v>27200</v>
      </c>
      <c r="T136" s="33">
        <v>4</v>
      </c>
      <c r="U136" s="34">
        <f>S136*T136/100</f>
        <v>1088</v>
      </c>
      <c r="V136" s="35">
        <f>S136-U136</f>
        <v>26112</v>
      </c>
      <c r="W136" s="36">
        <v>0.25</v>
      </c>
      <c r="X136" s="36">
        <f>V136*W136/100</f>
        <v>65.28</v>
      </c>
      <c r="Y136" s="37">
        <v>0.2</v>
      </c>
      <c r="Z136" s="38">
        <f>V136*Y136/100</f>
        <v>52.224000000000004</v>
      </c>
      <c r="AA136" s="40">
        <v>19010026</v>
      </c>
      <c r="AB136" s="41">
        <v>32500</v>
      </c>
      <c r="AC136" s="63">
        <f>AB136*7/100</f>
        <v>2275</v>
      </c>
      <c r="AD136" s="64">
        <f>AB136+AC136</f>
        <v>34775</v>
      </c>
      <c r="AE136" s="53">
        <v>43493</v>
      </c>
      <c r="AF136" s="39" t="s">
        <v>869</v>
      </c>
      <c r="AI136" s="21" t="s">
        <v>1649</v>
      </c>
      <c r="AJ136" s="44">
        <v>1</v>
      </c>
      <c r="AK136" s="45" t="s">
        <v>594</v>
      </c>
      <c r="AM136" s="46" t="s">
        <v>1205</v>
      </c>
      <c r="AN136" s="47">
        <v>1</v>
      </c>
      <c r="AO136" s="48" t="s">
        <v>634</v>
      </c>
      <c r="AP136" s="356"/>
      <c r="AQ136" s="356"/>
      <c r="AR136" s="44"/>
      <c r="AS136" s="44"/>
      <c r="AT136" s="356"/>
      <c r="AU136" s="54"/>
      <c r="AV136" s="356"/>
      <c r="AW136" s="356"/>
      <c r="AX136" s="44"/>
      <c r="AY136" s="44"/>
      <c r="AZ136" s="356"/>
      <c r="BA136" s="54"/>
      <c r="BB136" s="356"/>
      <c r="BC136" s="356"/>
      <c r="BD136" s="44"/>
      <c r="BE136" s="44"/>
      <c r="BF136" s="356"/>
      <c r="BG136" s="54"/>
      <c r="BH136" s="356"/>
      <c r="BI136" s="356"/>
      <c r="BJ136" s="44"/>
      <c r="BK136" s="44"/>
      <c r="BL136" s="356"/>
      <c r="BM136" s="356"/>
      <c r="BN136" s="356"/>
      <c r="BO136" s="356"/>
      <c r="BP136" s="44"/>
      <c r="BQ136" s="44"/>
      <c r="BR136" s="356"/>
      <c r="BS136" s="356"/>
      <c r="BT136" s="356"/>
      <c r="BU136" s="356"/>
      <c r="BV136" s="44"/>
      <c r="BW136" s="44"/>
      <c r="BX136" s="356"/>
      <c r="BY136" s="356"/>
      <c r="BZ136" s="356"/>
      <c r="CA136" s="356"/>
      <c r="CB136" s="44"/>
      <c r="CC136" s="44"/>
      <c r="CD136" s="356"/>
      <c r="CE136" s="356"/>
    </row>
    <row r="137" spans="1:84" x14ac:dyDescent="0.5">
      <c r="A137" s="227">
        <v>18106004</v>
      </c>
      <c r="B137" s="22">
        <v>18100877</v>
      </c>
      <c r="C137" s="23">
        <v>219</v>
      </c>
      <c r="D137" s="24" t="s">
        <v>184</v>
      </c>
      <c r="E137" s="25" t="s">
        <v>185</v>
      </c>
      <c r="F137" s="26">
        <v>232</v>
      </c>
      <c r="G137" s="62">
        <v>43391</v>
      </c>
      <c r="H137" s="27">
        <v>18372</v>
      </c>
      <c r="I137" s="39" t="s">
        <v>869</v>
      </c>
      <c r="J137" s="62">
        <v>43391</v>
      </c>
      <c r="K137" s="22" t="s">
        <v>545</v>
      </c>
      <c r="L137" s="28" t="s">
        <v>160</v>
      </c>
      <c r="M137" s="22" t="s">
        <v>51</v>
      </c>
      <c r="N137" s="29">
        <v>46000</v>
      </c>
      <c r="O137" s="29">
        <v>3220</v>
      </c>
      <c r="P137" s="29">
        <f t="shared" si="28"/>
        <v>49220</v>
      </c>
      <c r="R137" s="96"/>
      <c r="S137" s="97"/>
      <c r="T137" s="98"/>
      <c r="U137" s="99"/>
      <c r="V137" s="100"/>
      <c r="W137" s="99"/>
      <c r="X137" s="99"/>
      <c r="Y137" s="100"/>
      <c r="Z137" s="101"/>
      <c r="AA137" s="40">
        <v>18100393</v>
      </c>
      <c r="AB137" s="41">
        <v>46000</v>
      </c>
      <c r="AC137" s="64">
        <f>AB137*7/100</f>
        <v>3220</v>
      </c>
      <c r="AD137" s="64">
        <f>AB137+AC137</f>
        <v>49220</v>
      </c>
      <c r="AE137" s="53">
        <v>43419</v>
      </c>
      <c r="AF137" s="345" t="s">
        <v>869</v>
      </c>
      <c r="AG137" s="345"/>
      <c r="AH137" s="345"/>
      <c r="AI137" s="346" t="s">
        <v>1272</v>
      </c>
      <c r="AJ137" s="44">
        <v>1</v>
      </c>
      <c r="AK137" s="45" t="s">
        <v>595</v>
      </c>
      <c r="AM137" s="46" t="s">
        <v>1205</v>
      </c>
      <c r="AN137" s="47">
        <v>1</v>
      </c>
      <c r="AO137" s="48" t="s">
        <v>633</v>
      </c>
      <c r="AP137" s="356"/>
      <c r="AQ137" s="356"/>
      <c r="AR137" s="44"/>
      <c r="AS137" s="44"/>
      <c r="AT137" s="356"/>
      <c r="AU137" s="54"/>
      <c r="AV137" s="356"/>
      <c r="AW137" s="356"/>
      <c r="AX137" s="44"/>
      <c r="AY137" s="44"/>
      <c r="AZ137" s="356"/>
      <c r="BA137" s="54"/>
      <c r="BB137" s="356"/>
      <c r="BC137" s="356"/>
      <c r="BD137" s="44"/>
      <c r="BE137" s="44"/>
      <c r="BF137" s="356"/>
      <c r="BG137" s="54"/>
      <c r="BH137" s="356"/>
      <c r="BI137" s="356"/>
      <c r="BJ137" s="44"/>
      <c r="BK137" s="44"/>
      <c r="BL137" s="356"/>
      <c r="BM137" s="356"/>
      <c r="BN137" s="356"/>
      <c r="BO137" s="356"/>
      <c r="BP137" s="44"/>
      <c r="BQ137" s="44"/>
      <c r="BR137" s="356"/>
      <c r="BS137" s="356"/>
      <c r="BT137" s="356"/>
      <c r="BU137" s="356"/>
      <c r="BV137" s="44"/>
      <c r="BW137" s="44"/>
      <c r="BX137" s="356"/>
      <c r="BY137" s="356"/>
      <c r="BZ137" s="356"/>
      <c r="CA137" s="356"/>
      <c r="CB137" s="44"/>
      <c r="CC137" s="44"/>
      <c r="CD137" s="356"/>
      <c r="CE137" s="356"/>
      <c r="CF137" s="51" t="s">
        <v>864</v>
      </c>
    </row>
    <row r="138" spans="1:84" s="95" customFormat="1" x14ac:dyDescent="0.5">
      <c r="A138" s="65">
        <v>18106003</v>
      </c>
      <c r="B138" s="66">
        <v>18100875</v>
      </c>
      <c r="C138" s="67">
        <v>218</v>
      </c>
      <c r="D138" s="68" t="s">
        <v>184</v>
      </c>
      <c r="E138" s="69"/>
      <c r="F138" s="70"/>
      <c r="G138" s="66"/>
      <c r="H138" s="71"/>
      <c r="I138" s="83"/>
      <c r="J138" s="66"/>
      <c r="K138" s="66" t="s">
        <v>10</v>
      </c>
      <c r="L138" s="72" t="s">
        <v>546</v>
      </c>
      <c r="M138" s="66" t="s">
        <v>51</v>
      </c>
      <c r="N138" s="73">
        <v>20000</v>
      </c>
      <c r="O138" s="73">
        <v>1400</v>
      </c>
      <c r="P138" s="73">
        <f t="shared" si="28"/>
        <v>21400</v>
      </c>
      <c r="Q138" s="74"/>
      <c r="R138" s="319"/>
      <c r="S138" s="320"/>
      <c r="T138" s="321"/>
      <c r="U138" s="322"/>
      <c r="V138" s="323"/>
      <c r="W138" s="322"/>
      <c r="X138" s="322"/>
      <c r="Y138" s="323"/>
      <c r="Z138" s="324"/>
      <c r="AA138" s="84"/>
      <c r="AB138" s="85"/>
      <c r="AC138" s="86"/>
      <c r="AD138" s="86"/>
      <c r="AE138" s="87"/>
      <c r="AF138" s="83"/>
      <c r="AG138" s="83"/>
      <c r="AH138" s="83"/>
      <c r="AI138" s="65"/>
      <c r="AJ138" s="88">
        <v>1</v>
      </c>
      <c r="AK138" s="89" t="s">
        <v>596</v>
      </c>
      <c r="AL138" s="90"/>
      <c r="AM138" s="46" t="s">
        <v>1205</v>
      </c>
      <c r="AN138" s="91">
        <v>1</v>
      </c>
      <c r="AO138" s="92" t="s">
        <v>635</v>
      </c>
      <c r="AP138" s="356"/>
      <c r="AQ138" s="356"/>
      <c r="AR138" s="44"/>
      <c r="AS138" s="44"/>
      <c r="AT138" s="356"/>
      <c r="AU138" s="54"/>
      <c r="AV138" s="356"/>
      <c r="AW138" s="356"/>
      <c r="AX138" s="44"/>
      <c r="AY138" s="44"/>
      <c r="AZ138" s="356"/>
      <c r="BA138" s="54"/>
      <c r="BB138" s="356"/>
      <c r="BC138" s="356"/>
      <c r="BD138" s="44"/>
      <c r="BE138" s="44"/>
      <c r="BF138" s="356"/>
      <c r="BG138" s="54"/>
      <c r="BH138" s="356"/>
      <c r="BI138" s="356"/>
      <c r="BJ138" s="44"/>
      <c r="BK138" s="44"/>
      <c r="BL138" s="356"/>
      <c r="BM138" s="356"/>
      <c r="BN138" s="356"/>
      <c r="BO138" s="356"/>
      <c r="BP138" s="44"/>
      <c r="BQ138" s="44"/>
      <c r="BR138" s="356"/>
      <c r="BS138" s="356"/>
      <c r="BT138" s="356"/>
      <c r="BU138" s="356"/>
      <c r="BV138" s="44"/>
      <c r="BW138" s="44"/>
      <c r="BX138" s="356"/>
      <c r="BY138" s="356"/>
      <c r="BZ138" s="356"/>
      <c r="CA138" s="356"/>
      <c r="CB138" s="44"/>
      <c r="CC138" s="44"/>
      <c r="CD138" s="356"/>
      <c r="CE138" s="356"/>
    </row>
    <row r="139" spans="1:84" x14ac:dyDescent="0.5">
      <c r="A139" s="227">
        <v>18106002</v>
      </c>
      <c r="B139" s="22">
        <v>18090853</v>
      </c>
      <c r="C139" s="55"/>
      <c r="D139" s="56"/>
      <c r="E139" s="57"/>
      <c r="F139" s="58"/>
      <c r="G139" s="59"/>
      <c r="H139" s="60"/>
      <c r="I139" s="39" t="s">
        <v>869</v>
      </c>
      <c r="J139" s="62">
        <v>43376</v>
      </c>
      <c r="K139" s="22" t="s">
        <v>395</v>
      </c>
      <c r="L139" s="28" t="s">
        <v>396</v>
      </c>
      <c r="M139" s="22" t="s">
        <v>50</v>
      </c>
      <c r="N139" s="29">
        <v>15000</v>
      </c>
      <c r="O139" s="29">
        <v>1050</v>
      </c>
      <c r="P139" s="29">
        <f t="shared" si="28"/>
        <v>16050</v>
      </c>
      <c r="R139" s="96"/>
      <c r="S139" s="97"/>
      <c r="T139" s="98"/>
      <c r="U139" s="99"/>
      <c r="V139" s="35">
        <v>15000</v>
      </c>
      <c r="W139" s="36">
        <v>1</v>
      </c>
      <c r="X139" s="36">
        <f>V139*W139/100</f>
        <v>150</v>
      </c>
      <c r="Y139" s="100"/>
      <c r="Z139" s="101"/>
      <c r="AA139" s="40">
        <v>18100388</v>
      </c>
      <c r="AB139" s="41">
        <v>15000</v>
      </c>
      <c r="AC139" s="64">
        <f t="shared" ref="AC139:AC146" si="29">AB139*7/100</f>
        <v>1050</v>
      </c>
      <c r="AD139" s="64">
        <f t="shared" ref="AD139:AD146" si="30">AB139+AC139</f>
        <v>16050</v>
      </c>
      <c r="AE139" s="53">
        <v>43384</v>
      </c>
      <c r="AF139" s="345" t="s">
        <v>869</v>
      </c>
      <c r="AG139" s="345"/>
      <c r="AH139" s="345"/>
      <c r="AI139" s="346" t="s">
        <v>1190</v>
      </c>
      <c r="AJ139" s="44">
        <v>1</v>
      </c>
      <c r="AK139" s="45" t="s">
        <v>597</v>
      </c>
      <c r="AN139" s="47">
        <v>12</v>
      </c>
      <c r="AO139" s="48" t="s">
        <v>628</v>
      </c>
      <c r="AP139" s="356"/>
      <c r="AQ139" s="356"/>
      <c r="AR139" s="44"/>
      <c r="AS139" s="44"/>
      <c r="AT139" s="356"/>
      <c r="AU139" s="54"/>
      <c r="AV139" s="356"/>
      <c r="AW139" s="356"/>
      <c r="AX139" s="44"/>
      <c r="AY139" s="44"/>
      <c r="AZ139" s="356"/>
      <c r="BA139" s="54"/>
      <c r="BB139" s="356"/>
      <c r="BC139" s="356"/>
      <c r="BD139" s="44"/>
      <c r="BE139" s="44"/>
      <c r="BF139" s="356"/>
      <c r="BG139" s="54"/>
      <c r="BH139" s="356"/>
      <c r="BI139" s="356"/>
      <c r="BJ139" s="44"/>
      <c r="BK139" s="44"/>
      <c r="BL139" s="356"/>
      <c r="BM139" s="356"/>
      <c r="BN139" s="356"/>
      <c r="BO139" s="356"/>
      <c r="BP139" s="44"/>
      <c r="BQ139" s="44"/>
      <c r="BR139" s="356"/>
      <c r="BS139" s="356"/>
      <c r="BT139" s="356"/>
      <c r="BU139" s="356"/>
      <c r="BV139" s="44"/>
      <c r="BW139" s="44"/>
      <c r="BX139" s="356"/>
      <c r="BY139" s="356"/>
      <c r="BZ139" s="356"/>
      <c r="CA139" s="356"/>
      <c r="CB139" s="44"/>
      <c r="CC139" s="44"/>
      <c r="CD139" s="356"/>
      <c r="CE139" s="356"/>
    </row>
    <row r="140" spans="1:84" x14ac:dyDescent="0.5">
      <c r="A140" s="227">
        <v>18106001</v>
      </c>
      <c r="B140" s="22">
        <v>18100866</v>
      </c>
      <c r="C140" s="23">
        <v>217</v>
      </c>
      <c r="D140" s="24" t="s">
        <v>184</v>
      </c>
      <c r="E140" s="25" t="s">
        <v>185</v>
      </c>
      <c r="F140" s="26">
        <v>226</v>
      </c>
      <c r="G140" s="62">
        <v>43377</v>
      </c>
      <c r="H140" s="27">
        <v>18351</v>
      </c>
      <c r="I140" s="39" t="s">
        <v>869</v>
      </c>
      <c r="J140" s="62">
        <v>43378</v>
      </c>
      <c r="K140" s="22" t="s">
        <v>547</v>
      </c>
      <c r="L140" s="28" t="s">
        <v>548</v>
      </c>
      <c r="M140" s="22" t="s">
        <v>53</v>
      </c>
      <c r="N140" s="29">
        <v>16200</v>
      </c>
      <c r="O140" s="29">
        <v>1134</v>
      </c>
      <c r="P140" s="29">
        <f t="shared" si="28"/>
        <v>17334</v>
      </c>
      <c r="R140" s="96"/>
      <c r="S140" s="97"/>
      <c r="T140" s="98"/>
      <c r="U140" s="99"/>
      <c r="V140" s="35">
        <v>16200</v>
      </c>
      <c r="W140" s="36">
        <v>1</v>
      </c>
      <c r="X140" s="36">
        <f>V140*W140/100</f>
        <v>162</v>
      </c>
      <c r="Y140" s="100"/>
      <c r="Z140" s="101"/>
      <c r="AA140" s="40">
        <v>18100384</v>
      </c>
      <c r="AB140" s="41">
        <v>16200</v>
      </c>
      <c r="AC140" s="64">
        <f t="shared" si="29"/>
        <v>1134</v>
      </c>
      <c r="AD140" s="64">
        <f t="shared" si="30"/>
        <v>17334</v>
      </c>
      <c r="AE140" s="53">
        <v>43381</v>
      </c>
      <c r="AF140" s="345" t="s">
        <v>869</v>
      </c>
      <c r="AG140" s="345"/>
      <c r="AH140" s="345"/>
      <c r="AI140" s="346" t="s">
        <v>1191</v>
      </c>
      <c r="AJ140" s="44">
        <v>1</v>
      </c>
      <c r="AK140" s="45" t="s">
        <v>548</v>
      </c>
      <c r="AN140" s="47">
        <v>15</v>
      </c>
      <c r="AO140" s="48" t="s">
        <v>628</v>
      </c>
      <c r="AP140" s="356"/>
      <c r="AQ140" s="356"/>
      <c r="AR140" s="44"/>
      <c r="AS140" s="44"/>
      <c r="AT140" s="356"/>
      <c r="AU140" s="54"/>
      <c r="AV140" s="356"/>
      <c r="AW140" s="356"/>
      <c r="AX140" s="44"/>
      <c r="AY140" s="44"/>
      <c r="AZ140" s="356"/>
      <c r="BA140" s="54"/>
      <c r="BB140" s="356"/>
      <c r="BC140" s="356"/>
      <c r="BD140" s="44"/>
      <c r="BE140" s="44"/>
      <c r="BF140" s="356"/>
      <c r="BG140" s="54"/>
      <c r="BH140" s="356"/>
      <c r="BI140" s="356"/>
      <c r="BJ140" s="44"/>
      <c r="BK140" s="44"/>
      <c r="BL140" s="356"/>
      <c r="BM140" s="356"/>
      <c r="BN140" s="356"/>
      <c r="BO140" s="356"/>
      <c r="BP140" s="44"/>
      <c r="BQ140" s="44"/>
      <c r="BR140" s="356"/>
      <c r="BS140" s="356"/>
      <c r="BT140" s="356"/>
      <c r="BU140" s="356"/>
      <c r="BV140" s="44"/>
      <c r="BW140" s="44"/>
      <c r="BX140" s="356"/>
      <c r="BY140" s="356"/>
      <c r="BZ140" s="356"/>
      <c r="CA140" s="356"/>
      <c r="CB140" s="44"/>
      <c r="CC140" s="44"/>
      <c r="CD140" s="356"/>
      <c r="CE140" s="356"/>
    </row>
    <row r="141" spans="1:84" x14ac:dyDescent="0.5">
      <c r="A141" s="227">
        <v>18106000</v>
      </c>
      <c r="B141" s="22">
        <v>18100865</v>
      </c>
      <c r="C141" s="23">
        <v>216</v>
      </c>
      <c r="D141" s="24" t="s">
        <v>184</v>
      </c>
      <c r="E141" s="25" t="s">
        <v>185</v>
      </c>
      <c r="F141" s="26">
        <v>239</v>
      </c>
      <c r="G141" s="62">
        <v>43397</v>
      </c>
      <c r="H141" s="27">
        <v>18383</v>
      </c>
      <c r="I141" s="39" t="s">
        <v>869</v>
      </c>
      <c r="K141" s="22" t="s">
        <v>545</v>
      </c>
      <c r="L141" s="28" t="s">
        <v>302</v>
      </c>
      <c r="M141" s="22" t="s">
        <v>51</v>
      </c>
      <c r="N141" s="29">
        <v>42000</v>
      </c>
      <c r="O141" s="29">
        <v>2940</v>
      </c>
      <c r="P141" s="29">
        <f t="shared" si="28"/>
        <v>44940</v>
      </c>
      <c r="R141" s="96"/>
      <c r="S141" s="97"/>
      <c r="T141" s="98"/>
      <c r="U141" s="99"/>
      <c r="V141" s="100"/>
      <c r="W141" s="99"/>
      <c r="X141" s="99"/>
      <c r="Y141" s="100"/>
      <c r="Z141" s="101"/>
      <c r="AA141" s="40">
        <v>18100401</v>
      </c>
      <c r="AB141" s="41">
        <v>42000</v>
      </c>
      <c r="AC141" s="64">
        <f t="shared" si="29"/>
        <v>2940</v>
      </c>
      <c r="AD141" s="64">
        <f t="shared" si="30"/>
        <v>44940</v>
      </c>
      <c r="AE141" s="53">
        <v>43422</v>
      </c>
      <c r="AF141" s="39" t="s">
        <v>869</v>
      </c>
      <c r="AI141" s="21" t="s">
        <v>1261</v>
      </c>
      <c r="AJ141" s="44">
        <v>1</v>
      </c>
      <c r="AK141" s="45" t="s">
        <v>598</v>
      </c>
      <c r="AL141" s="46" t="s">
        <v>1205</v>
      </c>
      <c r="AN141" s="47">
        <v>1</v>
      </c>
      <c r="AO141" s="48" t="s">
        <v>635</v>
      </c>
      <c r="AP141" s="356"/>
      <c r="AQ141" s="356"/>
      <c r="AR141" s="44"/>
      <c r="AS141" s="44"/>
      <c r="AT141" s="356"/>
      <c r="AU141" s="54"/>
      <c r="AV141" s="356"/>
      <c r="AW141" s="356"/>
      <c r="AX141" s="44"/>
      <c r="AY141" s="44"/>
      <c r="AZ141" s="356"/>
      <c r="BA141" s="54"/>
      <c r="BB141" s="356"/>
      <c r="BC141" s="356"/>
      <c r="BD141" s="44"/>
      <c r="BE141" s="44"/>
      <c r="BF141" s="356"/>
      <c r="BG141" s="54"/>
      <c r="BH141" s="356"/>
      <c r="BI141" s="356"/>
      <c r="BJ141" s="44"/>
      <c r="BK141" s="44"/>
      <c r="BL141" s="356"/>
      <c r="BM141" s="356"/>
      <c r="BN141" s="356"/>
      <c r="BO141" s="356"/>
      <c r="BP141" s="44"/>
      <c r="BQ141" s="44"/>
      <c r="BR141" s="356"/>
      <c r="BS141" s="356"/>
      <c r="BT141" s="356"/>
      <c r="BU141" s="356"/>
      <c r="BV141" s="44"/>
      <c r="BW141" s="44"/>
      <c r="BX141" s="356"/>
      <c r="BY141" s="356"/>
      <c r="BZ141" s="356"/>
      <c r="CA141" s="356"/>
      <c r="CB141" s="44"/>
      <c r="CC141" s="44"/>
      <c r="CD141" s="356"/>
      <c r="CE141" s="356"/>
    </row>
    <row r="142" spans="1:84" x14ac:dyDescent="0.5">
      <c r="A142" s="227">
        <v>18095999</v>
      </c>
      <c r="B142" s="22">
        <v>18070596</v>
      </c>
      <c r="C142" s="23">
        <v>215</v>
      </c>
      <c r="D142" s="24" t="s">
        <v>184</v>
      </c>
      <c r="E142" s="25" t="s">
        <v>185</v>
      </c>
      <c r="F142" s="26">
        <v>271</v>
      </c>
      <c r="G142" s="62">
        <v>43432</v>
      </c>
      <c r="H142" s="27">
        <v>18434</v>
      </c>
      <c r="I142" s="39" t="s">
        <v>869</v>
      </c>
      <c r="J142" s="62">
        <v>43432</v>
      </c>
      <c r="K142" s="22" t="s">
        <v>388</v>
      </c>
      <c r="L142" s="28" t="s">
        <v>533</v>
      </c>
      <c r="M142" s="22" t="s">
        <v>52</v>
      </c>
      <c r="N142" s="29">
        <v>79439.25</v>
      </c>
      <c r="O142" s="29">
        <v>5560.75</v>
      </c>
      <c r="P142" s="29">
        <f t="shared" si="28"/>
        <v>85000</v>
      </c>
      <c r="Q142" s="61"/>
      <c r="R142" s="31" t="s">
        <v>567</v>
      </c>
      <c r="S142" s="32">
        <f>N142</f>
        <v>79439.25</v>
      </c>
      <c r="T142" s="33">
        <v>1</v>
      </c>
      <c r="U142" s="34">
        <f>S142*T142/100</f>
        <v>794.39250000000004</v>
      </c>
      <c r="V142" s="35">
        <f>S142-U142</f>
        <v>78644.857499999998</v>
      </c>
      <c r="W142" s="36">
        <v>0.2</v>
      </c>
      <c r="X142" s="36">
        <f>V142*W142/100</f>
        <v>157.289715</v>
      </c>
      <c r="Y142" s="37">
        <v>0.2</v>
      </c>
      <c r="Z142" s="38">
        <f>V142*Y142/100</f>
        <v>157.289715</v>
      </c>
      <c r="AA142" s="40">
        <v>18110478</v>
      </c>
      <c r="AB142" s="41">
        <v>79439.25</v>
      </c>
      <c r="AC142" s="63">
        <f t="shared" si="29"/>
        <v>5560.7475000000004</v>
      </c>
      <c r="AD142" s="63">
        <f t="shared" si="30"/>
        <v>84999.997499999998</v>
      </c>
      <c r="AE142" s="53">
        <v>43446</v>
      </c>
      <c r="AF142" s="39" t="s">
        <v>869</v>
      </c>
      <c r="AI142" s="21" t="s">
        <v>1305</v>
      </c>
      <c r="AJ142" s="44">
        <v>1</v>
      </c>
      <c r="AK142" s="45" t="s">
        <v>593</v>
      </c>
      <c r="AM142" s="46" t="s">
        <v>1205</v>
      </c>
      <c r="AN142" s="47">
        <v>4</v>
      </c>
      <c r="AO142" s="48" t="s">
        <v>634</v>
      </c>
      <c r="AP142" s="356"/>
      <c r="AQ142" s="356"/>
      <c r="AR142" s="44"/>
      <c r="AS142" s="44"/>
      <c r="AT142" s="356"/>
      <c r="AU142" s="54"/>
      <c r="AV142" s="356"/>
      <c r="AW142" s="356"/>
      <c r="AX142" s="44"/>
      <c r="AY142" s="44"/>
      <c r="AZ142" s="356"/>
      <c r="BA142" s="54"/>
      <c r="BB142" s="356"/>
      <c r="BC142" s="356"/>
      <c r="BD142" s="44"/>
      <c r="BE142" s="44"/>
      <c r="BF142" s="356"/>
      <c r="BG142" s="54"/>
      <c r="BH142" s="356"/>
      <c r="BI142" s="356"/>
      <c r="BJ142" s="44"/>
      <c r="BK142" s="44"/>
      <c r="BL142" s="356"/>
      <c r="BM142" s="356"/>
      <c r="BN142" s="356"/>
      <c r="BO142" s="356"/>
      <c r="BP142" s="44"/>
      <c r="BQ142" s="44"/>
      <c r="BR142" s="356"/>
      <c r="BS142" s="356"/>
      <c r="BT142" s="356"/>
      <c r="BU142" s="356"/>
      <c r="BV142" s="44"/>
      <c r="BW142" s="44"/>
      <c r="BX142" s="356"/>
      <c r="BY142" s="356"/>
      <c r="BZ142" s="356"/>
      <c r="CA142" s="356"/>
      <c r="CB142" s="44"/>
      <c r="CC142" s="44"/>
      <c r="CD142" s="356"/>
      <c r="CE142" s="356"/>
    </row>
    <row r="143" spans="1:84" x14ac:dyDescent="0.5">
      <c r="A143" s="227">
        <v>18095998</v>
      </c>
      <c r="B143" s="22">
        <v>18070597</v>
      </c>
      <c r="C143" s="23">
        <v>214</v>
      </c>
      <c r="D143" s="24" t="s">
        <v>184</v>
      </c>
      <c r="E143" s="25" t="s">
        <v>1324</v>
      </c>
      <c r="F143" s="26" t="s">
        <v>1447</v>
      </c>
      <c r="G143" s="62">
        <v>43490</v>
      </c>
      <c r="H143" s="27">
        <v>19028</v>
      </c>
      <c r="I143" s="39" t="s">
        <v>869</v>
      </c>
      <c r="J143" s="62">
        <v>43490</v>
      </c>
      <c r="K143" s="22" t="s">
        <v>534</v>
      </c>
      <c r="L143" s="28" t="s">
        <v>535</v>
      </c>
      <c r="M143" s="22" t="s">
        <v>52</v>
      </c>
      <c r="N143" s="29">
        <v>79439.25</v>
      </c>
      <c r="O143" s="29">
        <v>5560.75</v>
      </c>
      <c r="P143" s="29">
        <f t="shared" si="28"/>
        <v>85000</v>
      </c>
      <c r="Q143" s="61"/>
      <c r="R143" s="31" t="s">
        <v>567</v>
      </c>
      <c r="S143" s="32">
        <f>N143</f>
        <v>79439.25</v>
      </c>
      <c r="T143" s="33">
        <v>1</v>
      </c>
      <c r="U143" s="34">
        <f>S143*T143/100</f>
        <v>794.39250000000004</v>
      </c>
      <c r="V143" s="35">
        <f>S143-U143</f>
        <v>78644.857499999998</v>
      </c>
      <c r="W143" s="36">
        <v>0.2</v>
      </c>
      <c r="X143" s="36">
        <f>V143*W143/100</f>
        <v>157.289715</v>
      </c>
      <c r="Y143" s="37">
        <v>0.2</v>
      </c>
      <c r="Z143" s="38">
        <f>V143*Y143/100</f>
        <v>157.289715</v>
      </c>
      <c r="AA143" s="40">
        <v>19010021</v>
      </c>
      <c r="AB143" s="41">
        <v>79439.25</v>
      </c>
      <c r="AC143" s="63">
        <f t="shared" si="29"/>
        <v>5560.7475000000004</v>
      </c>
      <c r="AD143" s="63">
        <f t="shared" si="30"/>
        <v>84999.997499999998</v>
      </c>
      <c r="AE143" s="53">
        <v>43508</v>
      </c>
      <c r="AF143" s="39" t="s">
        <v>869</v>
      </c>
      <c r="AI143" s="21" t="s">
        <v>1811</v>
      </c>
      <c r="AJ143" s="44">
        <v>1</v>
      </c>
      <c r="AK143" s="45" t="s">
        <v>593</v>
      </c>
      <c r="AM143" s="46" t="s">
        <v>1205</v>
      </c>
      <c r="AN143" s="47">
        <v>4</v>
      </c>
      <c r="AO143" s="48" t="s">
        <v>634</v>
      </c>
      <c r="AP143" s="356"/>
      <c r="AQ143" s="356"/>
      <c r="AR143" s="44"/>
      <c r="AS143" s="44"/>
      <c r="AT143" s="356"/>
      <c r="AU143" s="54"/>
      <c r="AV143" s="356"/>
      <c r="AW143" s="356"/>
      <c r="AX143" s="44"/>
      <c r="AY143" s="44"/>
      <c r="AZ143" s="356"/>
      <c r="BA143" s="54"/>
      <c r="BB143" s="356"/>
      <c r="BC143" s="356"/>
      <c r="BD143" s="44"/>
      <c r="BE143" s="44"/>
      <c r="BF143" s="356"/>
      <c r="BG143" s="54"/>
      <c r="BH143" s="356"/>
      <c r="BI143" s="356"/>
      <c r="BJ143" s="44"/>
      <c r="BK143" s="44"/>
      <c r="BL143" s="356"/>
      <c r="BM143" s="356"/>
      <c r="BN143" s="356"/>
      <c r="BO143" s="356"/>
      <c r="BP143" s="44"/>
      <c r="BQ143" s="44"/>
      <c r="BR143" s="356"/>
      <c r="BS143" s="356"/>
      <c r="BT143" s="356"/>
      <c r="BU143" s="356"/>
      <c r="BV143" s="44"/>
      <c r="BW143" s="44"/>
      <c r="BX143" s="356"/>
      <c r="BY143" s="356"/>
      <c r="BZ143" s="356"/>
      <c r="CA143" s="356"/>
      <c r="CB143" s="44"/>
      <c r="CC143" s="44"/>
      <c r="CD143" s="356"/>
      <c r="CE143" s="356"/>
    </row>
    <row r="144" spans="1:84" x14ac:dyDescent="0.5">
      <c r="A144" s="227">
        <v>18095997</v>
      </c>
      <c r="B144" s="22" t="s">
        <v>536</v>
      </c>
      <c r="C144" s="23">
        <v>213</v>
      </c>
      <c r="D144" s="24" t="s">
        <v>184</v>
      </c>
      <c r="E144" s="25" t="s">
        <v>1324</v>
      </c>
      <c r="F144" s="26" t="s">
        <v>1360</v>
      </c>
      <c r="G144" s="62">
        <v>43487</v>
      </c>
      <c r="H144" s="27">
        <v>19027</v>
      </c>
      <c r="I144" s="39" t="s">
        <v>869</v>
      </c>
      <c r="J144" s="62">
        <v>43488</v>
      </c>
      <c r="K144" s="22" t="s">
        <v>537</v>
      </c>
      <c r="L144" s="28" t="s">
        <v>538</v>
      </c>
      <c r="M144" s="22" t="s">
        <v>52</v>
      </c>
      <c r="N144" s="29">
        <v>66355.14</v>
      </c>
      <c r="O144" s="29">
        <v>4644.8599999999997</v>
      </c>
      <c r="P144" s="29">
        <f t="shared" si="28"/>
        <v>71000</v>
      </c>
      <c r="Q144" s="30">
        <v>7000</v>
      </c>
      <c r="R144" s="31" t="s">
        <v>568</v>
      </c>
      <c r="S144" s="32">
        <f>N144-Q144</f>
        <v>59355.14</v>
      </c>
      <c r="T144" s="33">
        <v>5</v>
      </c>
      <c r="U144" s="34">
        <f>S144*T144/100</f>
        <v>2967.7570000000001</v>
      </c>
      <c r="V144" s="35">
        <f>S144-U144</f>
        <v>56387.383000000002</v>
      </c>
      <c r="W144" s="36">
        <v>0.26</v>
      </c>
      <c r="X144" s="36">
        <f>V144*W144/100</f>
        <v>146.6071958</v>
      </c>
      <c r="Y144" s="37">
        <v>0.2</v>
      </c>
      <c r="Z144" s="38">
        <f>V144*Y144/100</f>
        <v>112.77476600000001</v>
      </c>
      <c r="AA144" s="40">
        <v>19010015</v>
      </c>
      <c r="AB144" s="41">
        <v>66355.14</v>
      </c>
      <c r="AC144" s="52">
        <f t="shared" si="29"/>
        <v>4644.8598000000002</v>
      </c>
      <c r="AD144" s="52">
        <f t="shared" si="30"/>
        <v>70999.999800000005</v>
      </c>
      <c r="AE144" s="53">
        <v>43483</v>
      </c>
      <c r="AF144" s="39" t="s">
        <v>869</v>
      </c>
      <c r="AI144" s="21" t="s">
        <v>1652</v>
      </c>
      <c r="AJ144" s="44">
        <v>1</v>
      </c>
      <c r="AK144" s="45" t="s">
        <v>599</v>
      </c>
      <c r="AM144" s="46" t="s">
        <v>1205</v>
      </c>
      <c r="AN144" s="47">
        <v>1</v>
      </c>
      <c r="AO144" s="48" t="s">
        <v>634</v>
      </c>
      <c r="AP144" s="44">
        <v>2</v>
      </c>
      <c r="AQ144" s="40" t="s">
        <v>600</v>
      </c>
      <c r="AS144" s="47" t="s">
        <v>1205</v>
      </c>
      <c r="AT144" s="47">
        <v>1</v>
      </c>
      <c r="AU144" s="49" t="s">
        <v>636</v>
      </c>
      <c r="AV144" s="356"/>
      <c r="AW144" s="356"/>
      <c r="AX144" s="44"/>
      <c r="AY144" s="44"/>
      <c r="AZ144" s="356"/>
      <c r="BA144" s="54"/>
      <c r="BB144" s="356"/>
      <c r="BC144" s="356"/>
      <c r="BD144" s="44"/>
      <c r="BE144" s="44"/>
      <c r="BF144" s="356"/>
      <c r="BG144" s="54"/>
      <c r="BH144" s="356"/>
      <c r="BI144" s="356"/>
      <c r="BJ144" s="44"/>
      <c r="BK144" s="44"/>
      <c r="BL144" s="356"/>
      <c r="BM144" s="356"/>
      <c r="BN144" s="356"/>
      <c r="BO144" s="356"/>
      <c r="BP144" s="44"/>
      <c r="BQ144" s="44"/>
      <c r="BR144" s="356"/>
      <c r="BS144" s="356"/>
      <c r="BT144" s="356"/>
      <c r="BU144" s="356"/>
      <c r="BV144" s="44"/>
      <c r="BW144" s="44"/>
      <c r="BX144" s="356"/>
      <c r="BY144" s="356"/>
      <c r="BZ144" s="356"/>
      <c r="CA144" s="356"/>
      <c r="CB144" s="44"/>
      <c r="CC144" s="44"/>
      <c r="CD144" s="356"/>
      <c r="CE144" s="356"/>
    </row>
    <row r="145" spans="1:83" x14ac:dyDescent="0.5">
      <c r="A145" s="227">
        <v>18095996</v>
      </c>
      <c r="B145" s="22">
        <v>18070599</v>
      </c>
      <c r="C145" s="23">
        <v>212</v>
      </c>
      <c r="D145" s="24" t="s">
        <v>184</v>
      </c>
      <c r="E145" s="25" t="s">
        <v>1324</v>
      </c>
      <c r="F145" s="26" t="s">
        <v>1449</v>
      </c>
      <c r="G145" s="62">
        <v>43486</v>
      </c>
      <c r="H145" s="27">
        <v>19017</v>
      </c>
      <c r="I145" s="39" t="s">
        <v>869</v>
      </c>
      <c r="J145" s="62">
        <v>43486</v>
      </c>
      <c r="K145" s="22" t="s">
        <v>539</v>
      </c>
      <c r="L145" s="28" t="s">
        <v>540</v>
      </c>
      <c r="M145" s="22" t="s">
        <v>52</v>
      </c>
      <c r="N145" s="29">
        <v>79439.25</v>
      </c>
      <c r="O145" s="29">
        <v>5560.75</v>
      </c>
      <c r="P145" s="29">
        <f t="shared" si="28"/>
        <v>85000</v>
      </c>
      <c r="Q145" s="61"/>
      <c r="R145" s="31" t="s">
        <v>567</v>
      </c>
      <c r="S145" s="32">
        <f>N145</f>
        <v>79439.25</v>
      </c>
      <c r="T145" s="33">
        <v>1</v>
      </c>
      <c r="U145" s="34">
        <f>S145*T145/100</f>
        <v>794.39250000000004</v>
      </c>
      <c r="V145" s="35">
        <f>S145-U145</f>
        <v>78644.857499999998</v>
      </c>
      <c r="W145" s="36">
        <v>0.2</v>
      </c>
      <c r="X145" s="36">
        <f>V145*W145/100</f>
        <v>157.289715</v>
      </c>
      <c r="Y145" s="37">
        <v>0.2</v>
      </c>
      <c r="Z145" s="38">
        <f>V145*Y145/100</f>
        <v>157.289715</v>
      </c>
      <c r="AA145" s="40">
        <v>19010016</v>
      </c>
      <c r="AB145" s="41">
        <v>79439.25</v>
      </c>
      <c r="AC145" s="63">
        <f t="shared" si="29"/>
        <v>5560.7475000000004</v>
      </c>
      <c r="AD145" s="63">
        <f t="shared" si="30"/>
        <v>84999.997499999998</v>
      </c>
      <c r="AE145" s="53">
        <v>43498</v>
      </c>
      <c r="AF145" s="39" t="s">
        <v>869</v>
      </c>
      <c r="AI145" s="21" t="s">
        <v>1648</v>
      </c>
      <c r="AJ145" s="44">
        <v>1</v>
      </c>
      <c r="AK145" s="45" t="s">
        <v>593</v>
      </c>
      <c r="AM145" s="46" t="s">
        <v>1205</v>
      </c>
      <c r="AN145" s="47">
        <v>4</v>
      </c>
      <c r="AO145" s="48" t="s">
        <v>634</v>
      </c>
      <c r="AP145" s="356"/>
      <c r="AQ145" s="356"/>
      <c r="AR145" s="44"/>
      <c r="AS145" s="44"/>
      <c r="AT145" s="356"/>
      <c r="AU145" s="54"/>
      <c r="AV145" s="356"/>
      <c r="AW145" s="356"/>
      <c r="AX145" s="44"/>
      <c r="AY145" s="44"/>
      <c r="AZ145" s="356"/>
      <c r="BA145" s="54"/>
      <c r="BB145" s="356"/>
      <c r="BC145" s="356"/>
      <c r="BD145" s="44"/>
      <c r="BE145" s="44"/>
      <c r="BF145" s="356"/>
      <c r="BG145" s="54"/>
      <c r="BH145" s="356"/>
      <c r="BI145" s="356"/>
      <c r="BJ145" s="44"/>
      <c r="BK145" s="44"/>
      <c r="BL145" s="356"/>
      <c r="BM145" s="356"/>
      <c r="BN145" s="356"/>
      <c r="BO145" s="356"/>
      <c r="BP145" s="44"/>
      <c r="BQ145" s="44"/>
      <c r="BR145" s="356"/>
      <c r="BS145" s="356"/>
      <c r="BT145" s="356"/>
      <c r="BU145" s="356"/>
      <c r="BV145" s="44"/>
      <c r="BW145" s="44"/>
      <c r="BX145" s="356"/>
      <c r="BY145" s="356"/>
      <c r="BZ145" s="356"/>
      <c r="CA145" s="356"/>
      <c r="CB145" s="44"/>
      <c r="CC145" s="44"/>
      <c r="CD145" s="356"/>
      <c r="CE145" s="356"/>
    </row>
    <row r="146" spans="1:83" x14ac:dyDescent="0.5">
      <c r="A146" s="227">
        <v>18095995</v>
      </c>
      <c r="B146" s="22">
        <v>18070598</v>
      </c>
      <c r="C146" s="23">
        <v>211</v>
      </c>
      <c r="D146" s="24" t="s">
        <v>184</v>
      </c>
      <c r="E146" s="25" t="s">
        <v>1324</v>
      </c>
      <c r="F146" s="26" t="s">
        <v>1419</v>
      </c>
      <c r="G146" s="62">
        <v>43523</v>
      </c>
      <c r="H146" s="27">
        <v>19076</v>
      </c>
      <c r="I146" s="39" t="s">
        <v>869</v>
      </c>
      <c r="J146" s="62">
        <v>43524</v>
      </c>
      <c r="K146" s="22" t="s">
        <v>541</v>
      </c>
      <c r="L146" s="28" t="s">
        <v>542</v>
      </c>
      <c r="M146" s="22" t="s">
        <v>52</v>
      </c>
      <c r="N146" s="29">
        <v>79439.25</v>
      </c>
      <c r="O146" s="29">
        <v>5560.75</v>
      </c>
      <c r="P146" s="29">
        <f t="shared" si="28"/>
        <v>85000</v>
      </c>
      <c r="Q146" s="61"/>
      <c r="R146" s="31" t="s">
        <v>567</v>
      </c>
      <c r="S146" s="32">
        <f>N146</f>
        <v>79439.25</v>
      </c>
      <c r="T146" s="33">
        <v>1</v>
      </c>
      <c r="U146" s="34">
        <f>S146*T146/100</f>
        <v>794.39250000000004</v>
      </c>
      <c r="V146" s="35">
        <f>S146-U146</f>
        <v>78644.857499999998</v>
      </c>
      <c r="W146" s="36">
        <v>0.2</v>
      </c>
      <c r="X146" s="36">
        <f>V146*W146/100</f>
        <v>157.289715</v>
      </c>
      <c r="Y146" s="37">
        <v>0.2</v>
      </c>
      <c r="Z146" s="38">
        <f>V146*Y146/100</f>
        <v>157.289715</v>
      </c>
      <c r="AA146" s="40">
        <v>19030063</v>
      </c>
      <c r="AB146" s="41">
        <v>79439.25</v>
      </c>
      <c r="AC146" s="63">
        <f t="shared" si="29"/>
        <v>5560.7475000000004</v>
      </c>
      <c r="AD146" s="63">
        <f t="shared" si="30"/>
        <v>84999.997499999998</v>
      </c>
      <c r="AE146" s="53">
        <v>43543</v>
      </c>
      <c r="AF146" s="39" t="s">
        <v>869</v>
      </c>
      <c r="AI146" s="21" t="s">
        <v>1859</v>
      </c>
      <c r="AJ146" s="44">
        <v>1</v>
      </c>
      <c r="AK146" s="45" t="s">
        <v>593</v>
      </c>
      <c r="AM146" s="46" t="s">
        <v>1205</v>
      </c>
      <c r="AN146" s="47">
        <v>4</v>
      </c>
      <c r="AO146" s="48" t="s">
        <v>634</v>
      </c>
      <c r="AP146" s="356"/>
      <c r="AQ146" s="356"/>
      <c r="AR146" s="44"/>
      <c r="AS146" s="44"/>
      <c r="AT146" s="356"/>
      <c r="AU146" s="54"/>
      <c r="AV146" s="356"/>
      <c r="AW146" s="356"/>
      <c r="AX146" s="44"/>
      <c r="AY146" s="44"/>
      <c r="AZ146" s="356"/>
      <c r="BA146" s="54"/>
      <c r="BB146" s="356"/>
      <c r="BC146" s="356"/>
      <c r="BD146" s="44"/>
      <c r="BE146" s="44"/>
      <c r="BF146" s="356"/>
      <c r="BG146" s="54"/>
      <c r="BH146" s="356"/>
      <c r="BI146" s="356"/>
      <c r="BJ146" s="44"/>
      <c r="BK146" s="44"/>
      <c r="BL146" s="356"/>
      <c r="BM146" s="356"/>
      <c r="BN146" s="356"/>
      <c r="BO146" s="356"/>
      <c r="BP146" s="44"/>
      <c r="BQ146" s="44"/>
      <c r="BR146" s="356"/>
      <c r="BS146" s="356"/>
      <c r="BT146" s="356"/>
      <c r="BU146" s="356"/>
      <c r="BV146" s="44"/>
      <c r="BW146" s="44"/>
      <c r="BX146" s="356"/>
      <c r="BY146" s="356"/>
      <c r="BZ146" s="356"/>
      <c r="CA146" s="356"/>
      <c r="CB146" s="44"/>
      <c r="CC146" s="44"/>
      <c r="CD146" s="356"/>
      <c r="CE146" s="356"/>
    </row>
    <row r="147" spans="1:83" x14ac:dyDescent="0.5">
      <c r="A147" s="259">
        <v>18095994</v>
      </c>
      <c r="B147" s="104">
        <v>18090862</v>
      </c>
      <c r="C147" s="105">
        <v>210</v>
      </c>
      <c r="D147" s="106" t="s">
        <v>184</v>
      </c>
      <c r="E147" s="107" t="s">
        <v>185</v>
      </c>
      <c r="F147" s="108">
        <v>230</v>
      </c>
      <c r="G147" s="122">
        <v>43390</v>
      </c>
      <c r="H147" s="109">
        <v>18370</v>
      </c>
      <c r="I147" s="127" t="s">
        <v>869</v>
      </c>
      <c r="J147" s="122">
        <v>43390</v>
      </c>
      <c r="K147" s="104" t="s">
        <v>543</v>
      </c>
      <c r="L147" s="104" t="s">
        <v>544</v>
      </c>
      <c r="M147" s="104" t="s">
        <v>51</v>
      </c>
      <c r="N147" s="111">
        <v>1100000</v>
      </c>
      <c r="O147" s="111">
        <v>77000</v>
      </c>
      <c r="P147" s="111">
        <f t="shared" si="28"/>
        <v>1177000</v>
      </c>
      <c r="Q147" s="311"/>
      <c r="R147" s="113"/>
      <c r="S147" s="114"/>
      <c r="T147" s="115"/>
      <c r="U147" s="116"/>
      <c r="V147" s="117"/>
      <c r="W147" s="118"/>
      <c r="X147" s="118"/>
      <c r="Y147" s="119"/>
      <c r="Z147" s="120"/>
      <c r="AA147" s="229">
        <v>18090369</v>
      </c>
      <c r="AB147" s="230">
        <v>110000</v>
      </c>
      <c r="AC147" s="275" t="s">
        <v>402</v>
      </c>
      <c r="AD147" s="234">
        <f>AB147</f>
        <v>110000</v>
      </c>
      <c r="AE147" s="221">
        <v>43371</v>
      </c>
      <c r="AF147" s="366" t="s">
        <v>869</v>
      </c>
      <c r="AG147" s="366"/>
      <c r="AH147" s="366"/>
      <c r="AI147" s="367" t="s">
        <v>1028</v>
      </c>
      <c r="AJ147" s="128">
        <v>1</v>
      </c>
      <c r="AK147" s="129" t="s">
        <v>580</v>
      </c>
      <c r="AL147" s="130"/>
      <c r="AM147" s="130" t="s">
        <v>1205</v>
      </c>
      <c r="AN147" s="131">
        <v>2</v>
      </c>
      <c r="AO147" s="132" t="s">
        <v>634</v>
      </c>
      <c r="AP147" s="361"/>
      <c r="AQ147" s="361"/>
      <c r="AR147" s="128"/>
      <c r="AS147" s="128"/>
      <c r="AT147" s="361"/>
      <c r="AU147" s="133"/>
      <c r="AV147" s="361"/>
      <c r="AW147" s="361"/>
      <c r="AX147" s="128"/>
      <c r="AY147" s="128"/>
      <c r="AZ147" s="361"/>
      <c r="BA147" s="133"/>
      <c r="BB147" s="361"/>
      <c r="BC147" s="361"/>
      <c r="BD147" s="128"/>
      <c r="BE147" s="128"/>
      <c r="BF147" s="361"/>
      <c r="BG147" s="133"/>
      <c r="BH147" s="361"/>
      <c r="BI147" s="361"/>
      <c r="BJ147" s="128"/>
      <c r="BK147" s="128"/>
      <c r="BL147" s="361"/>
      <c r="BM147" s="361"/>
      <c r="BN147" s="361"/>
      <c r="BO147" s="361"/>
      <c r="BP147" s="128"/>
      <c r="BQ147" s="128"/>
      <c r="BR147" s="361"/>
      <c r="BS147" s="361"/>
      <c r="BT147" s="361"/>
      <c r="BU147" s="361"/>
      <c r="BV147" s="128"/>
      <c r="BW147" s="128"/>
      <c r="BX147" s="361"/>
      <c r="BY147" s="361"/>
      <c r="BZ147" s="361"/>
      <c r="CA147" s="361"/>
      <c r="CB147" s="128"/>
      <c r="CC147" s="128"/>
      <c r="CD147" s="361"/>
      <c r="CE147" s="361"/>
    </row>
    <row r="148" spans="1:83" x14ac:dyDescent="0.5">
      <c r="A148" s="268"/>
      <c r="B148" s="181"/>
      <c r="C148" s="182"/>
      <c r="D148" s="183"/>
      <c r="E148" s="184"/>
      <c r="F148" s="185"/>
      <c r="G148" s="186"/>
      <c r="H148" s="187"/>
      <c r="I148" s="199"/>
      <c r="J148" s="186"/>
      <c r="K148" s="181"/>
      <c r="L148" s="188"/>
      <c r="M148" s="181"/>
      <c r="N148" s="189"/>
      <c r="O148" s="189"/>
      <c r="P148" s="189"/>
      <c r="Q148" s="190"/>
      <c r="R148" s="215"/>
      <c r="S148" s="216"/>
      <c r="T148" s="217"/>
      <c r="U148" s="218"/>
      <c r="V148" s="195"/>
      <c r="W148" s="196"/>
      <c r="X148" s="196"/>
      <c r="Y148" s="197"/>
      <c r="Z148" s="198"/>
      <c r="AA148" s="200">
        <v>18110417</v>
      </c>
      <c r="AB148" s="201">
        <v>990000</v>
      </c>
      <c r="AC148" s="240" t="s">
        <v>402</v>
      </c>
      <c r="AD148" s="238">
        <f>AB148</f>
        <v>990000</v>
      </c>
      <c r="AE148" s="203">
        <v>43405</v>
      </c>
      <c r="AF148" s="363" t="s">
        <v>869</v>
      </c>
      <c r="AG148" s="363"/>
      <c r="AH148" s="363"/>
      <c r="AI148" s="364" t="s">
        <v>1641</v>
      </c>
      <c r="AJ148" s="204"/>
      <c r="AK148" s="205"/>
      <c r="AL148" s="206"/>
      <c r="AM148" s="206"/>
      <c r="AN148" s="207"/>
      <c r="AO148" s="208"/>
      <c r="AP148" s="365"/>
      <c r="AQ148" s="365"/>
      <c r="AR148" s="204"/>
      <c r="AS148" s="204"/>
      <c r="AT148" s="365"/>
      <c r="AU148" s="210"/>
      <c r="AV148" s="365"/>
      <c r="AW148" s="365"/>
      <c r="AX148" s="204"/>
      <c r="AY148" s="204"/>
      <c r="AZ148" s="365"/>
      <c r="BA148" s="210"/>
      <c r="BB148" s="365"/>
      <c r="BC148" s="365"/>
      <c r="BD148" s="204"/>
      <c r="BE148" s="204"/>
      <c r="BF148" s="365"/>
      <c r="BG148" s="210"/>
      <c r="BH148" s="365"/>
      <c r="BI148" s="365"/>
      <c r="BJ148" s="204"/>
      <c r="BK148" s="204"/>
      <c r="BL148" s="365"/>
      <c r="BM148" s="365"/>
      <c r="BN148" s="365"/>
      <c r="BO148" s="365"/>
      <c r="BP148" s="204"/>
      <c r="BQ148" s="204"/>
      <c r="BR148" s="365"/>
      <c r="BS148" s="365"/>
      <c r="BT148" s="365"/>
      <c r="BU148" s="365"/>
      <c r="BV148" s="204"/>
      <c r="BW148" s="204"/>
      <c r="BX148" s="365"/>
      <c r="BY148" s="365"/>
      <c r="BZ148" s="365"/>
      <c r="CA148" s="365"/>
      <c r="CB148" s="204"/>
      <c r="CC148" s="204"/>
      <c r="CD148" s="365"/>
      <c r="CE148" s="365"/>
    </row>
    <row r="149" spans="1:83" x14ac:dyDescent="0.5">
      <c r="A149" s="21">
        <v>18095993</v>
      </c>
      <c r="B149" s="22">
        <v>18090860</v>
      </c>
      <c r="C149" s="55"/>
      <c r="D149" s="56"/>
      <c r="E149" s="57"/>
      <c r="F149" s="58"/>
      <c r="G149" s="59"/>
      <c r="H149" s="60"/>
      <c r="I149" s="269"/>
      <c r="J149" s="59"/>
      <c r="K149" s="22" t="s">
        <v>448</v>
      </c>
      <c r="L149" s="28" t="s">
        <v>449</v>
      </c>
      <c r="M149" s="22" t="s">
        <v>51</v>
      </c>
      <c r="N149" s="29">
        <v>15750</v>
      </c>
      <c r="O149" s="29">
        <v>1102.5</v>
      </c>
      <c r="P149" s="29">
        <f t="shared" si="28"/>
        <v>16852.5</v>
      </c>
      <c r="U149" s="34"/>
      <c r="V149" s="35"/>
      <c r="W149" s="36"/>
      <c r="X149" s="36"/>
      <c r="Y149" s="37"/>
      <c r="AA149" s="40">
        <v>18100382</v>
      </c>
      <c r="AB149" s="41">
        <v>15750</v>
      </c>
      <c r="AC149" s="64">
        <f t="shared" ref="AC149:AC155" si="31">AB149*7/100</f>
        <v>1102.5</v>
      </c>
      <c r="AD149" s="64">
        <f t="shared" ref="AD149:AD155" si="32">AB149+AC149</f>
        <v>16852.5</v>
      </c>
      <c r="AE149" s="53">
        <v>43377</v>
      </c>
      <c r="AF149" s="345"/>
      <c r="AG149" s="345"/>
      <c r="AH149" s="345" t="s">
        <v>869</v>
      </c>
      <c r="AI149" s="346" t="s">
        <v>873</v>
      </c>
      <c r="AJ149" s="44">
        <v>1</v>
      </c>
      <c r="AK149" s="45" t="s">
        <v>601</v>
      </c>
      <c r="AN149" s="47">
        <v>1</v>
      </c>
      <c r="AO149" s="48" t="s">
        <v>628</v>
      </c>
      <c r="AP149" s="356"/>
      <c r="AQ149" s="356"/>
      <c r="AR149" s="44"/>
      <c r="AS149" s="44"/>
      <c r="AT149" s="356"/>
      <c r="AU149" s="54"/>
      <c r="AV149" s="356"/>
      <c r="AW149" s="356"/>
      <c r="AX149" s="44"/>
      <c r="AY149" s="44"/>
      <c r="AZ149" s="356"/>
      <c r="BA149" s="54"/>
      <c r="BB149" s="356"/>
      <c r="BC149" s="356"/>
      <c r="BD149" s="44"/>
      <c r="BE149" s="44"/>
      <c r="BF149" s="356"/>
      <c r="BG149" s="54"/>
      <c r="BH149" s="356"/>
      <c r="BI149" s="356"/>
      <c r="BJ149" s="44"/>
      <c r="BK149" s="44"/>
      <c r="BL149" s="356"/>
      <c r="BM149" s="356"/>
      <c r="BN149" s="356"/>
      <c r="BO149" s="356"/>
      <c r="BP149" s="44"/>
      <c r="BQ149" s="44"/>
      <c r="BR149" s="356"/>
      <c r="BS149" s="356"/>
      <c r="BT149" s="356"/>
      <c r="BU149" s="356"/>
      <c r="BV149" s="44"/>
      <c r="BW149" s="44"/>
      <c r="BX149" s="356"/>
      <c r="BY149" s="356"/>
      <c r="BZ149" s="356"/>
      <c r="CA149" s="356"/>
      <c r="CB149" s="44"/>
      <c r="CC149" s="44"/>
      <c r="CD149" s="356"/>
      <c r="CE149" s="356"/>
    </row>
    <row r="150" spans="1:83" x14ac:dyDescent="0.5">
      <c r="A150" s="21">
        <v>18095992</v>
      </c>
      <c r="B150" s="22">
        <v>18090855</v>
      </c>
      <c r="C150" s="55"/>
      <c r="D150" s="56"/>
      <c r="E150" s="57"/>
      <c r="F150" s="58"/>
      <c r="G150" s="59"/>
      <c r="H150" s="60"/>
      <c r="I150" s="269"/>
      <c r="J150" s="59"/>
      <c r="K150" s="22" t="s">
        <v>194</v>
      </c>
      <c r="L150" s="28" t="s">
        <v>449</v>
      </c>
      <c r="M150" s="22" t="s">
        <v>51</v>
      </c>
      <c r="N150" s="29">
        <v>16750</v>
      </c>
      <c r="O150" s="29">
        <v>1172.5</v>
      </c>
      <c r="P150" s="29">
        <f t="shared" si="28"/>
        <v>17922.5</v>
      </c>
      <c r="U150" s="34"/>
      <c r="V150" s="35"/>
      <c r="W150" s="36"/>
      <c r="X150" s="36"/>
      <c r="Y150" s="37"/>
      <c r="AA150" s="40">
        <v>18100381</v>
      </c>
      <c r="AB150" s="41">
        <v>16750</v>
      </c>
      <c r="AC150" s="64">
        <f t="shared" si="31"/>
        <v>1172.5</v>
      </c>
      <c r="AD150" s="64">
        <f t="shared" si="32"/>
        <v>17922.5</v>
      </c>
      <c r="AE150" s="53">
        <v>43377</v>
      </c>
      <c r="AF150" s="345"/>
      <c r="AG150" s="345"/>
      <c r="AH150" s="345" t="s">
        <v>869</v>
      </c>
      <c r="AI150" s="346" t="s">
        <v>873</v>
      </c>
      <c r="AJ150" s="44">
        <v>1</v>
      </c>
      <c r="AK150" s="45" t="s">
        <v>602</v>
      </c>
      <c r="AN150" s="47">
        <v>1</v>
      </c>
      <c r="AO150" s="48" t="s">
        <v>628</v>
      </c>
      <c r="AP150" s="356"/>
      <c r="AQ150" s="356"/>
      <c r="AR150" s="44"/>
      <c r="AS150" s="44"/>
      <c r="AT150" s="356"/>
      <c r="AU150" s="54"/>
      <c r="AV150" s="356"/>
      <c r="AW150" s="356"/>
      <c r="AX150" s="44"/>
      <c r="AY150" s="44"/>
      <c r="AZ150" s="356"/>
      <c r="BA150" s="54"/>
      <c r="BB150" s="356"/>
      <c r="BC150" s="356"/>
      <c r="BD150" s="44"/>
      <c r="BE150" s="44"/>
      <c r="BF150" s="356"/>
      <c r="BG150" s="54"/>
      <c r="BH150" s="356"/>
      <c r="BI150" s="356"/>
      <c r="BJ150" s="44"/>
      <c r="BK150" s="44"/>
      <c r="BL150" s="356"/>
      <c r="BM150" s="356"/>
      <c r="BN150" s="356"/>
      <c r="BO150" s="356"/>
      <c r="BP150" s="44"/>
      <c r="BQ150" s="44"/>
      <c r="BR150" s="356"/>
      <c r="BS150" s="356"/>
      <c r="BT150" s="356"/>
      <c r="BU150" s="356"/>
      <c r="BV150" s="44"/>
      <c r="BW150" s="44"/>
      <c r="BX150" s="356"/>
      <c r="BY150" s="356"/>
      <c r="BZ150" s="356"/>
      <c r="CA150" s="356"/>
      <c r="CB150" s="44"/>
      <c r="CC150" s="44"/>
      <c r="CD150" s="356"/>
      <c r="CE150" s="356"/>
    </row>
    <row r="151" spans="1:83" x14ac:dyDescent="0.5">
      <c r="A151" s="21">
        <v>18095991</v>
      </c>
      <c r="B151" s="22">
        <v>18090858</v>
      </c>
      <c r="C151" s="55"/>
      <c r="D151" s="56"/>
      <c r="E151" s="57"/>
      <c r="F151" s="58"/>
      <c r="G151" s="59"/>
      <c r="H151" s="60"/>
      <c r="I151" s="269"/>
      <c r="J151" s="59"/>
      <c r="K151" s="22" t="s">
        <v>177</v>
      </c>
      <c r="L151" s="28" t="s">
        <v>449</v>
      </c>
      <c r="M151" s="22" t="s">
        <v>51</v>
      </c>
      <c r="N151" s="29">
        <v>16750</v>
      </c>
      <c r="O151" s="29">
        <v>1172.5</v>
      </c>
      <c r="P151" s="29">
        <f t="shared" si="28"/>
        <v>17922.5</v>
      </c>
      <c r="U151" s="34"/>
      <c r="V151" s="35"/>
      <c r="W151" s="36"/>
      <c r="X151" s="36"/>
      <c r="Y151" s="37"/>
      <c r="AA151" s="40">
        <v>18100380</v>
      </c>
      <c r="AB151" s="41">
        <v>16750</v>
      </c>
      <c r="AC151" s="64">
        <f t="shared" si="31"/>
        <v>1172.5</v>
      </c>
      <c r="AD151" s="64">
        <f t="shared" si="32"/>
        <v>17922.5</v>
      </c>
      <c r="AE151" s="53">
        <v>43377</v>
      </c>
      <c r="AF151" s="345"/>
      <c r="AG151" s="345"/>
      <c r="AH151" s="345" t="s">
        <v>869</v>
      </c>
      <c r="AI151" s="346" t="s">
        <v>873</v>
      </c>
      <c r="AJ151" s="44">
        <v>1</v>
      </c>
      <c r="AK151" s="45" t="s">
        <v>603</v>
      </c>
      <c r="AN151" s="47">
        <v>1</v>
      </c>
      <c r="AO151" s="48" t="s">
        <v>628</v>
      </c>
      <c r="AP151" s="356"/>
      <c r="AQ151" s="356"/>
      <c r="AR151" s="44"/>
      <c r="AS151" s="44"/>
      <c r="AT151" s="356"/>
      <c r="AU151" s="54"/>
      <c r="AV151" s="356"/>
      <c r="AW151" s="356"/>
      <c r="AX151" s="44"/>
      <c r="AY151" s="44"/>
      <c r="AZ151" s="356"/>
      <c r="BA151" s="54"/>
      <c r="BB151" s="356"/>
      <c r="BC151" s="356"/>
      <c r="BD151" s="44"/>
      <c r="BE151" s="44"/>
      <c r="BF151" s="356"/>
      <c r="BG151" s="54"/>
      <c r="BH151" s="356"/>
      <c r="BI151" s="356"/>
      <c r="BJ151" s="44"/>
      <c r="BK151" s="44"/>
      <c r="BL151" s="356"/>
      <c r="BM151" s="356"/>
      <c r="BN151" s="356"/>
      <c r="BO151" s="356"/>
      <c r="BP151" s="44"/>
      <c r="BQ151" s="44"/>
      <c r="BR151" s="356"/>
      <c r="BS151" s="356"/>
      <c r="BT151" s="356"/>
      <c r="BU151" s="356"/>
      <c r="BV151" s="44"/>
      <c r="BW151" s="44"/>
      <c r="BX151" s="356"/>
      <c r="BY151" s="356"/>
      <c r="BZ151" s="356"/>
      <c r="CA151" s="356"/>
      <c r="CB151" s="44"/>
      <c r="CC151" s="44"/>
      <c r="CD151" s="356"/>
      <c r="CE151" s="356"/>
    </row>
    <row r="152" spans="1:83" x14ac:dyDescent="0.5">
      <c r="A152" s="21">
        <v>18095990</v>
      </c>
      <c r="B152" s="22">
        <v>18090857</v>
      </c>
      <c r="C152" s="55"/>
      <c r="D152" s="56"/>
      <c r="E152" s="57"/>
      <c r="F152" s="58"/>
      <c r="G152" s="59"/>
      <c r="H152" s="60"/>
      <c r="I152" s="269"/>
      <c r="J152" s="59"/>
      <c r="K152" s="22" t="s">
        <v>192</v>
      </c>
      <c r="L152" s="28" t="s">
        <v>449</v>
      </c>
      <c r="M152" s="22" t="s">
        <v>51</v>
      </c>
      <c r="N152" s="29">
        <v>17250</v>
      </c>
      <c r="O152" s="29">
        <v>1207.5</v>
      </c>
      <c r="P152" s="29">
        <f t="shared" si="28"/>
        <v>18457.5</v>
      </c>
      <c r="U152" s="34"/>
      <c r="V152" s="35"/>
      <c r="W152" s="36"/>
      <c r="X152" s="36"/>
      <c r="Y152" s="37"/>
      <c r="AA152" s="40">
        <v>18100379</v>
      </c>
      <c r="AB152" s="41">
        <v>17250</v>
      </c>
      <c r="AC152" s="64">
        <f t="shared" si="31"/>
        <v>1207.5</v>
      </c>
      <c r="AD152" s="64">
        <f t="shared" si="32"/>
        <v>18457.5</v>
      </c>
      <c r="AE152" s="53">
        <v>43357</v>
      </c>
      <c r="AH152" s="39" t="s">
        <v>869</v>
      </c>
      <c r="AI152" s="21" t="s">
        <v>873</v>
      </c>
      <c r="AJ152" s="44">
        <v>1</v>
      </c>
      <c r="AK152" s="45" t="s">
        <v>604</v>
      </c>
      <c r="AN152" s="47">
        <v>1</v>
      </c>
      <c r="AO152" s="48" t="s">
        <v>628</v>
      </c>
      <c r="AP152" s="356"/>
      <c r="AQ152" s="356"/>
      <c r="AR152" s="44"/>
      <c r="AS152" s="44"/>
      <c r="AT152" s="356"/>
      <c r="AU152" s="54"/>
      <c r="AV152" s="356"/>
      <c r="AW152" s="356"/>
      <c r="AX152" s="44"/>
      <c r="AY152" s="44"/>
      <c r="AZ152" s="356"/>
      <c r="BA152" s="54"/>
      <c r="BB152" s="356"/>
      <c r="BC152" s="356"/>
      <c r="BD152" s="44"/>
      <c r="BE152" s="44"/>
      <c r="BF152" s="356"/>
      <c r="BG152" s="54"/>
      <c r="BH152" s="356"/>
      <c r="BI152" s="356"/>
      <c r="BJ152" s="44"/>
      <c r="BK152" s="44"/>
      <c r="BL152" s="356"/>
      <c r="BM152" s="356"/>
      <c r="BN152" s="356"/>
      <c r="BO152" s="356"/>
      <c r="BP152" s="44"/>
      <c r="BQ152" s="44"/>
      <c r="BR152" s="356"/>
      <c r="BS152" s="356"/>
      <c r="BT152" s="356"/>
      <c r="BU152" s="356"/>
      <c r="BV152" s="44"/>
      <c r="BW152" s="44"/>
      <c r="BX152" s="356"/>
      <c r="BY152" s="356"/>
      <c r="BZ152" s="356"/>
      <c r="CA152" s="356"/>
      <c r="CB152" s="44"/>
      <c r="CC152" s="44"/>
      <c r="CD152" s="356"/>
      <c r="CE152" s="356"/>
    </row>
    <row r="153" spans="1:83" x14ac:dyDescent="0.5">
      <c r="A153" s="21">
        <v>18095989</v>
      </c>
      <c r="B153" s="22">
        <v>18090856</v>
      </c>
      <c r="C153" s="55"/>
      <c r="D153" s="56"/>
      <c r="E153" s="57"/>
      <c r="F153" s="58"/>
      <c r="G153" s="59"/>
      <c r="H153" s="60"/>
      <c r="I153" s="269"/>
      <c r="J153" s="59"/>
      <c r="K153" s="22" t="s">
        <v>279</v>
      </c>
      <c r="L153" s="28" t="s">
        <v>449</v>
      </c>
      <c r="M153" s="22" t="s">
        <v>51</v>
      </c>
      <c r="N153" s="29">
        <v>25750</v>
      </c>
      <c r="O153" s="29">
        <v>1802.5</v>
      </c>
      <c r="P153" s="29">
        <f t="shared" si="28"/>
        <v>27552.5</v>
      </c>
      <c r="U153" s="34"/>
      <c r="V153" s="35"/>
      <c r="W153" s="36"/>
      <c r="X153" s="36"/>
      <c r="Y153" s="37"/>
      <c r="AA153" s="40">
        <v>18100378</v>
      </c>
      <c r="AB153" s="41">
        <v>25750</v>
      </c>
      <c r="AC153" s="64">
        <f t="shared" si="31"/>
        <v>1802.5</v>
      </c>
      <c r="AD153" s="64">
        <f t="shared" si="32"/>
        <v>27552.5</v>
      </c>
      <c r="AE153" s="53">
        <v>43357</v>
      </c>
      <c r="AF153" s="345"/>
      <c r="AG153" s="345"/>
      <c r="AH153" s="345" t="s">
        <v>869</v>
      </c>
      <c r="AI153" s="346" t="s">
        <v>873</v>
      </c>
      <c r="AJ153" s="44">
        <v>1</v>
      </c>
      <c r="AK153" s="45" t="s">
        <v>605</v>
      </c>
      <c r="AN153" s="47">
        <v>1</v>
      </c>
      <c r="AO153" s="48" t="s">
        <v>628</v>
      </c>
      <c r="AP153" s="356"/>
      <c r="AQ153" s="356"/>
      <c r="AR153" s="44"/>
      <c r="AS153" s="44"/>
      <c r="AT153" s="356"/>
      <c r="AU153" s="54"/>
      <c r="AV153" s="356"/>
      <c r="AW153" s="356"/>
      <c r="AX153" s="44"/>
      <c r="AY153" s="44"/>
      <c r="AZ153" s="356"/>
      <c r="BA153" s="54"/>
      <c r="BB153" s="356"/>
      <c r="BC153" s="356"/>
      <c r="BD153" s="44"/>
      <c r="BE153" s="44"/>
      <c r="BF153" s="356"/>
      <c r="BG153" s="54"/>
      <c r="BH153" s="356"/>
      <c r="BI153" s="356"/>
      <c r="BJ153" s="44"/>
      <c r="BK153" s="44"/>
      <c r="BL153" s="356"/>
      <c r="BM153" s="356"/>
      <c r="BN153" s="356"/>
      <c r="BO153" s="356"/>
      <c r="BP153" s="44"/>
      <c r="BQ153" s="44"/>
      <c r="BR153" s="356"/>
      <c r="BS153" s="356"/>
      <c r="BT153" s="356"/>
      <c r="BU153" s="356"/>
      <c r="BV153" s="44"/>
      <c r="BW153" s="44"/>
      <c r="BX153" s="356"/>
      <c r="BY153" s="356"/>
      <c r="BZ153" s="356"/>
      <c r="CA153" s="356"/>
      <c r="CB153" s="44"/>
      <c r="CC153" s="44"/>
      <c r="CD153" s="356"/>
      <c r="CE153" s="356"/>
    </row>
    <row r="154" spans="1:83" x14ac:dyDescent="0.5">
      <c r="A154" s="21">
        <v>18095988</v>
      </c>
      <c r="B154" s="22">
        <v>18090854</v>
      </c>
      <c r="C154" s="55"/>
      <c r="D154" s="56"/>
      <c r="E154" s="57"/>
      <c r="F154" s="58"/>
      <c r="G154" s="59"/>
      <c r="H154" s="60"/>
      <c r="I154" s="269"/>
      <c r="J154" s="59"/>
      <c r="K154" s="22" t="s">
        <v>196</v>
      </c>
      <c r="L154" s="28" t="s">
        <v>449</v>
      </c>
      <c r="M154" s="22" t="s">
        <v>51</v>
      </c>
      <c r="N154" s="29">
        <v>19250</v>
      </c>
      <c r="O154" s="29">
        <v>1347.5</v>
      </c>
      <c r="P154" s="29">
        <f t="shared" si="28"/>
        <v>20597.5</v>
      </c>
      <c r="U154" s="34"/>
      <c r="V154" s="35"/>
      <c r="W154" s="36"/>
      <c r="X154" s="36"/>
      <c r="Y154" s="37"/>
      <c r="AA154" s="40">
        <v>18100377</v>
      </c>
      <c r="AB154" s="41">
        <v>19250</v>
      </c>
      <c r="AC154" s="64">
        <f t="shared" si="31"/>
        <v>1347.5</v>
      </c>
      <c r="AD154" s="64">
        <f t="shared" si="32"/>
        <v>20597.5</v>
      </c>
      <c r="AE154" s="53">
        <v>43356</v>
      </c>
      <c r="AF154" s="345"/>
      <c r="AG154" s="345"/>
      <c r="AH154" s="345" t="s">
        <v>869</v>
      </c>
      <c r="AI154" s="346" t="s">
        <v>873</v>
      </c>
      <c r="AJ154" s="44">
        <v>1</v>
      </c>
      <c r="AK154" s="45" t="s">
        <v>606</v>
      </c>
      <c r="AN154" s="47">
        <v>1</v>
      </c>
      <c r="AO154" s="48" t="s">
        <v>628</v>
      </c>
      <c r="AP154" s="356"/>
      <c r="AQ154" s="356"/>
      <c r="AR154" s="44"/>
      <c r="AS154" s="44"/>
      <c r="AT154" s="356"/>
      <c r="AU154" s="54"/>
      <c r="AV154" s="356"/>
      <c r="AW154" s="356"/>
      <c r="AX154" s="44"/>
      <c r="AY154" s="44"/>
      <c r="AZ154" s="356"/>
      <c r="BA154" s="54"/>
      <c r="BB154" s="356"/>
      <c r="BC154" s="356"/>
      <c r="BD154" s="44"/>
      <c r="BE154" s="44"/>
      <c r="BF154" s="356"/>
      <c r="BG154" s="54"/>
      <c r="BH154" s="356"/>
      <c r="BI154" s="356"/>
      <c r="BJ154" s="44"/>
      <c r="BK154" s="44"/>
      <c r="BL154" s="356"/>
      <c r="BM154" s="356"/>
      <c r="BN154" s="356"/>
      <c r="BO154" s="356"/>
      <c r="BP154" s="44"/>
      <c r="BQ154" s="44"/>
      <c r="BR154" s="356"/>
      <c r="BS154" s="356"/>
      <c r="BT154" s="356"/>
      <c r="BU154" s="356"/>
      <c r="BV154" s="44"/>
      <c r="BW154" s="44"/>
      <c r="BX154" s="356"/>
      <c r="BY154" s="356"/>
      <c r="BZ154" s="356"/>
      <c r="CA154" s="356"/>
      <c r="CB154" s="44"/>
      <c r="CC154" s="44"/>
      <c r="CD154" s="356"/>
      <c r="CE154" s="356"/>
    </row>
    <row r="155" spans="1:83" x14ac:dyDescent="0.5">
      <c r="A155" s="259">
        <v>18095987</v>
      </c>
      <c r="B155" s="104" t="s">
        <v>450</v>
      </c>
      <c r="C155" s="105">
        <v>209</v>
      </c>
      <c r="D155" s="106" t="s">
        <v>184</v>
      </c>
      <c r="E155" s="107" t="s">
        <v>1324</v>
      </c>
      <c r="F155" s="108" t="s">
        <v>2136</v>
      </c>
      <c r="G155" s="211">
        <v>43635</v>
      </c>
      <c r="H155" s="164">
        <v>19162</v>
      </c>
      <c r="I155" s="127" t="s">
        <v>869</v>
      </c>
      <c r="J155" s="122">
        <v>43637</v>
      </c>
      <c r="K155" s="104" t="s">
        <v>451</v>
      </c>
      <c r="L155" s="110" t="s">
        <v>452</v>
      </c>
      <c r="M155" s="104" t="s">
        <v>52</v>
      </c>
      <c r="N155" s="111">
        <v>469638.2</v>
      </c>
      <c r="O155" s="111">
        <v>32874.67</v>
      </c>
      <c r="P155" s="111">
        <f t="shared" si="28"/>
        <v>502512.87</v>
      </c>
      <c r="Q155" s="311">
        <v>42000</v>
      </c>
      <c r="R155" s="113" t="s">
        <v>567</v>
      </c>
      <c r="S155" s="114">
        <f t="shared" ref="S155:S170" si="33">N155-Q155</f>
        <v>427638.2</v>
      </c>
      <c r="T155" s="115">
        <v>0.73</v>
      </c>
      <c r="U155" s="116">
        <f t="shared" ref="U155:U170" si="34">S155*T155/100</f>
        <v>3121.7588599999999</v>
      </c>
      <c r="V155" s="117">
        <f t="shared" ref="V155:V170" si="35">S155-U155</f>
        <v>424516.44114000001</v>
      </c>
      <c r="W155" s="118">
        <v>0.22</v>
      </c>
      <c r="X155" s="118">
        <f t="shared" ref="X155:X170" si="36">V155*W155/100</f>
        <v>933.93617050800003</v>
      </c>
      <c r="Y155" s="119">
        <v>0.2</v>
      </c>
      <c r="Z155" s="120">
        <f t="shared" ref="Z155:Z170" si="37">V155*Y155/100</f>
        <v>849.03288228000008</v>
      </c>
      <c r="AA155" s="123">
        <v>19060222</v>
      </c>
      <c r="AB155" s="124">
        <v>469638.21</v>
      </c>
      <c r="AC155" s="260">
        <f t="shared" si="31"/>
        <v>32874.674700000003</v>
      </c>
      <c r="AD155" s="260">
        <f t="shared" si="32"/>
        <v>502512.88470000005</v>
      </c>
      <c r="AE155" s="126">
        <v>43685</v>
      </c>
      <c r="AF155" s="127" t="s">
        <v>869</v>
      </c>
      <c r="AG155" s="127"/>
      <c r="AH155" s="127"/>
      <c r="AI155" s="103" t="s">
        <v>2598</v>
      </c>
      <c r="AJ155" s="128">
        <v>1</v>
      </c>
      <c r="AK155" s="129" t="s">
        <v>593</v>
      </c>
      <c r="AL155" s="130"/>
      <c r="AM155" s="130" t="s">
        <v>1205</v>
      </c>
      <c r="AN155" s="131">
        <v>8</v>
      </c>
      <c r="AO155" s="132" t="s">
        <v>634</v>
      </c>
      <c r="AP155" s="128">
        <v>2</v>
      </c>
      <c r="AQ155" s="123" t="s">
        <v>607</v>
      </c>
      <c r="AR155" s="131"/>
      <c r="AS155" s="131" t="s">
        <v>1205</v>
      </c>
      <c r="AT155" s="131">
        <v>2</v>
      </c>
      <c r="AU155" s="169" t="s">
        <v>636</v>
      </c>
      <c r="AV155" s="361"/>
      <c r="AW155" s="361"/>
      <c r="AX155" s="128"/>
      <c r="AY155" s="128"/>
      <c r="AZ155" s="361"/>
      <c r="BA155" s="133"/>
      <c r="BB155" s="361"/>
      <c r="BC155" s="361"/>
      <c r="BD155" s="128"/>
      <c r="BE155" s="128"/>
      <c r="BF155" s="361"/>
      <c r="BG155" s="133"/>
      <c r="BH155" s="361"/>
      <c r="BI155" s="361"/>
      <c r="BJ155" s="128"/>
      <c r="BK155" s="128"/>
      <c r="BL155" s="361"/>
      <c r="BM155" s="361"/>
      <c r="BN155" s="361"/>
      <c r="BO155" s="361"/>
      <c r="BP155" s="128"/>
      <c r="BQ155" s="128"/>
      <c r="BR155" s="361"/>
      <c r="BS155" s="361"/>
      <c r="BT155" s="361"/>
      <c r="BU155" s="361"/>
      <c r="BV155" s="128"/>
      <c r="BW155" s="128"/>
      <c r="BX155" s="361"/>
      <c r="BY155" s="361"/>
      <c r="BZ155" s="361"/>
      <c r="CA155" s="361"/>
      <c r="CB155" s="128"/>
      <c r="CC155" s="128"/>
      <c r="CD155" s="361"/>
      <c r="CE155" s="361"/>
    </row>
    <row r="156" spans="1:83" x14ac:dyDescent="0.5">
      <c r="A156" s="262"/>
      <c r="B156" s="135"/>
      <c r="C156" s="136"/>
      <c r="D156" s="137"/>
      <c r="E156" s="138"/>
      <c r="F156" s="139"/>
      <c r="G156" s="170">
        <v>43635</v>
      </c>
      <c r="H156" s="251">
        <v>19163</v>
      </c>
      <c r="I156" s="152"/>
      <c r="J156" s="135"/>
      <c r="K156" s="135"/>
      <c r="L156" s="141"/>
      <c r="M156" s="135"/>
      <c r="N156" s="142"/>
      <c r="O156" s="142"/>
      <c r="P156" s="142"/>
      <c r="Q156" s="143"/>
      <c r="R156" s="144"/>
      <c r="S156" s="145"/>
      <c r="T156" s="146"/>
      <c r="U156" s="147"/>
      <c r="V156" s="148"/>
      <c r="W156" s="149"/>
      <c r="X156" s="149"/>
      <c r="Y156" s="150"/>
      <c r="Z156" s="151"/>
      <c r="AA156" s="154"/>
      <c r="AB156" s="155"/>
      <c r="AC156" s="255"/>
      <c r="AD156" s="255"/>
      <c r="AE156" s="256"/>
      <c r="AF156" s="152"/>
      <c r="AG156" s="152"/>
      <c r="AH156" s="152"/>
      <c r="AI156" s="134"/>
      <c r="AJ156" s="158"/>
      <c r="AK156" s="159"/>
      <c r="AL156" s="160"/>
      <c r="AM156" s="160"/>
      <c r="AN156" s="161"/>
      <c r="AO156" s="162"/>
      <c r="AP156" s="158"/>
      <c r="AQ156" s="154"/>
      <c r="AR156" s="161"/>
      <c r="AS156" s="161"/>
      <c r="AT156" s="161"/>
      <c r="AU156" s="177"/>
      <c r="AV156" s="458"/>
      <c r="AW156" s="458"/>
      <c r="AX156" s="158"/>
      <c r="AY156" s="158"/>
      <c r="AZ156" s="458"/>
      <c r="BA156" s="163"/>
      <c r="BB156" s="458"/>
      <c r="BC156" s="458"/>
      <c r="BD156" s="158"/>
      <c r="BE156" s="158"/>
      <c r="BF156" s="458"/>
      <c r="BG156" s="163"/>
      <c r="BH156" s="458"/>
      <c r="BI156" s="458"/>
      <c r="BJ156" s="158"/>
      <c r="BK156" s="158"/>
      <c r="BL156" s="458"/>
      <c r="BM156" s="458"/>
      <c r="BN156" s="458"/>
      <c r="BO156" s="458"/>
      <c r="BP156" s="158"/>
      <c r="BQ156" s="158"/>
      <c r="BR156" s="458"/>
      <c r="BS156" s="458"/>
      <c r="BT156" s="458"/>
      <c r="BU156" s="458"/>
      <c r="BV156" s="158"/>
      <c r="BW156" s="158"/>
      <c r="BX156" s="458"/>
      <c r="BY156" s="458"/>
      <c r="BZ156" s="458"/>
      <c r="CA156" s="458"/>
      <c r="CB156" s="158"/>
      <c r="CC156" s="158"/>
      <c r="CD156" s="458"/>
      <c r="CE156" s="458"/>
    </row>
    <row r="157" spans="1:83" x14ac:dyDescent="0.5">
      <c r="A157" s="262"/>
      <c r="B157" s="135"/>
      <c r="C157" s="136"/>
      <c r="D157" s="137"/>
      <c r="E157" s="138"/>
      <c r="F157" s="139"/>
      <c r="G157" s="170">
        <v>43635</v>
      </c>
      <c r="H157" s="251">
        <v>19164</v>
      </c>
      <c r="I157" s="152"/>
      <c r="J157" s="135"/>
      <c r="K157" s="135"/>
      <c r="L157" s="141"/>
      <c r="M157" s="135"/>
      <c r="N157" s="142"/>
      <c r="O157" s="142"/>
      <c r="P157" s="142"/>
      <c r="Q157" s="143"/>
      <c r="R157" s="144"/>
      <c r="S157" s="145"/>
      <c r="T157" s="146"/>
      <c r="U157" s="147"/>
      <c r="V157" s="148"/>
      <c r="W157" s="149"/>
      <c r="X157" s="149"/>
      <c r="Y157" s="150"/>
      <c r="Z157" s="151"/>
      <c r="AA157" s="154"/>
      <c r="AB157" s="155"/>
      <c r="AC157" s="255"/>
      <c r="AD157" s="255"/>
      <c r="AE157" s="256"/>
      <c r="AF157" s="152"/>
      <c r="AG157" s="152"/>
      <c r="AH157" s="152"/>
      <c r="AI157" s="134"/>
      <c r="AJ157" s="158"/>
      <c r="AK157" s="159"/>
      <c r="AL157" s="160"/>
      <c r="AM157" s="160"/>
      <c r="AN157" s="161"/>
      <c r="AO157" s="162"/>
      <c r="AP157" s="158"/>
      <c r="AQ157" s="154"/>
      <c r="AR157" s="161"/>
      <c r="AS157" s="161"/>
      <c r="AT157" s="161"/>
      <c r="AU157" s="177"/>
      <c r="AV157" s="458"/>
      <c r="AW157" s="458"/>
      <c r="AX157" s="158"/>
      <c r="AY157" s="158"/>
      <c r="AZ157" s="458"/>
      <c r="BA157" s="163"/>
      <c r="BB157" s="458"/>
      <c r="BC157" s="458"/>
      <c r="BD157" s="158"/>
      <c r="BE157" s="158"/>
      <c r="BF157" s="458"/>
      <c r="BG157" s="163"/>
      <c r="BH157" s="458"/>
      <c r="BI157" s="458"/>
      <c r="BJ157" s="158"/>
      <c r="BK157" s="158"/>
      <c r="BL157" s="458"/>
      <c r="BM157" s="458"/>
      <c r="BN157" s="458"/>
      <c r="BO157" s="458"/>
      <c r="BP157" s="158"/>
      <c r="BQ157" s="158"/>
      <c r="BR157" s="458"/>
      <c r="BS157" s="458"/>
      <c r="BT157" s="458"/>
      <c r="BU157" s="458"/>
      <c r="BV157" s="158"/>
      <c r="BW157" s="158"/>
      <c r="BX157" s="458"/>
      <c r="BY157" s="458"/>
      <c r="BZ157" s="458"/>
      <c r="CA157" s="458"/>
      <c r="CB157" s="158"/>
      <c r="CC157" s="158"/>
      <c r="CD157" s="458"/>
      <c r="CE157" s="458"/>
    </row>
    <row r="158" spans="1:83" x14ac:dyDescent="0.5">
      <c r="A158" s="262"/>
      <c r="B158" s="135"/>
      <c r="C158" s="136"/>
      <c r="D158" s="137"/>
      <c r="E158" s="138"/>
      <c r="F158" s="139"/>
      <c r="G158" s="170">
        <v>43635</v>
      </c>
      <c r="H158" s="251">
        <v>19165</v>
      </c>
      <c r="I158" s="152"/>
      <c r="J158" s="135"/>
      <c r="K158" s="135"/>
      <c r="L158" s="141"/>
      <c r="M158" s="135"/>
      <c r="N158" s="142"/>
      <c r="O158" s="142"/>
      <c r="P158" s="142"/>
      <c r="Q158" s="143"/>
      <c r="R158" s="144"/>
      <c r="S158" s="145"/>
      <c r="T158" s="146"/>
      <c r="U158" s="147"/>
      <c r="V158" s="148"/>
      <c r="W158" s="149"/>
      <c r="X158" s="149"/>
      <c r="Y158" s="150"/>
      <c r="Z158" s="151"/>
      <c r="AA158" s="154"/>
      <c r="AB158" s="155"/>
      <c r="AC158" s="255"/>
      <c r="AD158" s="255"/>
      <c r="AE158" s="256"/>
      <c r="AF158" s="152"/>
      <c r="AG158" s="152"/>
      <c r="AH158" s="152"/>
      <c r="AI158" s="134"/>
      <c r="AJ158" s="158"/>
      <c r="AK158" s="159"/>
      <c r="AL158" s="160"/>
      <c r="AM158" s="160"/>
      <c r="AN158" s="161"/>
      <c r="AO158" s="162"/>
      <c r="AP158" s="158"/>
      <c r="AQ158" s="154"/>
      <c r="AR158" s="161"/>
      <c r="AS158" s="161"/>
      <c r="AT158" s="161"/>
      <c r="AU158" s="177"/>
      <c r="AV158" s="458"/>
      <c r="AW158" s="458"/>
      <c r="AX158" s="158"/>
      <c r="AY158" s="158"/>
      <c r="AZ158" s="458"/>
      <c r="BA158" s="163"/>
      <c r="BB158" s="458"/>
      <c r="BC158" s="458"/>
      <c r="BD158" s="158"/>
      <c r="BE158" s="158"/>
      <c r="BF158" s="458"/>
      <c r="BG158" s="163"/>
      <c r="BH158" s="458"/>
      <c r="BI158" s="458"/>
      <c r="BJ158" s="158"/>
      <c r="BK158" s="158"/>
      <c r="BL158" s="458"/>
      <c r="BM158" s="458"/>
      <c r="BN158" s="458"/>
      <c r="BO158" s="458"/>
      <c r="BP158" s="158"/>
      <c r="BQ158" s="158"/>
      <c r="BR158" s="458"/>
      <c r="BS158" s="458"/>
      <c r="BT158" s="458"/>
      <c r="BU158" s="458"/>
      <c r="BV158" s="158"/>
      <c r="BW158" s="158"/>
      <c r="BX158" s="458"/>
      <c r="BY158" s="458"/>
      <c r="BZ158" s="458"/>
      <c r="CA158" s="458"/>
      <c r="CB158" s="158"/>
      <c r="CC158" s="158"/>
      <c r="CD158" s="458"/>
      <c r="CE158" s="458"/>
    </row>
    <row r="159" spans="1:83" x14ac:dyDescent="0.5">
      <c r="A159" s="262"/>
      <c r="B159" s="135"/>
      <c r="C159" s="136"/>
      <c r="D159" s="137"/>
      <c r="E159" s="138"/>
      <c r="F159" s="139"/>
      <c r="G159" s="170">
        <v>43643</v>
      </c>
      <c r="H159" s="251">
        <v>19175</v>
      </c>
      <c r="I159" s="152"/>
      <c r="J159" s="135"/>
      <c r="K159" s="135"/>
      <c r="L159" s="141"/>
      <c r="M159" s="135"/>
      <c r="N159" s="142"/>
      <c r="O159" s="142"/>
      <c r="P159" s="142"/>
      <c r="Q159" s="143"/>
      <c r="R159" s="144"/>
      <c r="S159" s="145"/>
      <c r="T159" s="146"/>
      <c r="U159" s="147"/>
      <c r="V159" s="148"/>
      <c r="W159" s="149"/>
      <c r="X159" s="149"/>
      <c r="Y159" s="150"/>
      <c r="Z159" s="151"/>
      <c r="AA159" s="154"/>
      <c r="AB159" s="155"/>
      <c r="AC159" s="255"/>
      <c r="AD159" s="255"/>
      <c r="AE159" s="256"/>
      <c r="AF159" s="152"/>
      <c r="AG159" s="152"/>
      <c r="AH159" s="152"/>
      <c r="AI159" s="134"/>
      <c r="AJ159" s="158"/>
      <c r="AK159" s="159"/>
      <c r="AL159" s="160"/>
      <c r="AM159" s="160"/>
      <c r="AN159" s="161"/>
      <c r="AO159" s="162"/>
      <c r="AP159" s="158"/>
      <c r="AQ159" s="154"/>
      <c r="AR159" s="161"/>
      <c r="AS159" s="161"/>
      <c r="AT159" s="161"/>
      <c r="AU159" s="177"/>
      <c r="AV159" s="458"/>
      <c r="AW159" s="458"/>
      <c r="AX159" s="158"/>
      <c r="AY159" s="158"/>
      <c r="AZ159" s="458"/>
      <c r="BA159" s="163"/>
      <c r="BB159" s="458"/>
      <c r="BC159" s="458"/>
      <c r="BD159" s="158"/>
      <c r="BE159" s="158"/>
      <c r="BF159" s="458"/>
      <c r="BG159" s="163"/>
      <c r="BH159" s="458"/>
      <c r="BI159" s="458"/>
      <c r="BJ159" s="158"/>
      <c r="BK159" s="158"/>
      <c r="BL159" s="458"/>
      <c r="BM159" s="458"/>
      <c r="BN159" s="458"/>
      <c r="BO159" s="458"/>
      <c r="BP159" s="158"/>
      <c r="BQ159" s="158"/>
      <c r="BR159" s="458"/>
      <c r="BS159" s="458"/>
      <c r="BT159" s="458"/>
      <c r="BU159" s="458"/>
      <c r="BV159" s="158"/>
      <c r="BW159" s="158"/>
      <c r="BX159" s="458"/>
      <c r="BY159" s="458"/>
      <c r="BZ159" s="458"/>
      <c r="CA159" s="458"/>
      <c r="CB159" s="158"/>
      <c r="CC159" s="158"/>
      <c r="CD159" s="458"/>
      <c r="CE159" s="458"/>
    </row>
    <row r="160" spans="1:83" x14ac:dyDescent="0.5">
      <c r="A160" s="268"/>
      <c r="B160" s="181"/>
      <c r="C160" s="182"/>
      <c r="D160" s="183"/>
      <c r="E160" s="184"/>
      <c r="F160" s="185"/>
      <c r="G160" s="186">
        <v>43643</v>
      </c>
      <c r="H160" s="187">
        <v>19176</v>
      </c>
      <c r="I160" s="199"/>
      <c r="J160" s="181"/>
      <c r="K160" s="181"/>
      <c r="L160" s="188"/>
      <c r="M160" s="181"/>
      <c r="N160" s="189"/>
      <c r="O160" s="189"/>
      <c r="P160" s="189"/>
      <c r="Q160" s="190"/>
      <c r="R160" s="215"/>
      <c r="S160" s="216"/>
      <c r="T160" s="217"/>
      <c r="U160" s="218"/>
      <c r="V160" s="195"/>
      <c r="W160" s="196"/>
      <c r="X160" s="196"/>
      <c r="Y160" s="197"/>
      <c r="Z160" s="198"/>
      <c r="AA160" s="200"/>
      <c r="AB160" s="201"/>
      <c r="AC160" s="240"/>
      <c r="AD160" s="240"/>
      <c r="AE160" s="241"/>
      <c r="AF160" s="199"/>
      <c r="AG160" s="199"/>
      <c r="AH160" s="199"/>
      <c r="AI160" s="180"/>
      <c r="AJ160" s="204"/>
      <c r="AK160" s="205"/>
      <c r="AL160" s="206"/>
      <c r="AM160" s="206"/>
      <c r="AN160" s="207"/>
      <c r="AO160" s="208"/>
      <c r="AP160" s="204"/>
      <c r="AQ160" s="200"/>
      <c r="AR160" s="207"/>
      <c r="AS160" s="207"/>
      <c r="AT160" s="207"/>
      <c r="AU160" s="209"/>
      <c r="AV160" s="365"/>
      <c r="AW160" s="365"/>
      <c r="AX160" s="204"/>
      <c r="AY160" s="204"/>
      <c r="AZ160" s="365"/>
      <c r="BA160" s="210"/>
      <c r="BB160" s="365"/>
      <c r="BC160" s="365"/>
      <c r="BD160" s="204"/>
      <c r="BE160" s="204"/>
      <c r="BF160" s="365"/>
      <c r="BG160" s="210"/>
      <c r="BH160" s="365"/>
      <c r="BI160" s="365"/>
      <c r="BJ160" s="204"/>
      <c r="BK160" s="204"/>
      <c r="BL160" s="365"/>
      <c r="BM160" s="365"/>
      <c r="BN160" s="365"/>
      <c r="BO160" s="365"/>
      <c r="BP160" s="204"/>
      <c r="BQ160" s="204"/>
      <c r="BR160" s="365"/>
      <c r="BS160" s="365"/>
      <c r="BT160" s="365"/>
      <c r="BU160" s="365"/>
      <c r="BV160" s="204"/>
      <c r="BW160" s="204"/>
      <c r="BX160" s="365"/>
      <c r="BY160" s="365"/>
      <c r="BZ160" s="365"/>
      <c r="CA160" s="365"/>
      <c r="CB160" s="204"/>
      <c r="CC160" s="204"/>
      <c r="CD160" s="365"/>
      <c r="CE160" s="365"/>
    </row>
    <row r="161" spans="1:83" x14ac:dyDescent="0.5">
      <c r="A161" s="259">
        <v>18095986</v>
      </c>
      <c r="B161" s="104" t="s">
        <v>453</v>
      </c>
      <c r="C161" s="105">
        <v>208</v>
      </c>
      <c r="D161" s="106" t="s">
        <v>184</v>
      </c>
      <c r="E161" s="107" t="s">
        <v>1324</v>
      </c>
      <c r="F161" s="108" t="s">
        <v>2392</v>
      </c>
      <c r="G161" s="211">
        <v>43670</v>
      </c>
      <c r="H161" s="164">
        <v>19208</v>
      </c>
      <c r="I161" s="248" t="s">
        <v>869</v>
      </c>
      <c r="J161" s="122">
        <v>43671</v>
      </c>
      <c r="K161" s="104" t="s">
        <v>451</v>
      </c>
      <c r="L161" s="110" t="s">
        <v>454</v>
      </c>
      <c r="M161" s="104" t="s">
        <v>52</v>
      </c>
      <c r="N161" s="111">
        <v>469638.2</v>
      </c>
      <c r="O161" s="111">
        <v>32874.67</v>
      </c>
      <c r="P161" s="111">
        <f t="shared" si="28"/>
        <v>502512.87</v>
      </c>
      <c r="Q161" s="311">
        <v>42000</v>
      </c>
      <c r="R161" s="113" t="s">
        <v>567</v>
      </c>
      <c r="S161" s="114">
        <f t="shared" si="33"/>
        <v>427638.2</v>
      </c>
      <c r="T161" s="115">
        <v>0.73</v>
      </c>
      <c r="U161" s="116">
        <f t="shared" si="34"/>
        <v>3121.7588599999999</v>
      </c>
      <c r="V161" s="117">
        <f t="shared" si="35"/>
        <v>424516.44114000001</v>
      </c>
      <c r="W161" s="118">
        <v>0.22</v>
      </c>
      <c r="X161" s="118">
        <f t="shared" si="36"/>
        <v>933.93617050800003</v>
      </c>
      <c r="Y161" s="119">
        <v>0.2</v>
      </c>
      <c r="Z161" s="120">
        <f t="shared" si="37"/>
        <v>849.03288228000008</v>
      </c>
      <c r="AA161" s="123">
        <v>19080273</v>
      </c>
      <c r="AB161" s="124">
        <v>176965.12</v>
      </c>
      <c r="AC161" s="260">
        <f>AB161*7/100</f>
        <v>12387.558399999998</v>
      </c>
      <c r="AD161" s="261">
        <f>AB161+AC161</f>
        <v>189352.6784</v>
      </c>
      <c r="AE161" s="126">
        <v>43735</v>
      </c>
      <c r="AF161" s="127" t="s">
        <v>869</v>
      </c>
      <c r="AG161" s="127"/>
      <c r="AH161" s="127"/>
      <c r="AI161" s="103" t="s">
        <v>2840</v>
      </c>
      <c r="AJ161" s="128">
        <v>1</v>
      </c>
      <c r="AK161" s="129" t="s">
        <v>593</v>
      </c>
      <c r="AL161" s="130"/>
      <c r="AM161" s="130" t="s">
        <v>1205</v>
      </c>
      <c r="AN161" s="131">
        <v>8</v>
      </c>
      <c r="AO161" s="132" t="s">
        <v>634</v>
      </c>
      <c r="AP161" s="128">
        <v>2</v>
      </c>
      <c r="AQ161" s="123" t="s">
        <v>607</v>
      </c>
      <c r="AR161" s="131"/>
      <c r="AS161" s="131" t="s">
        <v>1205</v>
      </c>
      <c r="AT161" s="131">
        <v>2</v>
      </c>
      <c r="AU161" s="169" t="s">
        <v>636</v>
      </c>
      <c r="AV161" s="361"/>
      <c r="AW161" s="361"/>
      <c r="AX161" s="128"/>
      <c r="AY161" s="128"/>
      <c r="AZ161" s="361"/>
      <c r="BA161" s="133"/>
      <c r="BB161" s="361"/>
      <c r="BC161" s="361"/>
      <c r="BD161" s="128"/>
      <c r="BE161" s="128"/>
      <c r="BF161" s="361"/>
      <c r="BG161" s="133"/>
      <c r="BH161" s="361"/>
      <c r="BI161" s="361"/>
      <c r="BJ161" s="128"/>
      <c r="BK161" s="128"/>
      <c r="BL161" s="361"/>
      <c r="BM161" s="361"/>
      <c r="BN161" s="361"/>
      <c r="BO161" s="361"/>
      <c r="BP161" s="128"/>
      <c r="BQ161" s="128"/>
      <c r="BR161" s="361"/>
      <c r="BS161" s="361"/>
      <c r="BT161" s="361"/>
      <c r="BU161" s="361"/>
      <c r="BV161" s="128"/>
      <c r="BW161" s="128"/>
      <c r="BX161" s="361"/>
      <c r="BY161" s="361"/>
      <c r="BZ161" s="361"/>
      <c r="CA161" s="361"/>
      <c r="CB161" s="128"/>
      <c r="CC161" s="128"/>
      <c r="CD161" s="361"/>
      <c r="CE161" s="361"/>
    </row>
    <row r="162" spans="1:83" x14ac:dyDescent="0.5">
      <c r="A162" s="262"/>
      <c r="B162" s="135"/>
      <c r="C162" s="136"/>
      <c r="D162" s="137"/>
      <c r="E162" s="138"/>
      <c r="F162" s="139"/>
      <c r="G162" s="178">
        <v>43670</v>
      </c>
      <c r="H162" s="171">
        <v>19209</v>
      </c>
      <c r="I162" s="252"/>
      <c r="J162" s="176">
        <v>43682</v>
      </c>
      <c r="K162" s="135"/>
      <c r="L162" s="141"/>
      <c r="M162" s="135"/>
      <c r="N162" s="142"/>
      <c r="O162" s="142"/>
      <c r="P162" s="142"/>
      <c r="Q162" s="143"/>
      <c r="R162" s="144"/>
      <c r="S162" s="145"/>
      <c r="T162" s="146"/>
      <c r="U162" s="147"/>
      <c r="V162" s="148"/>
      <c r="W162" s="149"/>
      <c r="X162" s="149"/>
      <c r="Y162" s="150"/>
      <c r="Z162" s="151"/>
      <c r="AA162" s="154">
        <v>19080308</v>
      </c>
      <c r="AB162" s="155">
        <v>292673.08</v>
      </c>
      <c r="AC162" s="255">
        <f>AB162*7/100</f>
        <v>20487.115600000001</v>
      </c>
      <c r="AD162" s="263">
        <f>AB162+AC162</f>
        <v>313160.19560000004</v>
      </c>
      <c r="AE162" s="157">
        <v>43742</v>
      </c>
      <c r="AF162" s="152" t="s">
        <v>869</v>
      </c>
      <c r="AG162" s="152"/>
      <c r="AH162" s="152"/>
      <c r="AI162" s="134" t="s">
        <v>2840</v>
      </c>
      <c r="AJ162" s="158"/>
      <c r="AK162" s="159"/>
      <c r="AL162" s="160"/>
      <c r="AM162" s="160"/>
      <c r="AN162" s="161"/>
      <c r="AO162" s="162"/>
      <c r="AP162" s="158"/>
      <c r="AQ162" s="154"/>
      <c r="AR162" s="161"/>
      <c r="AS162" s="161"/>
      <c r="AT162" s="161"/>
      <c r="AU162" s="177"/>
      <c r="AV162" s="458"/>
      <c r="AW162" s="458"/>
      <c r="AX162" s="158"/>
      <c r="AY162" s="158"/>
      <c r="AZ162" s="458"/>
      <c r="BA162" s="163"/>
      <c r="BB162" s="458"/>
      <c r="BC162" s="458"/>
      <c r="BD162" s="158"/>
      <c r="BE162" s="158"/>
      <c r="BF162" s="458"/>
      <c r="BG162" s="163"/>
      <c r="BH162" s="458"/>
      <c r="BI162" s="458"/>
      <c r="BJ162" s="158"/>
      <c r="BK162" s="158"/>
      <c r="BL162" s="458"/>
      <c r="BM162" s="458"/>
      <c r="BN162" s="458"/>
      <c r="BO162" s="458"/>
      <c r="BP162" s="158"/>
      <c r="BQ162" s="158"/>
      <c r="BR162" s="458"/>
      <c r="BS162" s="458"/>
      <c r="BT162" s="458"/>
      <c r="BU162" s="458"/>
      <c r="BV162" s="158"/>
      <c r="BW162" s="158"/>
      <c r="BX162" s="458"/>
      <c r="BY162" s="458"/>
      <c r="BZ162" s="458"/>
      <c r="CA162" s="458"/>
      <c r="CB162" s="158"/>
      <c r="CC162" s="158"/>
      <c r="CD162" s="458"/>
      <c r="CE162" s="458"/>
    </row>
    <row r="163" spans="1:83" x14ac:dyDescent="0.5">
      <c r="A163" s="262"/>
      <c r="B163" s="135"/>
      <c r="C163" s="136"/>
      <c r="D163" s="137"/>
      <c r="E163" s="138"/>
      <c r="F163" s="139"/>
      <c r="G163" s="170">
        <v>43670</v>
      </c>
      <c r="H163" s="251">
        <v>19210</v>
      </c>
      <c r="I163" s="252"/>
      <c r="J163" s="179"/>
      <c r="K163" s="135"/>
      <c r="L163" s="141"/>
      <c r="M163" s="135"/>
      <c r="N163" s="142"/>
      <c r="O163" s="142"/>
      <c r="P163" s="142"/>
      <c r="Q163" s="143"/>
      <c r="R163" s="144"/>
      <c r="S163" s="145"/>
      <c r="T163" s="146"/>
      <c r="U163" s="147"/>
      <c r="V163" s="148"/>
      <c r="W163" s="149"/>
      <c r="X163" s="149"/>
      <c r="Y163" s="150"/>
      <c r="Z163" s="151"/>
      <c r="AA163" s="154"/>
      <c r="AB163" s="155"/>
      <c r="AC163" s="255"/>
      <c r="AD163" s="255"/>
      <c r="AE163" s="256"/>
      <c r="AF163" s="152"/>
      <c r="AG163" s="152"/>
      <c r="AH163" s="152"/>
      <c r="AI163" s="134"/>
      <c r="AJ163" s="158"/>
      <c r="AK163" s="159"/>
      <c r="AL163" s="160"/>
      <c r="AM163" s="160"/>
      <c r="AN163" s="161"/>
      <c r="AO163" s="162"/>
      <c r="AP163" s="158"/>
      <c r="AQ163" s="154"/>
      <c r="AR163" s="161"/>
      <c r="AS163" s="161"/>
      <c r="AT163" s="161"/>
      <c r="AU163" s="177"/>
      <c r="AV163" s="458"/>
      <c r="AW163" s="458"/>
      <c r="AX163" s="158"/>
      <c r="AY163" s="158"/>
      <c r="AZ163" s="458"/>
      <c r="BA163" s="163"/>
      <c r="BB163" s="458"/>
      <c r="BC163" s="458"/>
      <c r="BD163" s="158"/>
      <c r="BE163" s="158"/>
      <c r="BF163" s="458"/>
      <c r="BG163" s="163"/>
      <c r="BH163" s="458"/>
      <c r="BI163" s="458"/>
      <c r="BJ163" s="158"/>
      <c r="BK163" s="158"/>
      <c r="BL163" s="458"/>
      <c r="BM163" s="458"/>
      <c r="BN163" s="458"/>
      <c r="BO163" s="458"/>
      <c r="BP163" s="158"/>
      <c r="BQ163" s="158"/>
      <c r="BR163" s="458"/>
      <c r="BS163" s="458"/>
      <c r="BT163" s="458"/>
      <c r="BU163" s="458"/>
      <c r="BV163" s="158"/>
      <c r="BW163" s="158"/>
      <c r="BX163" s="458"/>
      <c r="BY163" s="458"/>
      <c r="BZ163" s="458"/>
      <c r="CA163" s="458"/>
      <c r="CB163" s="158"/>
      <c r="CC163" s="158"/>
      <c r="CD163" s="458"/>
      <c r="CE163" s="458"/>
    </row>
    <row r="164" spans="1:83" x14ac:dyDescent="0.5">
      <c r="A164" s="262"/>
      <c r="B164" s="135"/>
      <c r="C164" s="136"/>
      <c r="D164" s="137"/>
      <c r="E164" s="138"/>
      <c r="F164" s="139"/>
      <c r="G164" s="178">
        <v>43670</v>
      </c>
      <c r="H164" s="171">
        <v>19211</v>
      </c>
      <c r="I164" s="986"/>
      <c r="J164" s="178"/>
      <c r="K164" s="135"/>
      <c r="L164" s="141"/>
      <c r="M164" s="135"/>
      <c r="N164" s="142"/>
      <c r="O164" s="142"/>
      <c r="P164" s="142"/>
      <c r="Q164" s="143"/>
      <c r="R164" s="144"/>
      <c r="S164" s="145"/>
      <c r="T164" s="146"/>
      <c r="U164" s="147"/>
      <c r="V164" s="148"/>
      <c r="W164" s="149"/>
      <c r="X164" s="149"/>
      <c r="Y164" s="150"/>
      <c r="Z164" s="151"/>
      <c r="AA164" s="154"/>
      <c r="AB164" s="155"/>
      <c r="AC164" s="255"/>
      <c r="AD164" s="255"/>
      <c r="AE164" s="256"/>
      <c r="AF164" s="152"/>
      <c r="AG164" s="152"/>
      <c r="AH164" s="152"/>
      <c r="AI164" s="134"/>
      <c r="AJ164" s="158"/>
      <c r="AK164" s="159"/>
      <c r="AL164" s="160"/>
      <c r="AM164" s="160"/>
      <c r="AN164" s="161"/>
      <c r="AO164" s="162"/>
      <c r="AP164" s="158"/>
      <c r="AQ164" s="154"/>
      <c r="AR164" s="161"/>
      <c r="AS164" s="161"/>
      <c r="AT164" s="161"/>
      <c r="AU164" s="177"/>
      <c r="AV164" s="458"/>
      <c r="AW164" s="458"/>
      <c r="AX164" s="158"/>
      <c r="AY164" s="158"/>
      <c r="AZ164" s="458"/>
      <c r="BA164" s="163"/>
      <c r="BB164" s="458"/>
      <c r="BC164" s="458"/>
      <c r="BD164" s="158"/>
      <c r="BE164" s="158"/>
      <c r="BF164" s="458"/>
      <c r="BG164" s="163"/>
      <c r="BH164" s="458"/>
      <c r="BI164" s="458"/>
      <c r="BJ164" s="158"/>
      <c r="BK164" s="158"/>
      <c r="BL164" s="458"/>
      <c r="BM164" s="458"/>
      <c r="BN164" s="458"/>
      <c r="BO164" s="458"/>
      <c r="BP164" s="158"/>
      <c r="BQ164" s="158"/>
      <c r="BR164" s="458"/>
      <c r="BS164" s="458"/>
      <c r="BT164" s="458"/>
      <c r="BU164" s="458"/>
      <c r="BV164" s="158"/>
      <c r="BW164" s="158"/>
      <c r="BX164" s="458"/>
      <c r="BY164" s="458"/>
      <c r="BZ164" s="458"/>
      <c r="CA164" s="458"/>
      <c r="CB164" s="158"/>
      <c r="CC164" s="158"/>
      <c r="CD164" s="458"/>
      <c r="CE164" s="458"/>
    </row>
    <row r="165" spans="1:83" x14ac:dyDescent="0.5">
      <c r="A165" s="262"/>
      <c r="B165" s="135"/>
      <c r="C165" s="136"/>
      <c r="D165" s="137"/>
      <c r="E165" s="138" t="s">
        <v>1324</v>
      </c>
      <c r="F165" s="139" t="s">
        <v>2438</v>
      </c>
      <c r="G165" s="170">
        <v>43684</v>
      </c>
      <c r="H165" s="251">
        <v>19228</v>
      </c>
      <c r="I165" s="986"/>
      <c r="J165" s="176">
        <v>43685</v>
      </c>
      <c r="K165" s="135"/>
      <c r="L165" s="141"/>
      <c r="M165" s="135"/>
      <c r="N165" s="142"/>
      <c r="O165" s="142"/>
      <c r="P165" s="142"/>
      <c r="Q165" s="143"/>
      <c r="R165" s="144"/>
      <c r="S165" s="145"/>
      <c r="T165" s="146"/>
      <c r="U165" s="147"/>
      <c r="V165" s="148"/>
      <c r="W165" s="149"/>
      <c r="X165" s="149"/>
      <c r="Y165" s="150"/>
      <c r="Z165" s="151"/>
      <c r="AA165" s="154"/>
      <c r="AB165" s="155"/>
      <c r="AC165" s="255"/>
      <c r="AD165" s="255"/>
      <c r="AE165" s="256"/>
      <c r="AF165" s="152"/>
      <c r="AG165" s="152"/>
      <c r="AH165" s="152"/>
      <c r="AI165" s="134"/>
      <c r="AJ165" s="158"/>
      <c r="AK165" s="159"/>
      <c r="AL165" s="160"/>
      <c r="AM165" s="160"/>
      <c r="AN165" s="161"/>
      <c r="AO165" s="162"/>
      <c r="AP165" s="158"/>
      <c r="AQ165" s="154"/>
      <c r="AR165" s="161"/>
      <c r="AS165" s="161"/>
      <c r="AT165" s="161"/>
      <c r="AU165" s="177"/>
      <c r="AV165" s="458"/>
      <c r="AW165" s="458"/>
      <c r="AX165" s="158"/>
      <c r="AY165" s="158"/>
      <c r="AZ165" s="458"/>
      <c r="BA165" s="163"/>
      <c r="BB165" s="458"/>
      <c r="BC165" s="458"/>
      <c r="BD165" s="158"/>
      <c r="BE165" s="158"/>
      <c r="BF165" s="458"/>
      <c r="BG165" s="163"/>
      <c r="BH165" s="458"/>
      <c r="BI165" s="458"/>
      <c r="BJ165" s="158"/>
      <c r="BK165" s="158"/>
      <c r="BL165" s="458"/>
      <c r="BM165" s="458"/>
      <c r="BN165" s="458"/>
      <c r="BO165" s="458"/>
      <c r="BP165" s="158"/>
      <c r="BQ165" s="158"/>
      <c r="BR165" s="458"/>
      <c r="BS165" s="458"/>
      <c r="BT165" s="458"/>
      <c r="BU165" s="458"/>
      <c r="BV165" s="158"/>
      <c r="BW165" s="158"/>
      <c r="BX165" s="458"/>
      <c r="BY165" s="458"/>
      <c r="BZ165" s="458"/>
      <c r="CA165" s="458"/>
      <c r="CB165" s="158"/>
      <c r="CC165" s="158"/>
      <c r="CD165" s="458"/>
      <c r="CE165" s="458"/>
    </row>
    <row r="166" spans="1:83" x14ac:dyDescent="0.5">
      <c r="A166" s="268"/>
      <c r="B166" s="181"/>
      <c r="C166" s="182"/>
      <c r="D166" s="183"/>
      <c r="E166" s="184"/>
      <c r="F166" s="185"/>
      <c r="G166" s="186">
        <v>43684</v>
      </c>
      <c r="H166" s="187">
        <v>19229</v>
      </c>
      <c r="I166" s="987"/>
      <c r="J166" s="186"/>
      <c r="K166" s="181"/>
      <c r="L166" s="188"/>
      <c r="M166" s="181"/>
      <c r="N166" s="189"/>
      <c r="O166" s="189"/>
      <c r="P166" s="189"/>
      <c r="Q166" s="190"/>
      <c r="R166" s="215"/>
      <c r="S166" s="216"/>
      <c r="T166" s="217"/>
      <c r="U166" s="218"/>
      <c r="V166" s="195"/>
      <c r="W166" s="196"/>
      <c r="X166" s="196"/>
      <c r="Y166" s="197"/>
      <c r="Z166" s="198"/>
      <c r="AA166" s="200"/>
      <c r="AB166" s="201"/>
      <c r="AC166" s="240"/>
      <c r="AD166" s="240"/>
      <c r="AE166" s="241"/>
      <c r="AF166" s="199"/>
      <c r="AG166" s="199"/>
      <c r="AH166" s="199"/>
      <c r="AI166" s="180"/>
      <c r="AJ166" s="204"/>
      <c r="AK166" s="205"/>
      <c r="AL166" s="206"/>
      <c r="AM166" s="206"/>
      <c r="AN166" s="207"/>
      <c r="AO166" s="208"/>
      <c r="AP166" s="204"/>
      <c r="AQ166" s="200"/>
      <c r="AR166" s="207"/>
      <c r="AS166" s="207"/>
      <c r="AT166" s="207"/>
      <c r="AU166" s="209"/>
      <c r="AV166" s="365"/>
      <c r="AW166" s="365"/>
      <c r="AX166" s="204"/>
      <c r="AY166" s="204"/>
      <c r="AZ166" s="365"/>
      <c r="BA166" s="210"/>
      <c r="BB166" s="365"/>
      <c r="BC166" s="365"/>
      <c r="BD166" s="204"/>
      <c r="BE166" s="204"/>
      <c r="BF166" s="365"/>
      <c r="BG166" s="210"/>
      <c r="BH166" s="365"/>
      <c r="BI166" s="365"/>
      <c r="BJ166" s="204"/>
      <c r="BK166" s="204"/>
      <c r="BL166" s="365"/>
      <c r="BM166" s="365"/>
      <c r="BN166" s="365"/>
      <c r="BO166" s="365"/>
      <c r="BP166" s="204"/>
      <c r="BQ166" s="204"/>
      <c r="BR166" s="365"/>
      <c r="BS166" s="365"/>
      <c r="BT166" s="365"/>
      <c r="BU166" s="365"/>
      <c r="BV166" s="204"/>
      <c r="BW166" s="204"/>
      <c r="BX166" s="365"/>
      <c r="BY166" s="365"/>
      <c r="BZ166" s="365"/>
      <c r="CA166" s="365"/>
      <c r="CB166" s="204"/>
      <c r="CC166" s="204"/>
      <c r="CD166" s="365"/>
      <c r="CE166" s="365"/>
    </row>
    <row r="167" spans="1:83" s="95" customFormat="1" x14ac:dyDescent="0.5">
      <c r="A167" s="65">
        <v>18095985</v>
      </c>
      <c r="B167" s="66">
        <v>18090838</v>
      </c>
      <c r="C167" s="67">
        <v>207</v>
      </c>
      <c r="D167" s="68" t="s">
        <v>184</v>
      </c>
      <c r="E167" s="69"/>
      <c r="F167" s="70"/>
      <c r="G167" s="66"/>
      <c r="H167" s="71"/>
      <c r="I167" s="83"/>
      <c r="J167" s="66"/>
      <c r="K167" s="66" t="s">
        <v>451</v>
      </c>
      <c r="L167" s="72" t="s">
        <v>455</v>
      </c>
      <c r="M167" s="66" t="s">
        <v>52</v>
      </c>
      <c r="N167" s="73">
        <v>434287.04</v>
      </c>
      <c r="O167" s="73">
        <v>30400.09</v>
      </c>
      <c r="P167" s="73">
        <f t="shared" si="28"/>
        <v>464687.13</v>
      </c>
      <c r="Q167" s="74">
        <v>28000</v>
      </c>
      <c r="R167" s="75" t="s">
        <v>567</v>
      </c>
      <c r="S167" s="76">
        <f t="shared" si="33"/>
        <v>406287.04</v>
      </c>
      <c r="T167" s="77">
        <v>1.8</v>
      </c>
      <c r="U167" s="78">
        <f t="shared" si="34"/>
        <v>7313.1667200000002</v>
      </c>
      <c r="V167" s="79">
        <f t="shared" si="35"/>
        <v>398973.87328</v>
      </c>
      <c r="W167" s="80">
        <v>0.23</v>
      </c>
      <c r="X167" s="80">
        <f t="shared" si="36"/>
        <v>917.63990854400004</v>
      </c>
      <c r="Y167" s="81">
        <v>0.2</v>
      </c>
      <c r="Z167" s="82">
        <f t="shared" si="37"/>
        <v>797.94774656000004</v>
      </c>
      <c r="AA167" s="84"/>
      <c r="AB167" s="85"/>
      <c r="AC167" s="86"/>
      <c r="AD167" s="86"/>
      <c r="AE167" s="87"/>
      <c r="AF167" s="83"/>
      <c r="AG167" s="83"/>
      <c r="AH167" s="83"/>
      <c r="AI167" s="65"/>
      <c r="AJ167" s="88">
        <v>1</v>
      </c>
      <c r="AK167" s="89" t="s">
        <v>608</v>
      </c>
      <c r="AL167" s="90" t="s">
        <v>1205</v>
      </c>
      <c r="AM167" s="90"/>
      <c r="AN167" s="91">
        <v>16</v>
      </c>
      <c r="AO167" s="92" t="s">
        <v>636</v>
      </c>
      <c r="AP167" s="607"/>
      <c r="AQ167" s="607"/>
      <c r="AR167" s="88"/>
      <c r="AS167" s="88"/>
      <c r="AT167" s="607"/>
      <c r="AU167" s="94"/>
      <c r="AV167" s="607"/>
      <c r="AW167" s="607"/>
      <c r="AX167" s="88"/>
      <c r="AY167" s="88"/>
      <c r="AZ167" s="607"/>
      <c r="BA167" s="94"/>
      <c r="BB167" s="607"/>
      <c r="BC167" s="607"/>
      <c r="BD167" s="88"/>
      <c r="BE167" s="88"/>
      <c r="BF167" s="607"/>
      <c r="BG167" s="94"/>
      <c r="BH167" s="607"/>
      <c r="BI167" s="607"/>
      <c r="BJ167" s="88"/>
      <c r="BK167" s="88"/>
      <c r="BL167" s="607"/>
      <c r="BM167" s="607"/>
      <c r="BN167" s="607"/>
      <c r="BO167" s="607"/>
      <c r="BP167" s="88"/>
      <c r="BQ167" s="88"/>
      <c r="BR167" s="607"/>
      <c r="BS167" s="607"/>
      <c r="BT167" s="607"/>
      <c r="BU167" s="607"/>
      <c r="BV167" s="88"/>
      <c r="BW167" s="88"/>
      <c r="BX167" s="607"/>
      <c r="BY167" s="607"/>
      <c r="BZ167" s="607"/>
      <c r="CA167" s="607"/>
      <c r="CB167" s="88"/>
      <c r="CC167" s="88"/>
      <c r="CD167" s="607"/>
      <c r="CE167" s="607"/>
    </row>
    <row r="168" spans="1:83" x14ac:dyDescent="0.5">
      <c r="A168" s="227">
        <v>18095984</v>
      </c>
      <c r="B168" s="22">
        <v>18090845</v>
      </c>
      <c r="C168" s="23">
        <v>206</v>
      </c>
      <c r="D168" s="24" t="s">
        <v>184</v>
      </c>
      <c r="E168" s="25" t="s">
        <v>185</v>
      </c>
      <c r="F168" s="26">
        <v>253</v>
      </c>
      <c r="G168" s="62">
        <v>43418</v>
      </c>
      <c r="H168" s="27">
        <v>18417</v>
      </c>
      <c r="I168" s="368" t="s">
        <v>869</v>
      </c>
      <c r="J168" s="62">
        <v>43419</v>
      </c>
      <c r="K168" s="22" t="s">
        <v>456</v>
      </c>
      <c r="L168" s="28" t="s">
        <v>457</v>
      </c>
      <c r="M168" s="22" t="s">
        <v>52</v>
      </c>
      <c r="N168" s="29">
        <v>69900</v>
      </c>
      <c r="O168" s="29">
        <v>4893</v>
      </c>
      <c r="P168" s="29">
        <f t="shared" si="28"/>
        <v>74793</v>
      </c>
      <c r="Q168" s="30">
        <v>7000</v>
      </c>
      <c r="R168" s="31" t="s">
        <v>567</v>
      </c>
      <c r="S168" s="32">
        <f t="shared" si="33"/>
        <v>62900</v>
      </c>
      <c r="T168" s="33">
        <v>5</v>
      </c>
      <c r="U168" s="34">
        <f t="shared" si="34"/>
        <v>3145</v>
      </c>
      <c r="V168" s="35">
        <f t="shared" si="35"/>
        <v>59755</v>
      </c>
      <c r="W168" s="36">
        <v>0.32</v>
      </c>
      <c r="X168" s="36">
        <f t="shared" si="36"/>
        <v>191.21600000000001</v>
      </c>
      <c r="Y168" s="37">
        <v>0.2</v>
      </c>
      <c r="Z168" s="38">
        <f t="shared" si="37"/>
        <v>119.51</v>
      </c>
      <c r="AA168" s="40">
        <v>18110423</v>
      </c>
      <c r="AB168" s="41">
        <f>N168</f>
        <v>69900</v>
      </c>
      <c r="AC168" s="64">
        <f>AB168*7/100</f>
        <v>4893</v>
      </c>
      <c r="AD168" s="64">
        <f>AB168+AC168</f>
        <v>74793</v>
      </c>
      <c r="AE168" s="53">
        <v>43413</v>
      </c>
      <c r="AF168" s="39" t="s">
        <v>869</v>
      </c>
      <c r="AI168" s="21" t="s">
        <v>1182</v>
      </c>
      <c r="AJ168" s="44">
        <v>1</v>
      </c>
      <c r="AK168" s="45" t="s">
        <v>599</v>
      </c>
      <c r="AM168" s="46" t="s">
        <v>1205</v>
      </c>
      <c r="AN168" s="47">
        <v>1</v>
      </c>
      <c r="AO168" s="48" t="s">
        <v>634</v>
      </c>
      <c r="AP168" s="44">
        <v>2</v>
      </c>
      <c r="AQ168" s="40" t="s">
        <v>600</v>
      </c>
      <c r="AS168" s="47" t="s">
        <v>1205</v>
      </c>
      <c r="AT168" s="47">
        <v>1</v>
      </c>
      <c r="AU168" s="49" t="s">
        <v>636</v>
      </c>
      <c r="AV168" s="356"/>
      <c r="AW168" s="356"/>
      <c r="AX168" s="44"/>
      <c r="AY168" s="44"/>
      <c r="AZ168" s="356"/>
      <c r="BA168" s="54"/>
      <c r="BB168" s="356"/>
      <c r="BC168" s="356"/>
      <c r="BD168" s="44"/>
      <c r="BE168" s="44"/>
      <c r="BF168" s="356"/>
      <c r="BG168" s="54"/>
      <c r="BH168" s="356"/>
      <c r="BI168" s="356"/>
      <c r="BJ168" s="44"/>
      <c r="BK168" s="44"/>
      <c r="BL168" s="356"/>
      <c r="BM168" s="356"/>
      <c r="BN168" s="356"/>
      <c r="BO168" s="356"/>
      <c r="BP168" s="44"/>
      <c r="BQ168" s="44"/>
      <c r="BR168" s="356"/>
      <c r="BS168" s="356"/>
      <c r="BT168" s="356"/>
      <c r="BU168" s="356"/>
      <c r="BV168" s="44"/>
      <c r="BW168" s="44"/>
      <c r="BX168" s="356"/>
      <c r="BY168" s="356"/>
      <c r="BZ168" s="356"/>
      <c r="CA168" s="356"/>
      <c r="CB168" s="44"/>
      <c r="CC168" s="44"/>
      <c r="CD168" s="356"/>
      <c r="CE168" s="356"/>
    </row>
    <row r="169" spans="1:83" s="95" customFormat="1" x14ac:dyDescent="0.5">
      <c r="A169" s="65">
        <v>18095983</v>
      </c>
      <c r="B169" s="66">
        <v>18090837</v>
      </c>
      <c r="C169" s="67">
        <v>205</v>
      </c>
      <c r="D169" s="68" t="s">
        <v>184</v>
      </c>
      <c r="E169" s="69"/>
      <c r="F169" s="70"/>
      <c r="G169" s="66"/>
      <c r="H169" s="71"/>
      <c r="I169" s="83"/>
      <c r="J169" s="66"/>
      <c r="K169" s="66" t="s">
        <v>451</v>
      </c>
      <c r="L169" s="72" t="s">
        <v>458</v>
      </c>
      <c r="M169" s="66" t="s">
        <v>52</v>
      </c>
      <c r="N169" s="73">
        <v>434287.04</v>
      </c>
      <c r="O169" s="73">
        <v>30400.09</v>
      </c>
      <c r="P169" s="73">
        <f t="shared" si="28"/>
        <v>464687.13</v>
      </c>
      <c r="Q169" s="74">
        <v>28000</v>
      </c>
      <c r="R169" s="75" t="s">
        <v>567</v>
      </c>
      <c r="S169" s="76">
        <f t="shared" si="33"/>
        <v>406287.04</v>
      </c>
      <c r="T169" s="77">
        <v>1.8</v>
      </c>
      <c r="U169" s="78">
        <f t="shared" si="34"/>
        <v>7313.1667200000002</v>
      </c>
      <c r="V169" s="79">
        <f t="shared" si="35"/>
        <v>398973.87328</v>
      </c>
      <c r="W169" s="80">
        <v>0.23</v>
      </c>
      <c r="X169" s="80">
        <f t="shared" si="36"/>
        <v>917.63990854400004</v>
      </c>
      <c r="Y169" s="81">
        <v>0.2</v>
      </c>
      <c r="Z169" s="82">
        <f t="shared" si="37"/>
        <v>797.94774656000004</v>
      </c>
      <c r="AA169" s="84"/>
      <c r="AB169" s="85"/>
      <c r="AC169" s="86"/>
      <c r="AD169" s="86"/>
      <c r="AE169" s="87"/>
      <c r="AF169" s="83"/>
      <c r="AG169" s="83"/>
      <c r="AH169" s="83"/>
      <c r="AI169" s="65"/>
      <c r="AJ169" s="88">
        <v>1</v>
      </c>
      <c r="AK169" s="89" t="s">
        <v>608</v>
      </c>
      <c r="AL169" s="90" t="s">
        <v>1205</v>
      </c>
      <c r="AM169" s="90"/>
      <c r="AN169" s="91">
        <v>16</v>
      </c>
      <c r="AO169" s="92" t="s">
        <v>636</v>
      </c>
      <c r="AP169" s="607"/>
      <c r="AQ169" s="607"/>
      <c r="AR169" s="88"/>
      <c r="AS169" s="88"/>
      <c r="AT169" s="607"/>
      <c r="AU169" s="94"/>
      <c r="AV169" s="607"/>
      <c r="AW169" s="607"/>
      <c r="AX169" s="88"/>
      <c r="AY169" s="88"/>
      <c r="AZ169" s="607"/>
      <c r="BA169" s="94"/>
      <c r="BB169" s="607"/>
      <c r="BC169" s="607"/>
      <c r="BD169" s="88"/>
      <c r="BE169" s="88"/>
      <c r="BF169" s="607"/>
      <c r="BG169" s="94"/>
      <c r="BH169" s="607"/>
      <c r="BI169" s="607"/>
      <c r="BJ169" s="88"/>
      <c r="BK169" s="88"/>
      <c r="BL169" s="607"/>
      <c r="BM169" s="607"/>
      <c r="BN169" s="607"/>
      <c r="BO169" s="607"/>
      <c r="BP169" s="88"/>
      <c r="BQ169" s="88"/>
      <c r="BR169" s="607"/>
      <c r="BS169" s="607"/>
      <c r="BT169" s="607"/>
      <c r="BU169" s="607"/>
      <c r="BV169" s="88"/>
      <c r="BW169" s="88"/>
      <c r="BX169" s="607"/>
      <c r="BY169" s="607"/>
      <c r="BZ169" s="607"/>
      <c r="CA169" s="607"/>
      <c r="CB169" s="88"/>
      <c r="CC169" s="88"/>
      <c r="CD169" s="607"/>
      <c r="CE169" s="607"/>
    </row>
    <row r="170" spans="1:83" x14ac:dyDescent="0.5">
      <c r="A170" s="259">
        <v>18095982</v>
      </c>
      <c r="B170" s="104">
        <v>18090792</v>
      </c>
      <c r="C170" s="105">
        <v>204</v>
      </c>
      <c r="D170" s="106" t="s">
        <v>184</v>
      </c>
      <c r="E170" s="107" t="s">
        <v>185</v>
      </c>
      <c r="F170" s="108">
        <v>286</v>
      </c>
      <c r="G170" s="122">
        <v>43452</v>
      </c>
      <c r="H170" s="109">
        <v>18463</v>
      </c>
      <c r="I170" s="127" t="s">
        <v>869</v>
      </c>
      <c r="J170" s="122">
        <v>43454</v>
      </c>
      <c r="K170" s="104" t="s">
        <v>459</v>
      </c>
      <c r="L170" s="110" t="s">
        <v>460</v>
      </c>
      <c r="M170" s="104" t="s">
        <v>50</v>
      </c>
      <c r="N170" s="111">
        <v>940000</v>
      </c>
      <c r="O170" s="111">
        <v>65800</v>
      </c>
      <c r="P170" s="111">
        <f t="shared" si="28"/>
        <v>1005800</v>
      </c>
      <c r="Q170" s="311">
        <v>35000</v>
      </c>
      <c r="R170" s="113" t="s">
        <v>572</v>
      </c>
      <c r="S170" s="114">
        <f t="shared" si="33"/>
        <v>905000</v>
      </c>
      <c r="T170" s="115">
        <v>5</v>
      </c>
      <c r="U170" s="116">
        <f t="shared" si="34"/>
        <v>45250</v>
      </c>
      <c r="V170" s="117">
        <f t="shared" si="35"/>
        <v>859750</v>
      </c>
      <c r="W170" s="118">
        <v>0.67</v>
      </c>
      <c r="X170" s="118">
        <f t="shared" si="36"/>
        <v>5760.3249999999998</v>
      </c>
      <c r="Y170" s="119">
        <v>0.2</v>
      </c>
      <c r="Z170" s="120">
        <f t="shared" si="37"/>
        <v>1719.5</v>
      </c>
      <c r="AA170" s="229">
        <v>18100396</v>
      </c>
      <c r="AB170" s="230">
        <v>282000</v>
      </c>
      <c r="AC170" s="234">
        <f t="shared" ref="AC170:AC177" si="38">AB170*7/100</f>
        <v>19740</v>
      </c>
      <c r="AD170" s="234">
        <f t="shared" ref="AD170:AD177" si="39">AB170+AC170</f>
        <v>301740</v>
      </c>
      <c r="AE170" s="221">
        <v>43390</v>
      </c>
      <c r="AF170" s="366" t="s">
        <v>869</v>
      </c>
      <c r="AG170" s="366"/>
      <c r="AH170" s="366"/>
      <c r="AI170" s="367" t="s">
        <v>2199</v>
      </c>
      <c r="AJ170" s="128">
        <v>1</v>
      </c>
      <c r="AK170" s="129" t="s">
        <v>609</v>
      </c>
      <c r="AL170" s="130" t="s">
        <v>1205</v>
      </c>
      <c r="AM170" s="130"/>
      <c r="AN170" s="131">
        <v>1</v>
      </c>
      <c r="AO170" s="132" t="s">
        <v>634</v>
      </c>
      <c r="AP170" s="361"/>
      <c r="AQ170" s="361"/>
      <c r="AR170" s="128"/>
      <c r="AS170" s="128"/>
      <c r="AT170" s="361"/>
      <c r="AU170" s="133"/>
      <c r="AV170" s="361"/>
      <c r="AW170" s="361"/>
      <c r="AX170" s="128"/>
      <c r="AY170" s="128"/>
      <c r="AZ170" s="361"/>
      <c r="BA170" s="133"/>
      <c r="BB170" s="361"/>
      <c r="BC170" s="361"/>
      <c r="BD170" s="128"/>
      <c r="BE170" s="128"/>
      <c r="BF170" s="361"/>
      <c r="BG170" s="133"/>
      <c r="BH170" s="361"/>
      <c r="BI170" s="361"/>
      <c r="BJ170" s="128"/>
      <c r="BK170" s="128"/>
      <c r="BL170" s="361"/>
      <c r="BM170" s="361"/>
      <c r="BN170" s="361"/>
      <c r="BO170" s="361"/>
      <c r="BP170" s="128"/>
      <c r="BQ170" s="128"/>
      <c r="BR170" s="361"/>
      <c r="BS170" s="361"/>
      <c r="BT170" s="361"/>
      <c r="BU170" s="361"/>
      <c r="BV170" s="128"/>
      <c r="BW170" s="128"/>
      <c r="BX170" s="361"/>
      <c r="BY170" s="361"/>
      <c r="BZ170" s="361"/>
      <c r="CA170" s="361"/>
      <c r="CB170" s="128"/>
      <c r="CC170" s="128"/>
      <c r="CD170" s="361"/>
      <c r="CE170" s="361"/>
    </row>
    <row r="171" spans="1:83" x14ac:dyDescent="0.5">
      <c r="A171" s="268"/>
      <c r="B171" s="181"/>
      <c r="C171" s="182"/>
      <c r="D171" s="183"/>
      <c r="E171" s="184"/>
      <c r="F171" s="185"/>
      <c r="G171" s="181"/>
      <c r="H171" s="187"/>
      <c r="I171" s="199"/>
      <c r="J171" s="186"/>
      <c r="K171" s="181"/>
      <c r="L171" s="188"/>
      <c r="M171" s="181"/>
      <c r="N171" s="189"/>
      <c r="O171" s="189"/>
      <c r="P171" s="189"/>
      <c r="Q171" s="190"/>
      <c r="R171" s="215"/>
      <c r="S171" s="216"/>
      <c r="T171" s="217"/>
      <c r="U171" s="218"/>
      <c r="V171" s="195"/>
      <c r="W171" s="196"/>
      <c r="X171" s="196"/>
      <c r="Y171" s="197"/>
      <c r="Z171" s="198"/>
      <c r="AA171" s="200">
        <v>18120519</v>
      </c>
      <c r="AB171" s="201">
        <v>658000</v>
      </c>
      <c r="AC171" s="238">
        <f>AB171*7/100</f>
        <v>46060</v>
      </c>
      <c r="AD171" s="238">
        <f>AB171+AC171</f>
        <v>704060</v>
      </c>
      <c r="AE171" s="203">
        <v>43454</v>
      </c>
      <c r="AF171" s="363" t="s">
        <v>869</v>
      </c>
      <c r="AG171" s="363"/>
      <c r="AH171" s="363"/>
      <c r="AI171" s="364" t="s">
        <v>1809</v>
      </c>
      <c r="AJ171" s="204"/>
      <c r="AK171" s="205"/>
      <c r="AL171" s="206"/>
      <c r="AM171" s="206"/>
      <c r="AN171" s="207"/>
      <c r="AO171" s="208"/>
      <c r="AP171" s="365"/>
      <c r="AQ171" s="365"/>
      <c r="AR171" s="204"/>
      <c r="AS171" s="204"/>
      <c r="AT171" s="365"/>
      <c r="AU171" s="210"/>
      <c r="AV171" s="365"/>
      <c r="AW171" s="365"/>
      <c r="AX171" s="204"/>
      <c r="AY171" s="204"/>
      <c r="AZ171" s="365"/>
      <c r="BA171" s="210"/>
      <c r="BB171" s="365"/>
      <c r="BC171" s="365"/>
      <c r="BD171" s="204"/>
      <c r="BE171" s="204"/>
      <c r="BF171" s="365"/>
      <c r="BG171" s="210"/>
      <c r="BH171" s="365"/>
      <c r="BI171" s="365"/>
      <c r="BJ171" s="204"/>
      <c r="BK171" s="204"/>
      <c r="BL171" s="365"/>
      <c r="BM171" s="365"/>
      <c r="BN171" s="365"/>
      <c r="BO171" s="365"/>
      <c r="BP171" s="204"/>
      <c r="BQ171" s="204"/>
      <c r="BR171" s="365"/>
      <c r="BS171" s="365"/>
      <c r="BT171" s="365"/>
      <c r="BU171" s="365"/>
      <c r="BV171" s="204"/>
      <c r="BW171" s="204"/>
      <c r="BX171" s="365"/>
      <c r="BY171" s="365"/>
      <c r="BZ171" s="365"/>
      <c r="CA171" s="365"/>
      <c r="CB171" s="204"/>
      <c r="CC171" s="204"/>
      <c r="CD171" s="365"/>
      <c r="CE171" s="365"/>
    </row>
    <row r="172" spans="1:83" x14ac:dyDescent="0.5">
      <c r="A172" s="227">
        <v>18095981</v>
      </c>
      <c r="B172" s="22">
        <v>18090821</v>
      </c>
      <c r="C172" s="55"/>
      <c r="D172" s="56"/>
      <c r="E172" s="57"/>
      <c r="F172" s="58"/>
      <c r="G172" s="59"/>
      <c r="H172" s="60"/>
      <c r="I172" s="269"/>
      <c r="J172" s="59"/>
      <c r="K172" s="22" t="s">
        <v>16</v>
      </c>
      <c r="L172" s="28" t="s">
        <v>392</v>
      </c>
      <c r="M172" s="22" t="s">
        <v>50</v>
      </c>
      <c r="N172" s="29">
        <v>9800</v>
      </c>
      <c r="O172" s="29">
        <v>686</v>
      </c>
      <c r="P172" s="29">
        <f t="shared" si="28"/>
        <v>10486</v>
      </c>
      <c r="U172" s="34"/>
      <c r="V172" s="35"/>
      <c r="W172" s="36"/>
      <c r="X172" s="36"/>
      <c r="Y172" s="37"/>
      <c r="AA172" s="40">
        <v>18090366</v>
      </c>
      <c r="AB172" s="41">
        <v>9800</v>
      </c>
      <c r="AC172" s="64">
        <f t="shared" si="38"/>
        <v>686</v>
      </c>
      <c r="AD172" s="64">
        <f t="shared" si="39"/>
        <v>10486</v>
      </c>
      <c r="AE172" s="53">
        <v>43369</v>
      </c>
      <c r="AF172" s="345" t="s">
        <v>869</v>
      </c>
      <c r="AG172" s="345"/>
      <c r="AH172" s="345"/>
      <c r="AI172" s="346" t="s">
        <v>1030</v>
      </c>
      <c r="AJ172" s="44">
        <v>1</v>
      </c>
      <c r="AK172" s="45" t="s">
        <v>404</v>
      </c>
      <c r="AN172" s="47">
        <v>1</v>
      </c>
      <c r="AO172" s="102"/>
      <c r="AP172" s="356"/>
      <c r="AQ172" s="356"/>
      <c r="AR172" s="44"/>
      <c r="AS172" s="44"/>
      <c r="AT172" s="356"/>
      <c r="AU172" s="54"/>
      <c r="AV172" s="356"/>
      <c r="AW172" s="356"/>
      <c r="AX172" s="44"/>
      <c r="AY172" s="44"/>
      <c r="AZ172" s="356"/>
      <c r="BA172" s="54"/>
      <c r="BB172" s="356"/>
      <c r="BC172" s="356"/>
      <c r="BD172" s="44"/>
      <c r="BE172" s="44"/>
      <c r="BF172" s="356"/>
      <c r="BG172" s="54"/>
      <c r="BH172" s="356"/>
      <c r="BI172" s="356"/>
      <c r="BJ172" s="44"/>
      <c r="BK172" s="44"/>
      <c r="BL172" s="356"/>
      <c r="BM172" s="356"/>
      <c r="BN172" s="356"/>
      <c r="BO172" s="356"/>
      <c r="BP172" s="44"/>
      <c r="BQ172" s="44"/>
      <c r="BR172" s="356"/>
      <c r="BS172" s="356"/>
      <c r="BT172" s="356"/>
      <c r="BU172" s="356"/>
      <c r="BV172" s="44"/>
      <c r="BW172" s="44"/>
      <c r="BX172" s="356"/>
      <c r="BY172" s="356"/>
      <c r="BZ172" s="356"/>
      <c r="CA172" s="356"/>
      <c r="CB172" s="44"/>
      <c r="CC172" s="44"/>
      <c r="CD172" s="356"/>
      <c r="CE172" s="356"/>
    </row>
    <row r="173" spans="1:83" x14ac:dyDescent="0.5">
      <c r="A173" s="369">
        <v>18095980</v>
      </c>
      <c r="B173" s="370">
        <v>18090841</v>
      </c>
      <c r="C173" s="371">
        <v>203</v>
      </c>
      <c r="D173" s="372" t="s">
        <v>184</v>
      </c>
      <c r="E173" s="373" t="s">
        <v>185</v>
      </c>
      <c r="F173" s="374">
        <v>225</v>
      </c>
      <c r="G173" s="122">
        <v>43386</v>
      </c>
      <c r="H173" s="109">
        <v>18358</v>
      </c>
      <c r="I173" s="368" t="s">
        <v>869</v>
      </c>
      <c r="J173" s="126">
        <v>43381</v>
      </c>
      <c r="K173" s="375" t="s">
        <v>369</v>
      </c>
      <c r="L173" s="375" t="s">
        <v>370</v>
      </c>
      <c r="M173" s="375" t="s">
        <v>50</v>
      </c>
      <c r="N173" s="376">
        <v>286900</v>
      </c>
      <c r="O173" s="376">
        <v>20083</v>
      </c>
      <c r="P173" s="376">
        <f t="shared" si="28"/>
        <v>306983</v>
      </c>
      <c r="Q173" s="377"/>
      <c r="R173" s="378" t="s">
        <v>571</v>
      </c>
      <c r="S173" s="379">
        <f>N173</f>
        <v>286900</v>
      </c>
      <c r="T173" s="380">
        <v>5</v>
      </c>
      <c r="U173" s="381">
        <f>S173*T173/100</f>
        <v>14345</v>
      </c>
      <c r="V173" s="382">
        <f>S173-U173</f>
        <v>272555</v>
      </c>
      <c r="W173" s="383">
        <v>0.15</v>
      </c>
      <c r="X173" s="383">
        <f>V173*W173/100</f>
        <v>408.83249999999998</v>
      </c>
      <c r="Y173" s="384">
        <v>0.2</v>
      </c>
      <c r="Z173" s="385">
        <f>V173*Y173/100</f>
        <v>545.11</v>
      </c>
      <c r="AA173" s="386">
        <v>18090363</v>
      </c>
      <c r="AB173" s="387">
        <v>86070</v>
      </c>
      <c r="AC173" s="388">
        <f t="shared" si="38"/>
        <v>6024.9</v>
      </c>
      <c r="AD173" s="388">
        <f t="shared" si="39"/>
        <v>92094.9</v>
      </c>
      <c r="AE173" s="221">
        <v>43368</v>
      </c>
      <c r="AF173" s="366" t="s">
        <v>869</v>
      </c>
      <c r="AG173" s="389"/>
      <c r="AH173" s="366"/>
      <c r="AI173" s="389" t="s">
        <v>1194</v>
      </c>
      <c r="AJ173" s="390">
        <v>1</v>
      </c>
      <c r="AK173" s="391" t="s">
        <v>719</v>
      </c>
      <c r="AL173" s="392"/>
      <c r="AM173" s="392" t="s">
        <v>1205</v>
      </c>
      <c r="AN173" s="392">
        <v>1</v>
      </c>
      <c r="AO173" s="393" t="s">
        <v>634</v>
      </c>
      <c r="AP173" s="390">
        <v>2</v>
      </c>
      <c r="AQ173" s="394" t="s">
        <v>720</v>
      </c>
      <c r="AR173" s="392"/>
      <c r="AS173" s="392" t="s">
        <v>1205</v>
      </c>
      <c r="AT173" s="392">
        <v>1</v>
      </c>
      <c r="AU173" s="393" t="s">
        <v>636</v>
      </c>
      <c r="AV173" s="395"/>
      <c r="AW173" s="395"/>
      <c r="AX173" s="390"/>
      <c r="AY173" s="390"/>
      <c r="AZ173" s="395"/>
      <c r="BA173" s="395"/>
      <c r="BB173" s="395"/>
      <c r="BC173" s="395"/>
      <c r="BD173" s="128"/>
      <c r="BE173" s="128"/>
      <c r="BF173" s="361"/>
      <c r="BG173" s="361"/>
      <c r="BH173" s="361"/>
      <c r="BI173" s="361"/>
      <c r="BJ173" s="128"/>
      <c r="BK173" s="128"/>
      <c r="BL173" s="361"/>
      <c r="BM173" s="361"/>
      <c r="BN173" s="361"/>
      <c r="BO173" s="361"/>
      <c r="BP173" s="128"/>
      <c r="BQ173" s="128"/>
      <c r="BR173" s="361"/>
      <c r="BS173" s="361"/>
      <c r="BT173" s="361"/>
      <c r="BU173" s="361"/>
      <c r="BV173" s="128"/>
      <c r="BW173" s="128"/>
      <c r="BX173" s="361"/>
      <c r="BY173" s="361"/>
      <c r="BZ173" s="361"/>
      <c r="CA173" s="361"/>
      <c r="CB173" s="128"/>
      <c r="CC173" s="128"/>
      <c r="CD173" s="361"/>
      <c r="CE173" s="361"/>
    </row>
    <row r="174" spans="1:83" x14ac:dyDescent="0.5">
      <c r="A174" s="396"/>
      <c r="B174" s="241"/>
      <c r="C174" s="397"/>
      <c r="D174" s="398"/>
      <c r="E174" s="399"/>
      <c r="F174" s="400"/>
      <c r="G174" s="153">
        <v>43386</v>
      </c>
      <c r="H174" s="271">
        <v>18359</v>
      </c>
      <c r="I174" s="412"/>
      <c r="J174" s="203"/>
      <c r="K174" s="401"/>
      <c r="L174" s="401"/>
      <c r="M174" s="401"/>
      <c r="N174" s="402"/>
      <c r="O174" s="402"/>
      <c r="P174" s="402"/>
      <c r="Q174" s="403"/>
      <c r="R174" s="404"/>
      <c r="S174" s="405"/>
      <c r="T174" s="406"/>
      <c r="U174" s="407"/>
      <c r="V174" s="408"/>
      <c r="W174" s="409"/>
      <c r="X174" s="409"/>
      <c r="Y174" s="410"/>
      <c r="Z174" s="411"/>
      <c r="AA174" s="413">
        <v>18110414</v>
      </c>
      <c r="AB174" s="402">
        <v>200830</v>
      </c>
      <c r="AC174" s="414">
        <f t="shared" si="38"/>
        <v>14058.1</v>
      </c>
      <c r="AD174" s="414">
        <f t="shared" si="39"/>
        <v>214888.1</v>
      </c>
      <c r="AE174" s="203">
        <v>43435</v>
      </c>
      <c r="AF174" s="363" t="s">
        <v>869</v>
      </c>
      <c r="AG174" s="415"/>
      <c r="AH174" s="363"/>
      <c r="AI174" s="415" t="s">
        <v>1469</v>
      </c>
      <c r="AJ174" s="416"/>
      <c r="AK174" s="417"/>
      <c r="AL174" s="418"/>
      <c r="AM174" s="418"/>
      <c r="AN174" s="413"/>
      <c r="AO174" s="419"/>
      <c r="AP174" s="420"/>
      <c r="AQ174" s="413"/>
      <c r="AR174" s="418"/>
      <c r="AS174" s="418"/>
      <c r="AT174" s="418"/>
      <c r="AU174" s="419"/>
      <c r="AV174" s="416"/>
      <c r="AW174" s="416"/>
      <c r="AX174" s="420"/>
      <c r="AY174" s="420"/>
      <c r="AZ174" s="416"/>
      <c r="BA174" s="416"/>
      <c r="BB174" s="416"/>
      <c r="BC174" s="416"/>
      <c r="BD174" s="204"/>
      <c r="BE174" s="204"/>
      <c r="BF174" s="365"/>
      <c r="BG174" s="365"/>
      <c r="BH174" s="365"/>
      <c r="BI174" s="365"/>
      <c r="BJ174" s="204"/>
      <c r="BK174" s="204"/>
      <c r="BL174" s="365"/>
      <c r="BM174" s="365"/>
      <c r="BN174" s="365"/>
      <c r="BO174" s="365"/>
      <c r="BP174" s="204"/>
      <c r="BQ174" s="204"/>
      <c r="BR174" s="365"/>
      <c r="BS174" s="365"/>
      <c r="BT174" s="365"/>
      <c r="BU174" s="365"/>
      <c r="BV174" s="204"/>
      <c r="BW174" s="204"/>
      <c r="BX174" s="365"/>
      <c r="BY174" s="365"/>
      <c r="BZ174" s="365"/>
      <c r="CA174" s="365"/>
      <c r="CB174" s="204"/>
      <c r="CC174" s="204"/>
      <c r="CD174" s="365"/>
      <c r="CE174" s="365"/>
    </row>
    <row r="175" spans="1:83" x14ac:dyDescent="0.5">
      <c r="A175" s="227">
        <v>18095979</v>
      </c>
      <c r="B175" s="22">
        <v>18090834</v>
      </c>
      <c r="C175" s="23">
        <v>202</v>
      </c>
      <c r="D175" s="24" t="s">
        <v>184</v>
      </c>
      <c r="E175" s="25" t="s">
        <v>185</v>
      </c>
      <c r="F175" s="26">
        <v>221</v>
      </c>
      <c r="G175" s="62">
        <v>43376</v>
      </c>
      <c r="H175" s="27">
        <v>18345</v>
      </c>
      <c r="I175" s="39" t="s">
        <v>869</v>
      </c>
      <c r="J175" s="62">
        <v>43376</v>
      </c>
      <c r="K175" s="22" t="s">
        <v>10</v>
      </c>
      <c r="L175" s="28" t="s">
        <v>371</v>
      </c>
      <c r="M175" s="22" t="s">
        <v>51</v>
      </c>
      <c r="N175" s="29">
        <v>76000</v>
      </c>
      <c r="O175" s="29">
        <v>5320</v>
      </c>
      <c r="P175" s="29">
        <f t="shared" si="28"/>
        <v>81320</v>
      </c>
      <c r="U175" s="34"/>
      <c r="V175" s="35"/>
      <c r="W175" s="36"/>
      <c r="X175" s="36"/>
      <c r="Y175" s="37"/>
      <c r="AA175" s="40">
        <v>18100371</v>
      </c>
      <c r="AB175" s="41">
        <v>76000</v>
      </c>
      <c r="AC175" s="64">
        <f t="shared" si="38"/>
        <v>5320</v>
      </c>
      <c r="AD175" s="64">
        <f t="shared" si="39"/>
        <v>81320</v>
      </c>
      <c r="AE175" s="53">
        <v>43420</v>
      </c>
      <c r="AF175" s="345" t="s">
        <v>869</v>
      </c>
      <c r="AG175" s="345"/>
      <c r="AH175" s="345"/>
      <c r="AI175" s="346" t="s">
        <v>1271</v>
      </c>
      <c r="AJ175" s="44">
        <v>1</v>
      </c>
      <c r="AK175" s="45" t="s">
        <v>722</v>
      </c>
      <c r="AM175" s="46" t="s">
        <v>1205</v>
      </c>
      <c r="AN175" s="47">
        <v>1</v>
      </c>
      <c r="AO175" s="48" t="s">
        <v>635</v>
      </c>
      <c r="AP175" s="356"/>
      <c r="AQ175" s="356"/>
      <c r="AR175" s="44"/>
      <c r="AS175" s="44"/>
      <c r="AT175" s="356"/>
      <c r="AU175" s="54"/>
      <c r="AV175" s="356"/>
      <c r="AW175" s="356"/>
      <c r="AX175" s="44"/>
      <c r="AY175" s="44"/>
      <c r="AZ175" s="356"/>
      <c r="BA175" s="54"/>
      <c r="BB175" s="356"/>
      <c r="BC175" s="356"/>
      <c r="BD175" s="44"/>
      <c r="BE175" s="44"/>
      <c r="BF175" s="356"/>
      <c r="BG175" s="54"/>
      <c r="BH175" s="356"/>
      <c r="BI175" s="356"/>
      <c r="BJ175" s="44"/>
      <c r="BK175" s="44"/>
      <c r="BL175" s="356"/>
      <c r="BM175" s="356"/>
      <c r="BN175" s="356"/>
      <c r="BO175" s="356"/>
      <c r="BP175" s="44"/>
      <c r="BQ175" s="44"/>
      <c r="BR175" s="356"/>
      <c r="BS175" s="356"/>
      <c r="BT175" s="356"/>
      <c r="BU175" s="356"/>
      <c r="BV175" s="44"/>
      <c r="BW175" s="44"/>
      <c r="BX175" s="356"/>
      <c r="BY175" s="356"/>
      <c r="BZ175" s="356"/>
      <c r="CA175" s="356"/>
      <c r="CB175" s="44"/>
      <c r="CC175" s="44"/>
      <c r="CD175" s="356"/>
      <c r="CE175" s="356"/>
    </row>
    <row r="176" spans="1:83" x14ac:dyDescent="0.5">
      <c r="A176" s="227">
        <v>18095978</v>
      </c>
      <c r="B176" s="22">
        <v>18090831</v>
      </c>
      <c r="C176" s="55"/>
      <c r="D176" s="56"/>
      <c r="E176" s="57"/>
      <c r="F176" s="58"/>
      <c r="G176" s="59"/>
      <c r="H176" s="60"/>
      <c r="I176" s="269"/>
      <c r="J176" s="59"/>
      <c r="K176" s="22" t="s">
        <v>186</v>
      </c>
      <c r="L176" s="28" t="s">
        <v>188</v>
      </c>
      <c r="M176" s="22" t="s">
        <v>50</v>
      </c>
      <c r="N176" s="29">
        <v>26600</v>
      </c>
      <c r="O176" s="29">
        <v>1862</v>
      </c>
      <c r="P176" s="29">
        <f t="shared" si="28"/>
        <v>28462</v>
      </c>
      <c r="U176" s="34"/>
      <c r="V176" s="35"/>
      <c r="W176" s="36"/>
      <c r="X176" s="36"/>
      <c r="Y176" s="37"/>
      <c r="AA176" s="40">
        <v>18100373</v>
      </c>
      <c r="AB176" s="41">
        <v>26600</v>
      </c>
      <c r="AC176" s="63">
        <f t="shared" si="38"/>
        <v>1862</v>
      </c>
      <c r="AD176" s="63">
        <f t="shared" si="39"/>
        <v>28462</v>
      </c>
      <c r="AE176" s="53">
        <v>43375</v>
      </c>
      <c r="AF176" s="345" t="s">
        <v>869</v>
      </c>
      <c r="AG176" s="345"/>
      <c r="AH176" s="345"/>
      <c r="AI176" s="346" t="s">
        <v>1195</v>
      </c>
      <c r="AJ176" s="44">
        <v>1</v>
      </c>
      <c r="AK176" s="45" t="s">
        <v>404</v>
      </c>
      <c r="AN176" s="47">
        <v>2</v>
      </c>
      <c r="AO176" s="102"/>
      <c r="AP176" s="356"/>
      <c r="AQ176" s="356"/>
      <c r="AR176" s="44"/>
      <c r="AS176" s="44"/>
      <c r="AT176" s="356"/>
      <c r="AU176" s="54"/>
      <c r="AV176" s="356"/>
      <c r="AW176" s="356"/>
      <c r="AX176" s="44"/>
      <c r="AY176" s="44"/>
      <c r="AZ176" s="356"/>
      <c r="BA176" s="54"/>
      <c r="BB176" s="356"/>
      <c r="BC176" s="356"/>
      <c r="BD176" s="44"/>
      <c r="BE176" s="44"/>
      <c r="BF176" s="356"/>
      <c r="BG176" s="54"/>
      <c r="BH176" s="356"/>
      <c r="BI176" s="356"/>
      <c r="BJ176" s="44"/>
      <c r="BK176" s="44"/>
      <c r="BL176" s="356"/>
      <c r="BM176" s="356"/>
      <c r="BN176" s="356"/>
      <c r="BO176" s="356"/>
      <c r="BP176" s="44"/>
      <c r="BQ176" s="44"/>
      <c r="BR176" s="356"/>
      <c r="BS176" s="356"/>
      <c r="BT176" s="356"/>
      <c r="BU176" s="356"/>
      <c r="BV176" s="44"/>
      <c r="BW176" s="44"/>
      <c r="BX176" s="356"/>
      <c r="BY176" s="356"/>
      <c r="BZ176" s="356"/>
      <c r="CA176" s="356"/>
      <c r="CB176" s="44"/>
      <c r="CC176" s="44"/>
      <c r="CD176" s="356"/>
      <c r="CE176" s="356"/>
    </row>
    <row r="177" spans="1:84" x14ac:dyDescent="0.5">
      <c r="A177" s="369">
        <v>18095977</v>
      </c>
      <c r="B177" s="370">
        <v>18090832</v>
      </c>
      <c r="C177" s="371">
        <v>201</v>
      </c>
      <c r="D177" s="372" t="s">
        <v>184</v>
      </c>
      <c r="E177" s="373" t="s">
        <v>185</v>
      </c>
      <c r="F177" s="374">
        <v>220</v>
      </c>
      <c r="G177" s="211">
        <v>43374</v>
      </c>
      <c r="H177" s="164">
        <v>18341</v>
      </c>
      <c r="I177" s="368" t="s">
        <v>869</v>
      </c>
      <c r="J177" s="126">
        <v>43375</v>
      </c>
      <c r="K177" s="370" t="s">
        <v>186</v>
      </c>
      <c r="L177" s="370" t="s">
        <v>187</v>
      </c>
      <c r="M177" s="370" t="s">
        <v>50</v>
      </c>
      <c r="N177" s="376">
        <v>70000</v>
      </c>
      <c r="O177" s="376">
        <v>4900</v>
      </c>
      <c r="P177" s="376">
        <f t="shared" si="28"/>
        <v>74900</v>
      </c>
      <c r="Q177" s="421"/>
      <c r="R177" s="378" t="s">
        <v>569</v>
      </c>
      <c r="S177" s="379">
        <f>N177</f>
        <v>70000</v>
      </c>
      <c r="T177" s="380">
        <v>5</v>
      </c>
      <c r="U177" s="381">
        <f>S177*T177/100</f>
        <v>3500</v>
      </c>
      <c r="V177" s="382">
        <f>S177-U177</f>
        <v>66500</v>
      </c>
      <c r="W177" s="383">
        <v>0.29499999999999998</v>
      </c>
      <c r="X177" s="383">
        <f>V177*W177/100</f>
        <v>196.17500000000001</v>
      </c>
      <c r="Y177" s="384">
        <v>0.2</v>
      </c>
      <c r="Z177" s="385">
        <f>V177*Y177/100</f>
        <v>133</v>
      </c>
      <c r="AA177" s="394">
        <v>18100372</v>
      </c>
      <c r="AB177" s="376">
        <v>70000</v>
      </c>
      <c r="AC177" s="422">
        <f t="shared" si="38"/>
        <v>4900</v>
      </c>
      <c r="AD177" s="422">
        <f t="shared" si="39"/>
        <v>74900</v>
      </c>
      <c r="AE177" s="126">
        <v>43405</v>
      </c>
      <c r="AF177" s="359" t="s">
        <v>869</v>
      </c>
      <c r="AG177" s="359"/>
      <c r="AH177" s="423"/>
      <c r="AI177" s="424" t="s">
        <v>1661</v>
      </c>
      <c r="AJ177" s="390">
        <v>1</v>
      </c>
      <c r="AK177" s="394" t="s">
        <v>652</v>
      </c>
      <c r="AL177" s="392"/>
      <c r="AM177" s="392" t="s">
        <v>1205</v>
      </c>
      <c r="AN177" s="392">
        <v>2</v>
      </c>
      <c r="AO177" s="393" t="s">
        <v>634</v>
      </c>
      <c r="AP177" s="395"/>
      <c r="AQ177" s="395"/>
      <c r="AR177" s="128"/>
      <c r="AS177" s="128"/>
      <c r="AT177" s="361"/>
      <c r="AU177" s="361"/>
      <c r="AV177" s="361"/>
      <c r="AW177" s="361"/>
      <c r="AX177" s="128"/>
      <c r="AY177" s="128"/>
      <c r="AZ177" s="361"/>
      <c r="BA177" s="361"/>
      <c r="BB177" s="361"/>
      <c r="BC177" s="361"/>
      <c r="BD177" s="128"/>
      <c r="BE177" s="128"/>
      <c r="BF177" s="361"/>
      <c r="BG177" s="361"/>
      <c r="BH177" s="361"/>
      <c r="BI177" s="361"/>
      <c r="BJ177" s="128"/>
      <c r="BK177" s="128"/>
      <c r="BL177" s="361"/>
      <c r="BM177" s="361"/>
      <c r="BN177" s="361"/>
      <c r="BO177" s="361"/>
      <c r="BP177" s="128"/>
      <c r="BQ177" s="128"/>
      <c r="BR177" s="361"/>
      <c r="BS177" s="361"/>
      <c r="BT177" s="361"/>
      <c r="BU177" s="361"/>
      <c r="BV177" s="128"/>
      <c r="BW177" s="128"/>
      <c r="BX177" s="361"/>
      <c r="BY177" s="361"/>
      <c r="BZ177" s="361"/>
      <c r="CA177" s="361"/>
      <c r="CB177" s="128"/>
      <c r="CC177" s="128"/>
      <c r="CD177" s="361"/>
      <c r="CE177" s="361"/>
    </row>
    <row r="178" spans="1:84" x14ac:dyDescent="0.5">
      <c r="A178" s="396"/>
      <c r="B178" s="241"/>
      <c r="C178" s="397"/>
      <c r="D178" s="398"/>
      <c r="E178" s="399"/>
      <c r="F178" s="425"/>
      <c r="G178" s="186">
        <v>43374</v>
      </c>
      <c r="H178" s="187">
        <v>18342</v>
      </c>
      <c r="I178" s="412"/>
      <c r="J178" s="203"/>
      <c r="K178" s="241"/>
      <c r="L178" s="241"/>
      <c r="M178" s="241"/>
      <c r="N178" s="402"/>
      <c r="O178" s="402"/>
      <c r="P178" s="402"/>
      <c r="Q178" s="426"/>
      <c r="R178" s="404"/>
      <c r="S178" s="405"/>
      <c r="T178" s="406"/>
      <c r="U178" s="407"/>
      <c r="V178" s="408"/>
      <c r="W178" s="409"/>
      <c r="X178" s="409"/>
      <c r="Y178" s="410"/>
      <c r="Z178" s="411"/>
      <c r="AA178" s="413"/>
      <c r="AB178" s="402"/>
      <c r="AC178" s="401"/>
      <c r="AD178" s="401"/>
      <c r="AE178" s="427"/>
      <c r="AF178" s="363"/>
      <c r="AG178" s="363"/>
      <c r="AH178" s="428"/>
      <c r="AI178" s="415"/>
      <c r="AJ178" s="420"/>
      <c r="AK178" s="413"/>
      <c r="AL178" s="418"/>
      <c r="AM178" s="418"/>
      <c r="AN178" s="418"/>
      <c r="AO178" s="419"/>
      <c r="AP178" s="416"/>
      <c r="AQ178" s="416"/>
      <c r="AR178" s="204"/>
      <c r="AS178" s="204"/>
      <c r="AT178" s="365"/>
      <c r="AU178" s="365"/>
      <c r="AV178" s="365"/>
      <c r="AW178" s="365"/>
      <c r="AX178" s="204"/>
      <c r="AY178" s="204"/>
      <c r="AZ178" s="365"/>
      <c r="BA178" s="365"/>
      <c r="BB178" s="365"/>
      <c r="BC178" s="365"/>
      <c r="BD178" s="204"/>
      <c r="BE178" s="204"/>
      <c r="BF178" s="365"/>
      <c r="BG178" s="365"/>
      <c r="BH178" s="365"/>
      <c r="BI178" s="365"/>
      <c r="BJ178" s="204"/>
      <c r="BK178" s="204"/>
      <c r="BL178" s="365"/>
      <c r="BM178" s="365"/>
      <c r="BN178" s="365"/>
      <c r="BO178" s="365"/>
      <c r="BP178" s="204"/>
      <c r="BQ178" s="204"/>
      <c r="BR178" s="365"/>
      <c r="BS178" s="365"/>
      <c r="BT178" s="365"/>
      <c r="BU178" s="365"/>
      <c r="BV178" s="204"/>
      <c r="BW178" s="204"/>
      <c r="BX178" s="365"/>
      <c r="BY178" s="365"/>
      <c r="BZ178" s="365"/>
      <c r="CA178" s="365"/>
      <c r="CB178" s="204"/>
      <c r="CC178" s="204"/>
      <c r="CD178" s="365"/>
      <c r="CE178" s="365"/>
    </row>
    <row r="179" spans="1:84" x14ac:dyDescent="0.5">
      <c r="A179" s="227">
        <v>18095976</v>
      </c>
      <c r="B179" s="22">
        <v>18090830</v>
      </c>
      <c r="C179" s="23">
        <v>200</v>
      </c>
      <c r="D179" s="24" t="s">
        <v>184</v>
      </c>
      <c r="E179" s="25" t="s">
        <v>185</v>
      </c>
      <c r="F179" s="26">
        <v>212</v>
      </c>
      <c r="G179" s="62">
        <v>43365</v>
      </c>
      <c r="H179" s="27">
        <v>18326</v>
      </c>
      <c r="I179" s="39" t="s">
        <v>869</v>
      </c>
      <c r="J179" s="62">
        <v>43367</v>
      </c>
      <c r="K179" s="22" t="s">
        <v>165</v>
      </c>
      <c r="L179" s="28" t="s">
        <v>166</v>
      </c>
      <c r="M179" s="22" t="s">
        <v>53</v>
      </c>
      <c r="N179" s="29">
        <v>9225</v>
      </c>
      <c r="O179" s="29">
        <v>645.75</v>
      </c>
      <c r="P179" s="29">
        <f t="shared" si="28"/>
        <v>9870.75</v>
      </c>
      <c r="Q179" s="61"/>
      <c r="R179" s="96"/>
      <c r="S179" s="97"/>
      <c r="T179" s="98"/>
      <c r="U179" s="99"/>
      <c r="V179" s="35">
        <f>N179</f>
        <v>9225</v>
      </c>
      <c r="W179" s="36">
        <v>0.4</v>
      </c>
      <c r="X179" s="36">
        <f>V179*W179/100</f>
        <v>36.9</v>
      </c>
      <c r="Y179" s="37">
        <v>0.2</v>
      </c>
      <c r="Z179" s="38">
        <f>V179*Y179/100</f>
        <v>18.45</v>
      </c>
      <c r="AA179" s="40">
        <v>18100385</v>
      </c>
      <c r="AB179" s="41">
        <v>9225</v>
      </c>
      <c r="AC179" s="64">
        <f>AB179*7/100</f>
        <v>645.75</v>
      </c>
      <c r="AD179" s="64">
        <f>AB179+AC179</f>
        <v>9870.75</v>
      </c>
      <c r="AE179" s="53">
        <v>43381</v>
      </c>
      <c r="AF179" s="345" t="s">
        <v>869</v>
      </c>
      <c r="AG179" s="345"/>
      <c r="AH179" s="345"/>
      <c r="AI179" s="346" t="s">
        <v>1306</v>
      </c>
      <c r="AJ179" s="44">
        <v>1</v>
      </c>
      <c r="AK179" s="45" t="s">
        <v>754</v>
      </c>
      <c r="AM179" s="46" t="s">
        <v>1205</v>
      </c>
      <c r="AN179" s="47">
        <v>1</v>
      </c>
      <c r="AO179" s="48" t="s">
        <v>634</v>
      </c>
      <c r="AP179" s="44">
        <v>2</v>
      </c>
      <c r="AQ179" s="40" t="s">
        <v>755</v>
      </c>
      <c r="AS179" s="47" t="s">
        <v>1205</v>
      </c>
      <c r="AT179" s="47">
        <v>1</v>
      </c>
      <c r="AU179" s="49" t="s">
        <v>634</v>
      </c>
      <c r="AV179" s="356"/>
      <c r="AW179" s="356"/>
      <c r="AX179" s="44"/>
      <c r="AY179" s="44"/>
      <c r="AZ179" s="356"/>
      <c r="BA179" s="54"/>
      <c r="BB179" s="356"/>
      <c r="BC179" s="356"/>
      <c r="BD179" s="44"/>
      <c r="BE179" s="44"/>
      <c r="BF179" s="356"/>
      <c r="BG179" s="54"/>
      <c r="BH179" s="356"/>
      <c r="BI179" s="356"/>
      <c r="BJ179" s="44"/>
      <c r="BK179" s="44"/>
      <c r="BL179" s="356"/>
      <c r="BM179" s="356"/>
      <c r="BN179" s="356"/>
      <c r="BO179" s="356"/>
      <c r="BP179" s="44"/>
      <c r="BQ179" s="44"/>
      <c r="BR179" s="356"/>
      <c r="BS179" s="356"/>
      <c r="BT179" s="356"/>
      <c r="BU179" s="356"/>
      <c r="BV179" s="44"/>
      <c r="BW179" s="44"/>
      <c r="BX179" s="356"/>
      <c r="BY179" s="356"/>
      <c r="BZ179" s="356"/>
      <c r="CA179" s="356"/>
      <c r="CB179" s="44"/>
      <c r="CC179" s="44"/>
      <c r="CD179" s="356"/>
      <c r="CE179" s="356"/>
    </row>
    <row r="180" spans="1:84" x14ac:dyDescent="0.5">
      <c r="A180" s="369">
        <v>18095975</v>
      </c>
      <c r="B180" s="370">
        <v>18090826</v>
      </c>
      <c r="C180" s="371">
        <v>199</v>
      </c>
      <c r="D180" s="372" t="s">
        <v>184</v>
      </c>
      <c r="E180" s="373" t="s">
        <v>185</v>
      </c>
      <c r="F180" s="374">
        <v>224</v>
      </c>
      <c r="G180" s="211">
        <v>43374</v>
      </c>
      <c r="H180" s="164">
        <v>18339</v>
      </c>
      <c r="I180" s="368" t="s">
        <v>869</v>
      </c>
      <c r="J180" s="126">
        <v>43375</v>
      </c>
      <c r="K180" s="375" t="s">
        <v>167</v>
      </c>
      <c r="L180" s="375" t="s">
        <v>168</v>
      </c>
      <c r="M180" s="370" t="s">
        <v>53</v>
      </c>
      <c r="N180" s="376">
        <v>587970</v>
      </c>
      <c r="O180" s="376">
        <v>41157.9</v>
      </c>
      <c r="P180" s="376">
        <f t="shared" si="28"/>
        <v>629127.9</v>
      </c>
      <c r="Q180" s="430">
        <v>32600</v>
      </c>
      <c r="R180" s="378" t="s">
        <v>573</v>
      </c>
      <c r="S180" s="379">
        <f>N180-Q180</f>
        <v>555370</v>
      </c>
      <c r="T180" s="380">
        <v>5</v>
      </c>
      <c r="U180" s="381">
        <f>S180*T180/100</f>
        <v>27768.5</v>
      </c>
      <c r="V180" s="382">
        <f>S180-U180</f>
        <v>527601.5</v>
      </c>
      <c r="W180" s="383">
        <v>0.25</v>
      </c>
      <c r="X180" s="383">
        <f>V180*W180/100</f>
        <v>1319.0037500000001</v>
      </c>
      <c r="Y180" s="384">
        <v>0.2</v>
      </c>
      <c r="Z180" s="385">
        <f>V180*Y180/100</f>
        <v>1055.203</v>
      </c>
      <c r="AA180" s="394">
        <v>18100399</v>
      </c>
      <c r="AB180" s="376">
        <v>587970</v>
      </c>
      <c r="AC180" s="422">
        <f>AB180*7/100</f>
        <v>41157.9</v>
      </c>
      <c r="AD180" s="422">
        <f>AB180+AC180</f>
        <v>629127.9</v>
      </c>
      <c r="AE180" s="126">
        <v>43420</v>
      </c>
      <c r="AF180" s="359" t="s">
        <v>869</v>
      </c>
      <c r="AG180" s="424"/>
      <c r="AH180" s="359"/>
      <c r="AI180" s="360" t="s">
        <v>2170</v>
      </c>
      <c r="AJ180" s="390">
        <v>1</v>
      </c>
      <c r="AK180" s="394" t="s">
        <v>723</v>
      </c>
      <c r="AL180" s="392" t="s">
        <v>1205</v>
      </c>
      <c r="AM180" s="131"/>
      <c r="AN180" s="392">
        <v>1</v>
      </c>
      <c r="AO180" s="431" t="s">
        <v>634</v>
      </c>
      <c r="AP180" s="390">
        <v>2</v>
      </c>
      <c r="AQ180" s="391" t="s">
        <v>724</v>
      </c>
      <c r="AR180" s="392" t="s">
        <v>1205</v>
      </c>
      <c r="AS180" s="131"/>
      <c r="AT180" s="392">
        <v>1</v>
      </c>
      <c r="AU180" s="431" t="s">
        <v>634</v>
      </c>
      <c r="AV180" s="390">
        <v>3</v>
      </c>
      <c r="AW180" s="391" t="s">
        <v>725</v>
      </c>
      <c r="AX180" s="392" t="s">
        <v>1205</v>
      </c>
      <c r="AY180" s="131"/>
      <c r="AZ180" s="392">
        <v>1</v>
      </c>
      <c r="BA180" s="393" t="s">
        <v>634</v>
      </c>
      <c r="BB180" s="390">
        <v>4</v>
      </c>
      <c r="BC180" s="391" t="s">
        <v>726</v>
      </c>
      <c r="BD180" s="392" t="s">
        <v>1205</v>
      </c>
      <c r="BE180" s="131"/>
      <c r="BF180" s="392">
        <v>1</v>
      </c>
      <c r="BG180" s="431" t="s">
        <v>634</v>
      </c>
      <c r="BH180" s="361"/>
      <c r="BI180" s="361"/>
      <c r="BJ180" s="128"/>
      <c r="BK180" s="128"/>
      <c r="BL180" s="361"/>
      <c r="BM180" s="361"/>
      <c r="BN180" s="361"/>
      <c r="BO180" s="361"/>
      <c r="BP180" s="128"/>
      <c r="BQ180" s="128"/>
      <c r="BR180" s="361"/>
      <c r="BS180" s="361"/>
      <c r="BT180" s="361"/>
      <c r="BU180" s="361"/>
      <c r="BV180" s="128"/>
      <c r="BW180" s="128"/>
      <c r="BX180" s="361"/>
      <c r="BY180" s="361"/>
      <c r="BZ180" s="361"/>
      <c r="CA180" s="361"/>
      <c r="CB180" s="128"/>
      <c r="CC180" s="128"/>
      <c r="CD180" s="361"/>
      <c r="CE180" s="361"/>
    </row>
    <row r="181" spans="1:84" x14ac:dyDescent="0.5">
      <c r="A181" s="878"/>
      <c r="B181" s="433"/>
      <c r="C181" s="434"/>
      <c r="D181" s="435"/>
      <c r="E181" s="435"/>
      <c r="F181" s="434"/>
      <c r="G181" s="178">
        <v>43374</v>
      </c>
      <c r="H181" s="171">
        <v>18340</v>
      </c>
      <c r="I181" s="446"/>
      <c r="J181" s="447">
        <v>43378</v>
      </c>
      <c r="K181" s="433"/>
      <c r="L181" s="433"/>
      <c r="M181" s="256"/>
      <c r="N181" s="436"/>
      <c r="O181" s="436"/>
      <c r="P181" s="436"/>
      <c r="Q181" s="437"/>
      <c r="R181" s="438"/>
      <c r="S181" s="439"/>
      <c r="T181" s="440"/>
      <c r="U181" s="441"/>
      <c r="V181" s="442"/>
      <c r="W181" s="443"/>
      <c r="X181" s="443"/>
      <c r="Y181" s="444"/>
      <c r="Z181" s="445"/>
      <c r="AA181" s="448"/>
      <c r="AB181" s="436"/>
      <c r="AC181" s="449"/>
      <c r="AD181" s="449"/>
      <c r="AE181" s="157"/>
      <c r="AF181" s="450"/>
      <c r="AG181" s="451"/>
      <c r="AH181" s="450"/>
      <c r="AI181" s="452"/>
      <c r="AJ181" s="453"/>
      <c r="AK181" s="448"/>
      <c r="AL181" s="454"/>
      <c r="AM181" s="161"/>
      <c r="AN181" s="454"/>
      <c r="AO181" s="455"/>
      <c r="AP181" s="453"/>
      <c r="AQ181" s="456"/>
      <c r="AR181" s="454"/>
      <c r="AS181" s="161"/>
      <c r="AT181" s="454"/>
      <c r="AU181" s="455"/>
      <c r="AV181" s="453"/>
      <c r="AW181" s="456"/>
      <c r="AX181" s="454"/>
      <c r="AY181" s="161"/>
      <c r="AZ181" s="454"/>
      <c r="BA181" s="457"/>
      <c r="BB181" s="453"/>
      <c r="BC181" s="456"/>
      <c r="BD181" s="454"/>
      <c r="BE181" s="161"/>
      <c r="BF181" s="454"/>
      <c r="BG181" s="455"/>
      <c r="BH181" s="458"/>
      <c r="BI181" s="458"/>
      <c r="BJ181" s="158"/>
      <c r="BK181" s="158"/>
      <c r="BL181" s="458"/>
      <c r="BM181" s="458"/>
      <c r="BN181" s="458"/>
      <c r="BO181" s="458"/>
      <c r="BP181" s="158"/>
      <c r="BQ181" s="158"/>
      <c r="BR181" s="458"/>
      <c r="BS181" s="458"/>
      <c r="BT181" s="458"/>
      <c r="BU181" s="458"/>
      <c r="BV181" s="158"/>
      <c r="BW181" s="158"/>
      <c r="BX181" s="458"/>
      <c r="BY181" s="458"/>
      <c r="BZ181" s="458"/>
      <c r="CA181" s="458"/>
      <c r="CB181" s="158"/>
      <c r="CC181" s="158"/>
      <c r="CD181" s="458"/>
      <c r="CE181" s="458"/>
    </row>
    <row r="182" spans="1:84" x14ac:dyDescent="0.5">
      <c r="A182" s="878"/>
      <c r="B182" s="433"/>
      <c r="C182" s="434"/>
      <c r="D182" s="435"/>
      <c r="E182" s="435"/>
      <c r="F182" s="434"/>
      <c r="G182" s="178">
        <v>43377</v>
      </c>
      <c r="H182" s="171">
        <v>18347</v>
      </c>
      <c r="I182" s="446"/>
      <c r="J182" s="157"/>
      <c r="K182" s="433"/>
      <c r="L182" s="433"/>
      <c r="M182" s="256"/>
      <c r="N182" s="436"/>
      <c r="O182" s="436"/>
      <c r="P182" s="436"/>
      <c r="Q182" s="459"/>
      <c r="R182" s="438"/>
      <c r="S182" s="439"/>
      <c r="T182" s="440"/>
      <c r="U182" s="441"/>
      <c r="V182" s="442"/>
      <c r="W182" s="443"/>
      <c r="X182" s="443"/>
      <c r="Y182" s="444"/>
      <c r="Z182" s="445"/>
      <c r="AA182" s="448"/>
      <c r="AB182" s="436"/>
      <c r="AC182" s="449"/>
      <c r="AD182" s="449"/>
      <c r="AE182" s="157"/>
      <c r="AF182" s="450"/>
      <c r="AG182" s="451"/>
      <c r="AH182" s="450"/>
      <c r="AI182" s="452"/>
      <c r="AJ182" s="453"/>
      <c r="AK182" s="448"/>
      <c r="AL182" s="454"/>
      <c r="AM182" s="161"/>
      <c r="AN182" s="454"/>
      <c r="AO182" s="455"/>
      <c r="AP182" s="453"/>
      <c r="AQ182" s="456"/>
      <c r="AR182" s="454"/>
      <c r="AS182" s="161"/>
      <c r="AT182" s="454"/>
      <c r="AU182" s="455"/>
      <c r="AV182" s="453"/>
      <c r="AW182" s="456"/>
      <c r="AX182" s="454"/>
      <c r="AY182" s="161"/>
      <c r="AZ182" s="454"/>
      <c r="BA182" s="457"/>
      <c r="BB182" s="453"/>
      <c r="BC182" s="456"/>
      <c r="BD182" s="454"/>
      <c r="BE182" s="161"/>
      <c r="BF182" s="454"/>
      <c r="BG182" s="455"/>
      <c r="BH182" s="458"/>
      <c r="BI182" s="458"/>
      <c r="BJ182" s="158"/>
      <c r="BK182" s="158"/>
      <c r="BL182" s="458"/>
      <c r="BM182" s="458"/>
      <c r="BN182" s="458"/>
      <c r="BO182" s="458"/>
      <c r="BP182" s="158"/>
      <c r="BQ182" s="158"/>
      <c r="BR182" s="458"/>
      <c r="BS182" s="458"/>
      <c r="BT182" s="458"/>
      <c r="BU182" s="458"/>
      <c r="BV182" s="158"/>
      <c r="BW182" s="158"/>
      <c r="BX182" s="458"/>
      <c r="BY182" s="458"/>
      <c r="BZ182" s="458"/>
      <c r="CA182" s="458"/>
      <c r="CB182" s="158"/>
      <c r="CC182" s="158"/>
      <c r="CD182" s="458"/>
      <c r="CE182" s="458"/>
    </row>
    <row r="183" spans="1:84" x14ac:dyDescent="0.5">
      <c r="A183" s="878"/>
      <c r="B183" s="433"/>
      <c r="C183" s="434"/>
      <c r="D183" s="435"/>
      <c r="E183" s="435"/>
      <c r="F183" s="434"/>
      <c r="G183" s="178">
        <v>43377</v>
      </c>
      <c r="H183" s="171">
        <v>18348</v>
      </c>
      <c r="I183" s="446"/>
      <c r="J183" s="157"/>
      <c r="K183" s="433"/>
      <c r="L183" s="433"/>
      <c r="M183" s="256"/>
      <c r="N183" s="436"/>
      <c r="O183" s="436"/>
      <c r="P183" s="436"/>
      <c r="Q183" s="437"/>
      <c r="R183" s="438"/>
      <c r="S183" s="439"/>
      <c r="T183" s="440"/>
      <c r="U183" s="441"/>
      <c r="V183" s="442"/>
      <c r="W183" s="443"/>
      <c r="X183" s="443"/>
      <c r="Y183" s="444"/>
      <c r="Z183" s="445"/>
      <c r="AA183" s="448"/>
      <c r="AB183" s="436"/>
      <c r="AC183" s="449"/>
      <c r="AD183" s="449"/>
      <c r="AE183" s="157"/>
      <c r="AF183" s="450"/>
      <c r="AG183" s="451"/>
      <c r="AH183" s="450"/>
      <c r="AI183" s="452"/>
      <c r="AJ183" s="453"/>
      <c r="AK183" s="448"/>
      <c r="AL183" s="454"/>
      <c r="AM183" s="161"/>
      <c r="AN183" s="454"/>
      <c r="AO183" s="455"/>
      <c r="AP183" s="453"/>
      <c r="AQ183" s="456"/>
      <c r="AR183" s="454"/>
      <c r="AS183" s="161"/>
      <c r="AT183" s="454"/>
      <c r="AU183" s="455"/>
      <c r="AV183" s="453"/>
      <c r="AW183" s="456"/>
      <c r="AX183" s="454"/>
      <c r="AY183" s="161"/>
      <c r="AZ183" s="454"/>
      <c r="BA183" s="457"/>
      <c r="BB183" s="453"/>
      <c r="BC183" s="456"/>
      <c r="BD183" s="454"/>
      <c r="BE183" s="161"/>
      <c r="BF183" s="454"/>
      <c r="BG183" s="455"/>
      <c r="BH183" s="458"/>
      <c r="BI183" s="458"/>
      <c r="BJ183" s="158"/>
      <c r="BK183" s="158"/>
      <c r="BL183" s="458"/>
      <c r="BM183" s="458"/>
      <c r="BN183" s="458"/>
      <c r="BO183" s="458"/>
      <c r="BP183" s="158"/>
      <c r="BQ183" s="158"/>
      <c r="BR183" s="458"/>
      <c r="BS183" s="458"/>
      <c r="BT183" s="458"/>
      <c r="BU183" s="458"/>
      <c r="BV183" s="158"/>
      <c r="BW183" s="158"/>
      <c r="BX183" s="458"/>
      <c r="BY183" s="458"/>
      <c r="BZ183" s="458"/>
      <c r="CA183" s="458"/>
      <c r="CB183" s="158"/>
      <c r="CC183" s="158"/>
      <c r="CD183" s="458"/>
      <c r="CE183" s="458"/>
    </row>
    <row r="184" spans="1:84" x14ac:dyDescent="0.5">
      <c r="A184" s="878"/>
      <c r="B184" s="433"/>
      <c r="C184" s="434"/>
      <c r="D184" s="435"/>
      <c r="E184" s="435"/>
      <c r="F184" s="434"/>
      <c r="G184" s="170">
        <v>43384</v>
      </c>
      <c r="H184" s="251">
        <v>18357</v>
      </c>
      <c r="I184" s="446"/>
      <c r="J184" s="157"/>
      <c r="K184" s="433"/>
      <c r="L184" s="433"/>
      <c r="M184" s="256"/>
      <c r="N184" s="436"/>
      <c r="O184" s="436"/>
      <c r="P184" s="436"/>
      <c r="Q184" s="437"/>
      <c r="R184" s="438"/>
      <c r="S184" s="439"/>
      <c r="T184" s="440"/>
      <c r="U184" s="441"/>
      <c r="V184" s="442"/>
      <c r="W184" s="443"/>
      <c r="X184" s="443"/>
      <c r="Y184" s="444"/>
      <c r="Z184" s="445"/>
      <c r="AA184" s="448"/>
      <c r="AB184" s="436"/>
      <c r="AC184" s="449"/>
      <c r="AD184" s="449"/>
      <c r="AE184" s="157"/>
      <c r="AF184" s="450"/>
      <c r="AG184" s="451"/>
      <c r="AH184" s="450"/>
      <c r="AI184" s="452"/>
      <c r="AJ184" s="453"/>
      <c r="AK184" s="448"/>
      <c r="AL184" s="454"/>
      <c r="AM184" s="161"/>
      <c r="AN184" s="454"/>
      <c r="AO184" s="455"/>
      <c r="AP184" s="453"/>
      <c r="AQ184" s="456"/>
      <c r="AR184" s="454"/>
      <c r="AS184" s="161"/>
      <c r="AT184" s="454"/>
      <c r="AU184" s="455"/>
      <c r="AV184" s="453"/>
      <c r="AW184" s="456"/>
      <c r="AX184" s="454"/>
      <c r="AY184" s="161"/>
      <c r="AZ184" s="454"/>
      <c r="BA184" s="457"/>
      <c r="BB184" s="453"/>
      <c r="BC184" s="456"/>
      <c r="BD184" s="454"/>
      <c r="BE184" s="161"/>
      <c r="BF184" s="454"/>
      <c r="BG184" s="455"/>
      <c r="BH184" s="458"/>
      <c r="BI184" s="458"/>
      <c r="BJ184" s="158"/>
      <c r="BK184" s="158"/>
      <c r="BL184" s="458"/>
      <c r="BM184" s="458"/>
      <c r="BN184" s="458"/>
      <c r="BO184" s="458"/>
      <c r="BP184" s="158"/>
      <c r="BQ184" s="158"/>
      <c r="BR184" s="458"/>
      <c r="BS184" s="458"/>
      <c r="BT184" s="458"/>
      <c r="BU184" s="458"/>
      <c r="BV184" s="158"/>
      <c r="BW184" s="158"/>
      <c r="BX184" s="458"/>
      <c r="BY184" s="458"/>
      <c r="BZ184" s="458"/>
      <c r="CA184" s="458"/>
      <c r="CB184" s="158"/>
      <c r="CC184" s="158"/>
      <c r="CD184" s="458"/>
      <c r="CE184" s="458"/>
    </row>
    <row r="185" spans="1:84" x14ac:dyDescent="0.5">
      <c r="A185" s="879"/>
      <c r="B185" s="401"/>
      <c r="C185" s="425"/>
      <c r="D185" s="461"/>
      <c r="E185" s="461"/>
      <c r="F185" s="425"/>
      <c r="G185" s="186">
        <v>43400</v>
      </c>
      <c r="H185" s="187">
        <v>18397</v>
      </c>
      <c r="I185" s="412"/>
      <c r="J185" s="203"/>
      <c r="K185" s="401"/>
      <c r="L185" s="401"/>
      <c r="M185" s="241"/>
      <c r="N185" s="402"/>
      <c r="O185" s="402"/>
      <c r="P185" s="402"/>
      <c r="Q185" s="462"/>
      <c r="R185" s="404"/>
      <c r="S185" s="405"/>
      <c r="T185" s="406"/>
      <c r="U185" s="407"/>
      <c r="V185" s="408"/>
      <c r="W185" s="409"/>
      <c r="X185" s="409"/>
      <c r="Y185" s="410"/>
      <c r="Z185" s="411"/>
      <c r="AA185" s="413"/>
      <c r="AB185" s="402"/>
      <c r="AC185" s="414"/>
      <c r="AD185" s="414"/>
      <c r="AE185" s="203"/>
      <c r="AF185" s="363"/>
      <c r="AG185" s="415"/>
      <c r="AH185" s="363"/>
      <c r="AI185" s="364"/>
      <c r="AJ185" s="420"/>
      <c r="AK185" s="413"/>
      <c r="AL185" s="418"/>
      <c r="AM185" s="207"/>
      <c r="AN185" s="418"/>
      <c r="AO185" s="463"/>
      <c r="AP185" s="420"/>
      <c r="AQ185" s="417"/>
      <c r="AR185" s="418"/>
      <c r="AS185" s="207"/>
      <c r="AT185" s="418"/>
      <c r="AU185" s="463"/>
      <c r="AV185" s="420"/>
      <c r="AW185" s="417"/>
      <c r="AX185" s="418"/>
      <c r="AY185" s="207"/>
      <c r="AZ185" s="418"/>
      <c r="BA185" s="419"/>
      <c r="BB185" s="420"/>
      <c r="BC185" s="417"/>
      <c r="BD185" s="418"/>
      <c r="BE185" s="207"/>
      <c r="BF185" s="418"/>
      <c r="BG185" s="463"/>
      <c r="BH185" s="365"/>
      <c r="BI185" s="365"/>
      <c r="BJ185" s="204"/>
      <c r="BK185" s="204"/>
      <c r="BL185" s="365"/>
      <c r="BM185" s="365"/>
      <c r="BN185" s="365"/>
      <c r="BO185" s="365"/>
      <c r="BP185" s="204"/>
      <c r="BQ185" s="204"/>
      <c r="BR185" s="365"/>
      <c r="BS185" s="365"/>
      <c r="BT185" s="365"/>
      <c r="BU185" s="365"/>
      <c r="BV185" s="204"/>
      <c r="BW185" s="204"/>
      <c r="BX185" s="365"/>
      <c r="BY185" s="365"/>
      <c r="BZ185" s="365"/>
      <c r="CA185" s="365"/>
      <c r="CB185" s="204"/>
      <c r="CC185" s="204"/>
      <c r="CD185" s="365"/>
      <c r="CE185" s="365"/>
    </row>
    <row r="186" spans="1:84" x14ac:dyDescent="0.5">
      <c r="A186" s="227">
        <v>18095974</v>
      </c>
      <c r="B186" s="22">
        <v>18090824</v>
      </c>
      <c r="C186" s="23">
        <v>198</v>
      </c>
      <c r="D186" s="24" t="s">
        <v>184</v>
      </c>
      <c r="E186" s="25" t="s">
        <v>185</v>
      </c>
      <c r="F186" s="26">
        <v>219</v>
      </c>
      <c r="G186" s="62">
        <v>43374</v>
      </c>
      <c r="H186" s="27">
        <v>18338</v>
      </c>
      <c r="I186" s="39" t="s">
        <v>869</v>
      </c>
      <c r="J186" s="62">
        <v>43374</v>
      </c>
      <c r="K186" s="22" t="s">
        <v>20</v>
      </c>
      <c r="L186" s="28" t="s">
        <v>169</v>
      </c>
      <c r="M186" s="22" t="s">
        <v>51</v>
      </c>
      <c r="N186" s="29">
        <v>13776</v>
      </c>
      <c r="O186" s="29">
        <v>964.32</v>
      </c>
      <c r="P186" s="29">
        <f t="shared" si="28"/>
        <v>14740.32</v>
      </c>
      <c r="U186" s="34"/>
      <c r="V186" s="35"/>
      <c r="W186" s="36"/>
      <c r="X186" s="36"/>
      <c r="Y186" s="37"/>
      <c r="AA186" s="40">
        <v>18100370</v>
      </c>
      <c r="AB186" s="41">
        <v>13776</v>
      </c>
      <c r="AC186" s="64">
        <f>AB186*7/100</f>
        <v>964.32</v>
      </c>
      <c r="AD186" s="64">
        <f>AB186+AC186</f>
        <v>14740.32</v>
      </c>
      <c r="AE186" s="53">
        <v>43405</v>
      </c>
      <c r="AF186" s="345" t="s">
        <v>869</v>
      </c>
      <c r="AG186" s="345"/>
      <c r="AH186" s="345"/>
      <c r="AI186" s="346" t="s">
        <v>1264</v>
      </c>
      <c r="AJ186" s="44">
        <v>1</v>
      </c>
      <c r="AK186" s="45" t="s">
        <v>762</v>
      </c>
      <c r="AM186" s="46" t="s">
        <v>1205</v>
      </c>
      <c r="AN186" s="47">
        <v>1</v>
      </c>
      <c r="AO186" s="48" t="s">
        <v>633</v>
      </c>
      <c r="AP186" s="356"/>
      <c r="AQ186" s="356"/>
      <c r="AR186" s="44"/>
      <c r="AS186" s="44"/>
      <c r="AT186" s="356"/>
      <c r="AU186" s="54"/>
      <c r="AV186" s="356"/>
      <c r="AW186" s="356"/>
      <c r="AX186" s="44"/>
      <c r="AY186" s="44"/>
      <c r="AZ186" s="356"/>
      <c r="BA186" s="54"/>
      <c r="BB186" s="356"/>
      <c r="BC186" s="356"/>
      <c r="BD186" s="44"/>
      <c r="BE186" s="44"/>
      <c r="BF186" s="356"/>
      <c r="BG186" s="54"/>
      <c r="BH186" s="356"/>
      <c r="BI186" s="356"/>
      <c r="BJ186" s="44"/>
      <c r="BK186" s="44"/>
      <c r="BL186" s="356"/>
      <c r="BM186" s="356"/>
      <c r="BN186" s="356"/>
      <c r="BO186" s="356"/>
      <c r="BP186" s="44"/>
      <c r="BQ186" s="44"/>
      <c r="BR186" s="356"/>
      <c r="BS186" s="356"/>
      <c r="BT186" s="356"/>
      <c r="BU186" s="356"/>
      <c r="BV186" s="44"/>
      <c r="BW186" s="44"/>
      <c r="BX186" s="356"/>
      <c r="BY186" s="356"/>
      <c r="BZ186" s="356"/>
      <c r="CA186" s="356"/>
      <c r="CB186" s="44"/>
      <c r="CC186" s="44"/>
      <c r="CD186" s="356"/>
      <c r="CE186" s="356"/>
    </row>
    <row r="187" spans="1:84" x14ac:dyDescent="0.5">
      <c r="A187" s="369">
        <v>18095973</v>
      </c>
      <c r="B187" s="370">
        <v>18090815</v>
      </c>
      <c r="C187" s="371">
        <v>197</v>
      </c>
      <c r="D187" s="372" t="s">
        <v>184</v>
      </c>
      <c r="E187" s="373" t="s">
        <v>185</v>
      </c>
      <c r="F187" s="374">
        <v>213</v>
      </c>
      <c r="G187" s="211">
        <v>43367</v>
      </c>
      <c r="H187" s="164">
        <v>18328</v>
      </c>
      <c r="I187" s="368" t="s">
        <v>869</v>
      </c>
      <c r="J187" s="126">
        <v>43368</v>
      </c>
      <c r="K187" s="375" t="s">
        <v>60</v>
      </c>
      <c r="L187" s="375" t="s">
        <v>170</v>
      </c>
      <c r="M187" s="104" t="s">
        <v>53</v>
      </c>
      <c r="N187" s="111">
        <v>460000</v>
      </c>
      <c r="O187" s="376">
        <v>32200</v>
      </c>
      <c r="P187" s="376">
        <f t="shared" si="28"/>
        <v>492200</v>
      </c>
      <c r="Q187" s="421"/>
      <c r="R187" s="464"/>
      <c r="S187" s="421"/>
      <c r="T187" s="465"/>
      <c r="U187" s="466"/>
      <c r="V187" s="382">
        <f>N187</f>
        <v>460000</v>
      </c>
      <c r="W187" s="383">
        <v>0.04</v>
      </c>
      <c r="X187" s="383">
        <f>V187*W187/100</f>
        <v>184</v>
      </c>
      <c r="Y187" s="384">
        <v>0.2</v>
      </c>
      <c r="Z187" s="385">
        <f>V187*Y187/100</f>
        <v>920</v>
      </c>
      <c r="AA187" s="394">
        <v>18090364</v>
      </c>
      <c r="AB187" s="376">
        <v>460000</v>
      </c>
      <c r="AC187" s="422">
        <f>AB187*7/100</f>
        <v>32200</v>
      </c>
      <c r="AD187" s="422">
        <f>AB187+AC187</f>
        <v>492200</v>
      </c>
      <c r="AE187" s="126">
        <v>43368</v>
      </c>
      <c r="AF187" s="359" t="s">
        <v>869</v>
      </c>
      <c r="AG187" s="424"/>
      <c r="AH187" s="359"/>
      <c r="AI187" s="360" t="s">
        <v>1192</v>
      </c>
      <c r="AJ187" s="390">
        <v>1</v>
      </c>
      <c r="AK187" s="394" t="s">
        <v>756</v>
      </c>
      <c r="AL187" s="392"/>
      <c r="AM187" s="392" t="s">
        <v>1205</v>
      </c>
      <c r="AN187" s="392">
        <v>1</v>
      </c>
      <c r="AO187" s="393" t="s">
        <v>634</v>
      </c>
      <c r="AP187" s="390">
        <v>2</v>
      </c>
      <c r="AQ187" s="394" t="s">
        <v>757</v>
      </c>
      <c r="AR187" s="392"/>
      <c r="AS187" s="392" t="s">
        <v>59</v>
      </c>
      <c r="AT187" s="392">
        <v>1</v>
      </c>
      <c r="AU187" s="393" t="s">
        <v>634</v>
      </c>
      <c r="AV187" s="395">
        <v>3</v>
      </c>
      <c r="AW187" s="394" t="s">
        <v>758</v>
      </c>
      <c r="AX187" s="392"/>
      <c r="AY187" s="392" t="s">
        <v>1205</v>
      </c>
      <c r="AZ187" s="392">
        <v>1</v>
      </c>
      <c r="BA187" s="393" t="s">
        <v>634</v>
      </c>
      <c r="BB187" s="361"/>
      <c r="BC187" s="361"/>
      <c r="BD187" s="128"/>
      <c r="BE187" s="128"/>
      <c r="BF187" s="361"/>
      <c r="BG187" s="361"/>
      <c r="BH187" s="361"/>
      <c r="BI187" s="361"/>
      <c r="BJ187" s="128"/>
      <c r="BK187" s="128"/>
      <c r="BL187" s="361"/>
      <c r="BM187" s="361"/>
      <c r="BN187" s="361"/>
      <c r="BO187" s="361"/>
      <c r="BP187" s="128"/>
      <c r="BQ187" s="128"/>
      <c r="BR187" s="361"/>
      <c r="BS187" s="361"/>
      <c r="BT187" s="361"/>
      <c r="BU187" s="361"/>
      <c r="BV187" s="128"/>
      <c r="BW187" s="128"/>
      <c r="BX187" s="361"/>
      <c r="BY187" s="361"/>
      <c r="BZ187" s="361"/>
      <c r="CA187" s="361"/>
      <c r="CB187" s="128"/>
      <c r="CC187" s="128"/>
      <c r="CD187" s="361"/>
      <c r="CE187" s="361"/>
      <c r="CF187" s="51" t="s">
        <v>530</v>
      </c>
    </row>
    <row r="188" spans="1:84" x14ac:dyDescent="0.5">
      <c r="A188" s="396">
        <v>18095973</v>
      </c>
      <c r="B188" s="241"/>
      <c r="C188" s="397"/>
      <c r="D188" s="398"/>
      <c r="E188" s="399"/>
      <c r="F188" s="400"/>
      <c r="G188" s="186">
        <v>43374</v>
      </c>
      <c r="H188" s="187">
        <v>18343</v>
      </c>
      <c r="I188" s="412"/>
      <c r="J188" s="203"/>
      <c r="K188" s="401" t="s">
        <v>60</v>
      </c>
      <c r="L188" s="401" t="s">
        <v>170</v>
      </c>
      <c r="M188" s="181"/>
      <c r="N188" s="189"/>
      <c r="O188" s="402"/>
      <c r="P188" s="402"/>
      <c r="Q188" s="426"/>
      <c r="R188" s="467"/>
      <c r="S188" s="426"/>
      <c r="T188" s="468"/>
      <c r="U188" s="469"/>
      <c r="V188" s="408"/>
      <c r="W188" s="409"/>
      <c r="X188" s="409"/>
      <c r="Y188" s="410"/>
      <c r="Z188" s="411"/>
      <c r="AA188" s="413"/>
      <c r="AB188" s="402"/>
      <c r="AC188" s="401"/>
      <c r="AD188" s="401"/>
      <c r="AE188" s="203"/>
      <c r="AF188" s="363"/>
      <c r="AG188" s="415"/>
      <c r="AH188" s="363"/>
      <c r="AI188" s="364"/>
      <c r="AJ188" s="420"/>
      <c r="AK188" s="413"/>
      <c r="AL188" s="418"/>
      <c r="AM188" s="418"/>
      <c r="AN188" s="418"/>
      <c r="AO188" s="419"/>
      <c r="AP188" s="420"/>
      <c r="AQ188" s="413"/>
      <c r="AR188" s="418"/>
      <c r="AS188" s="418"/>
      <c r="AT188" s="418"/>
      <c r="AU188" s="419"/>
      <c r="AV188" s="416"/>
      <c r="AW188" s="413"/>
      <c r="AX188" s="418"/>
      <c r="AY188" s="418"/>
      <c r="AZ188" s="418"/>
      <c r="BA188" s="419"/>
      <c r="BB188" s="365"/>
      <c r="BC188" s="365"/>
      <c r="BD188" s="204"/>
      <c r="BE188" s="204"/>
      <c r="BF188" s="365"/>
      <c r="BG188" s="365"/>
      <c r="BH188" s="365"/>
      <c r="BI188" s="365"/>
      <c r="BJ188" s="204"/>
      <c r="BK188" s="204"/>
      <c r="BL188" s="365"/>
      <c r="BM188" s="365"/>
      <c r="BN188" s="365"/>
      <c r="BO188" s="365"/>
      <c r="BP188" s="204"/>
      <c r="BQ188" s="204"/>
      <c r="BR188" s="365"/>
      <c r="BS188" s="365"/>
      <c r="BT188" s="365"/>
      <c r="BU188" s="365"/>
      <c r="BV188" s="204"/>
      <c r="BW188" s="204"/>
      <c r="BX188" s="365"/>
      <c r="BY188" s="365"/>
      <c r="BZ188" s="365"/>
      <c r="CA188" s="365"/>
      <c r="CB188" s="204"/>
      <c r="CC188" s="204"/>
      <c r="CD188" s="365"/>
      <c r="CE188" s="365"/>
    </row>
    <row r="189" spans="1:84" x14ac:dyDescent="0.5">
      <c r="A189" s="227">
        <v>18095972</v>
      </c>
      <c r="B189" s="22">
        <v>18090822</v>
      </c>
      <c r="C189" s="55"/>
      <c r="D189" s="56"/>
      <c r="E189" s="57"/>
      <c r="F189" s="58"/>
      <c r="G189" s="59"/>
      <c r="H189" s="60"/>
      <c r="I189" s="269"/>
      <c r="J189" s="59"/>
      <c r="K189" s="22" t="s">
        <v>171</v>
      </c>
      <c r="L189" s="28" t="s">
        <v>172</v>
      </c>
      <c r="M189" s="22" t="s">
        <v>51</v>
      </c>
      <c r="N189" s="29">
        <v>17250</v>
      </c>
      <c r="O189" s="29">
        <v>1207.5</v>
      </c>
      <c r="P189" s="29">
        <f t="shared" ref="P189:P199" si="40">SUM(N189:O189)</f>
        <v>18457.5</v>
      </c>
      <c r="U189" s="34"/>
      <c r="V189" s="35"/>
      <c r="W189" s="36"/>
      <c r="X189" s="36"/>
      <c r="Y189" s="37"/>
      <c r="AA189" s="40">
        <v>18090358</v>
      </c>
      <c r="AB189" s="41">
        <v>17250</v>
      </c>
      <c r="AC189" s="64">
        <f t="shared" ref="AC189:AC195" si="41">AB189*7/100</f>
        <v>1207.5</v>
      </c>
      <c r="AD189" s="64">
        <f t="shared" ref="AD189:AD195" si="42">AB189+AC189</f>
        <v>18457.5</v>
      </c>
      <c r="AE189" s="53">
        <v>43392</v>
      </c>
      <c r="AF189" s="345" t="s">
        <v>869</v>
      </c>
      <c r="AG189" s="345"/>
      <c r="AH189" s="345"/>
      <c r="AI189" s="346" t="s">
        <v>1672</v>
      </c>
      <c r="AJ189" s="44">
        <v>1</v>
      </c>
      <c r="AK189" s="45" t="s">
        <v>610</v>
      </c>
      <c r="AN189" s="47">
        <v>1</v>
      </c>
      <c r="AO189" s="48" t="s">
        <v>628</v>
      </c>
      <c r="AP189" s="356"/>
      <c r="AQ189" s="356"/>
      <c r="AR189" s="44"/>
      <c r="AS189" s="44"/>
      <c r="AT189" s="356"/>
      <c r="AU189" s="54"/>
      <c r="AV189" s="356"/>
      <c r="AW189" s="356"/>
      <c r="AX189" s="44"/>
      <c r="AY189" s="44"/>
      <c r="AZ189" s="356"/>
      <c r="BA189" s="54"/>
      <c r="BB189" s="356"/>
      <c r="BC189" s="356"/>
      <c r="BD189" s="44"/>
      <c r="BE189" s="44"/>
      <c r="BF189" s="356"/>
      <c r="BG189" s="54"/>
      <c r="BH189" s="356"/>
      <c r="BI189" s="356"/>
      <c r="BJ189" s="44"/>
      <c r="BK189" s="44"/>
      <c r="BL189" s="356"/>
      <c r="BM189" s="356"/>
      <c r="BN189" s="356"/>
      <c r="BO189" s="356"/>
      <c r="BP189" s="44"/>
      <c r="BQ189" s="44"/>
      <c r="BR189" s="356"/>
      <c r="BS189" s="356"/>
      <c r="BT189" s="356"/>
      <c r="BU189" s="356"/>
      <c r="BV189" s="44"/>
      <c r="BW189" s="44"/>
      <c r="BX189" s="356"/>
      <c r="BY189" s="356"/>
      <c r="BZ189" s="356"/>
      <c r="CA189" s="356"/>
      <c r="CB189" s="44"/>
      <c r="CC189" s="44"/>
      <c r="CD189" s="356"/>
      <c r="CE189" s="356"/>
    </row>
    <row r="190" spans="1:84" x14ac:dyDescent="0.5">
      <c r="A190" s="227">
        <v>18095971</v>
      </c>
      <c r="B190" s="22">
        <v>18090820</v>
      </c>
      <c r="C190" s="55"/>
      <c r="D190" s="56"/>
      <c r="E190" s="57"/>
      <c r="F190" s="58"/>
      <c r="G190" s="59"/>
      <c r="H190" s="60"/>
      <c r="I190" s="269"/>
      <c r="J190" s="59"/>
      <c r="K190" s="22" t="s">
        <v>173</v>
      </c>
      <c r="L190" s="28" t="s">
        <v>174</v>
      </c>
      <c r="M190" s="22" t="s">
        <v>51</v>
      </c>
      <c r="N190" s="29">
        <v>12500</v>
      </c>
      <c r="O190" s="29">
        <v>875</v>
      </c>
      <c r="P190" s="29">
        <f t="shared" si="40"/>
        <v>13375</v>
      </c>
      <c r="U190" s="34"/>
      <c r="V190" s="35"/>
      <c r="W190" s="36"/>
      <c r="X190" s="36"/>
      <c r="Y190" s="37"/>
      <c r="AA190" s="40" t="s">
        <v>1023</v>
      </c>
      <c r="AB190" s="41">
        <v>12500</v>
      </c>
      <c r="AC190" s="64">
        <f t="shared" si="41"/>
        <v>875</v>
      </c>
      <c r="AD190" s="64">
        <f t="shared" si="42"/>
        <v>13375</v>
      </c>
      <c r="AE190" s="53">
        <v>43432</v>
      </c>
      <c r="AF190" s="39" t="s">
        <v>869</v>
      </c>
      <c r="AI190" s="21" t="s">
        <v>1669</v>
      </c>
      <c r="AJ190" s="44">
        <v>1</v>
      </c>
      <c r="AK190" s="45" t="s">
        <v>611</v>
      </c>
      <c r="AN190" s="47">
        <v>1</v>
      </c>
      <c r="AO190" s="48" t="s">
        <v>628</v>
      </c>
      <c r="AP190" s="356"/>
      <c r="AQ190" s="356"/>
      <c r="AR190" s="44"/>
      <c r="AS190" s="44"/>
      <c r="AT190" s="356"/>
      <c r="AU190" s="54"/>
      <c r="AV190" s="356"/>
      <c r="AW190" s="356"/>
      <c r="AX190" s="44"/>
      <c r="AY190" s="44"/>
      <c r="AZ190" s="356"/>
      <c r="BA190" s="54"/>
      <c r="BB190" s="356"/>
      <c r="BC190" s="356"/>
      <c r="BD190" s="44"/>
      <c r="BE190" s="44"/>
      <c r="BF190" s="356"/>
      <c r="BG190" s="54"/>
      <c r="BH190" s="356"/>
      <c r="BI190" s="356"/>
      <c r="BJ190" s="44"/>
      <c r="BK190" s="44"/>
      <c r="BL190" s="356"/>
      <c r="BM190" s="356"/>
      <c r="BN190" s="356"/>
      <c r="BO190" s="356"/>
      <c r="BP190" s="44"/>
      <c r="BQ190" s="44"/>
      <c r="BR190" s="356"/>
      <c r="BS190" s="356"/>
      <c r="BT190" s="356"/>
      <c r="BU190" s="356"/>
      <c r="BV190" s="44"/>
      <c r="BW190" s="44"/>
      <c r="BX190" s="356"/>
      <c r="BY190" s="356"/>
      <c r="BZ190" s="356"/>
      <c r="CA190" s="356"/>
      <c r="CB190" s="44"/>
      <c r="CC190" s="44"/>
      <c r="CD190" s="356"/>
      <c r="CE190" s="356"/>
    </row>
    <row r="191" spans="1:84" x14ac:dyDescent="0.5">
      <c r="A191" s="227">
        <v>18095970</v>
      </c>
      <c r="B191" s="22">
        <v>18090812</v>
      </c>
      <c r="C191" s="23">
        <v>196</v>
      </c>
      <c r="D191" s="24" t="s">
        <v>184</v>
      </c>
      <c r="E191" s="25" t="s">
        <v>185</v>
      </c>
      <c r="F191" s="26">
        <v>237</v>
      </c>
      <c r="G191" s="62">
        <v>43398</v>
      </c>
      <c r="H191" s="27">
        <v>18391</v>
      </c>
      <c r="I191" s="39" t="s">
        <v>869</v>
      </c>
      <c r="J191" s="62">
        <v>43399</v>
      </c>
      <c r="K191" s="22" t="s">
        <v>15</v>
      </c>
      <c r="L191" s="28" t="s">
        <v>175</v>
      </c>
      <c r="M191" s="22" t="s">
        <v>51</v>
      </c>
      <c r="N191" s="29">
        <v>229860</v>
      </c>
      <c r="O191" s="29">
        <v>16090.2</v>
      </c>
      <c r="P191" s="29">
        <f t="shared" si="40"/>
        <v>245950.2</v>
      </c>
      <c r="U191" s="34"/>
      <c r="V191" s="35"/>
      <c r="W191" s="36"/>
      <c r="X191" s="36"/>
      <c r="Y191" s="37"/>
      <c r="AA191" s="40">
        <v>18100404</v>
      </c>
      <c r="AB191" s="41">
        <v>229860</v>
      </c>
      <c r="AC191" s="64">
        <f t="shared" si="41"/>
        <v>16090.2</v>
      </c>
      <c r="AD191" s="64">
        <f t="shared" si="42"/>
        <v>245950.2</v>
      </c>
      <c r="AE191" s="53">
        <v>43437</v>
      </c>
      <c r="AF191" s="39" t="s">
        <v>869</v>
      </c>
      <c r="AI191" s="258" t="s">
        <v>1257</v>
      </c>
      <c r="AJ191" s="44">
        <v>1</v>
      </c>
      <c r="AK191" s="45" t="s">
        <v>612</v>
      </c>
      <c r="AM191" s="46" t="s">
        <v>1205</v>
      </c>
      <c r="AN191" s="47">
        <v>1</v>
      </c>
      <c r="AO191" s="48" t="s">
        <v>633</v>
      </c>
      <c r="AP191" s="44">
        <v>2</v>
      </c>
      <c r="AQ191" s="40" t="s">
        <v>612</v>
      </c>
      <c r="AS191" s="47" t="s">
        <v>1205</v>
      </c>
      <c r="AT191" s="47">
        <v>1</v>
      </c>
      <c r="AU191" s="49" t="s">
        <v>633</v>
      </c>
      <c r="AV191" s="44">
        <v>3</v>
      </c>
      <c r="AW191" s="40" t="s">
        <v>613</v>
      </c>
      <c r="AZ191" s="47">
        <v>1</v>
      </c>
      <c r="BA191" s="59"/>
      <c r="BB191" s="356"/>
      <c r="BC191" s="356"/>
      <c r="BD191" s="44"/>
      <c r="BE191" s="44"/>
      <c r="BF191" s="356"/>
      <c r="BG191" s="54"/>
      <c r="BH191" s="356"/>
      <c r="BI191" s="356"/>
      <c r="BJ191" s="44"/>
      <c r="BK191" s="44"/>
      <c r="BL191" s="356"/>
      <c r="BM191" s="356"/>
      <c r="BN191" s="356"/>
      <c r="BO191" s="356"/>
      <c r="BP191" s="44"/>
      <c r="BQ191" s="44"/>
      <c r="BR191" s="356"/>
      <c r="BS191" s="356"/>
      <c r="BT191" s="356"/>
      <c r="BU191" s="356"/>
      <c r="BV191" s="44"/>
      <c r="BW191" s="44"/>
      <c r="BX191" s="356"/>
      <c r="BY191" s="356"/>
      <c r="BZ191" s="356"/>
      <c r="CA191" s="356"/>
      <c r="CB191" s="44"/>
      <c r="CC191" s="44"/>
      <c r="CD191" s="356"/>
      <c r="CE191" s="356"/>
    </row>
    <row r="192" spans="1:84" x14ac:dyDescent="0.5">
      <c r="A192" s="227">
        <v>18095969</v>
      </c>
      <c r="B192" s="22">
        <v>18090813</v>
      </c>
      <c r="C192" s="23">
        <v>195</v>
      </c>
      <c r="D192" s="24" t="s">
        <v>184</v>
      </c>
      <c r="E192" s="25" t="s">
        <v>185</v>
      </c>
      <c r="F192" s="26">
        <v>222</v>
      </c>
      <c r="G192" s="62">
        <v>43377</v>
      </c>
      <c r="H192" s="27">
        <v>18350</v>
      </c>
      <c r="I192" s="39" t="s">
        <v>869</v>
      </c>
      <c r="J192" s="62">
        <v>43378</v>
      </c>
      <c r="K192" s="22" t="s">
        <v>119</v>
      </c>
      <c r="L192" s="28" t="s">
        <v>176</v>
      </c>
      <c r="M192" s="22" t="s">
        <v>51</v>
      </c>
      <c r="N192" s="29">
        <v>40000</v>
      </c>
      <c r="O192" s="29">
        <v>2800</v>
      </c>
      <c r="P192" s="29">
        <f t="shared" si="40"/>
        <v>42800</v>
      </c>
      <c r="U192" s="34"/>
      <c r="V192" s="35"/>
      <c r="W192" s="36"/>
      <c r="X192" s="36"/>
      <c r="Y192" s="37"/>
      <c r="AA192" s="40">
        <v>18100383</v>
      </c>
      <c r="AB192" s="41">
        <v>40000</v>
      </c>
      <c r="AC192" s="63">
        <f t="shared" si="41"/>
        <v>2800</v>
      </c>
      <c r="AD192" s="63">
        <f t="shared" si="42"/>
        <v>42800</v>
      </c>
      <c r="AE192" s="53">
        <v>43378</v>
      </c>
      <c r="AF192" s="345" t="s">
        <v>869</v>
      </c>
      <c r="AG192" s="345"/>
      <c r="AH192" s="345"/>
      <c r="AI192" s="346" t="s">
        <v>1193</v>
      </c>
      <c r="AJ192" s="44">
        <v>1</v>
      </c>
      <c r="AK192" s="45" t="s">
        <v>721</v>
      </c>
      <c r="AM192" s="46" t="s">
        <v>1205</v>
      </c>
      <c r="AN192" s="47">
        <v>1</v>
      </c>
      <c r="AO192" s="48" t="s">
        <v>633</v>
      </c>
      <c r="AP192" s="356"/>
      <c r="AQ192" s="356"/>
      <c r="AR192" s="44"/>
      <c r="AS192" s="44"/>
      <c r="AT192" s="356"/>
      <c r="AU192" s="54"/>
      <c r="AV192" s="356"/>
      <c r="AW192" s="356"/>
      <c r="AX192" s="44"/>
      <c r="AY192" s="44"/>
      <c r="AZ192" s="356"/>
      <c r="BA192" s="54"/>
      <c r="BB192" s="356"/>
      <c r="BC192" s="356"/>
      <c r="BD192" s="44"/>
      <c r="BE192" s="44"/>
      <c r="BF192" s="356"/>
      <c r="BG192" s="54"/>
      <c r="BH192" s="356"/>
      <c r="BI192" s="356"/>
      <c r="BJ192" s="44"/>
      <c r="BK192" s="44"/>
      <c r="BL192" s="356"/>
      <c r="BM192" s="356"/>
      <c r="BN192" s="356"/>
      <c r="BO192" s="356"/>
      <c r="BP192" s="44"/>
      <c r="BQ192" s="44"/>
      <c r="BR192" s="356"/>
      <c r="BS192" s="356"/>
      <c r="BT192" s="356"/>
      <c r="BU192" s="356"/>
      <c r="BV192" s="44"/>
      <c r="BW192" s="44"/>
      <c r="BX192" s="356"/>
      <c r="BY192" s="356"/>
      <c r="BZ192" s="356"/>
      <c r="CA192" s="356"/>
      <c r="CB192" s="44"/>
      <c r="CC192" s="44"/>
      <c r="CD192" s="356"/>
      <c r="CE192" s="356"/>
    </row>
    <row r="193" spans="1:84" x14ac:dyDescent="0.5">
      <c r="A193" s="227">
        <v>18095968</v>
      </c>
      <c r="B193" s="22">
        <v>18090814</v>
      </c>
      <c r="C193" s="55"/>
      <c r="D193" s="56"/>
      <c r="E193" s="57"/>
      <c r="F193" s="58"/>
      <c r="G193" s="59"/>
      <c r="H193" s="60"/>
      <c r="I193" s="269"/>
      <c r="J193" s="59"/>
      <c r="K193" s="22" t="s">
        <v>177</v>
      </c>
      <c r="L193" s="28" t="s">
        <v>178</v>
      </c>
      <c r="M193" s="22" t="s">
        <v>51</v>
      </c>
      <c r="N193" s="29">
        <v>14600</v>
      </c>
      <c r="O193" s="29">
        <v>1022</v>
      </c>
      <c r="P193" s="29">
        <f t="shared" si="40"/>
        <v>15622</v>
      </c>
      <c r="U193" s="34"/>
      <c r="V193" s="35"/>
      <c r="W193" s="36"/>
      <c r="X193" s="36"/>
      <c r="Y193" s="37"/>
      <c r="AA193" s="40">
        <v>18090352</v>
      </c>
      <c r="AB193" s="41">
        <v>14600</v>
      </c>
      <c r="AC193" s="63">
        <f t="shared" si="41"/>
        <v>1022</v>
      </c>
      <c r="AD193" s="63">
        <f t="shared" si="42"/>
        <v>15622</v>
      </c>
      <c r="AE193" s="53">
        <v>43391</v>
      </c>
      <c r="AF193" s="39" t="s">
        <v>869</v>
      </c>
      <c r="AI193" s="21" t="s">
        <v>1166</v>
      </c>
      <c r="AJ193" s="44">
        <v>1</v>
      </c>
      <c r="AK193" s="45" t="s">
        <v>614</v>
      </c>
      <c r="AN193" s="47">
        <v>2</v>
      </c>
      <c r="AO193" s="48" t="s">
        <v>628</v>
      </c>
      <c r="AP193" s="44">
        <v>2</v>
      </c>
      <c r="AQ193" s="40" t="s">
        <v>615</v>
      </c>
      <c r="AT193" s="47">
        <v>2</v>
      </c>
      <c r="AU193" s="49" t="s">
        <v>628</v>
      </c>
      <c r="AV193" s="356"/>
      <c r="AW193" s="356"/>
      <c r="AX193" s="44"/>
      <c r="AY193" s="44"/>
      <c r="AZ193" s="356"/>
      <c r="BA193" s="54"/>
      <c r="BB193" s="356"/>
      <c r="BC193" s="356"/>
      <c r="BD193" s="44"/>
      <c r="BE193" s="44"/>
      <c r="BF193" s="356"/>
      <c r="BG193" s="54"/>
      <c r="BH193" s="356"/>
      <c r="BI193" s="356"/>
      <c r="BJ193" s="44"/>
      <c r="BK193" s="44"/>
      <c r="BL193" s="356"/>
      <c r="BM193" s="356"/>
      <c r="BN193" s="356"/>
      <c r="BO193" s="356"/>
      <c r="BP193" s="44"/>
      <c r="BQ193" s="44"/>
      <c r="BR193" s="356"/>
      <c r="BS193" s="356"/>
      <c r="BT193" s="356"/>
      <c r="BU193" s="356"/>
      <c r="BV193" s="44"/>
      <c r="BW193" s="44"/>
      <c r="BX193" s="356"/>
      <c r="BY193" s="356"/>
      <c r="BZ193" s="356"/>
      <c r="CA193" s="356"/>
      <c r="CB193" s="44"/>
      <c r="CC193" s="44"/>
      <c r="CD193" s="356"/>
      <c r="CE193" s="356"/>
    </row>
    <row r="194" spans="1:84" x14ac:dyDescent="0.5">
      <c r="A194" s="369">
        <v>18095967</v>
      </c>
      <c r="B194" s="370">
        <v>18090811</v>
      </c>
      <c r="C194" s="371">
        <v>194</v>
      </c>
      <c r="D194" s="372" t="s">
        <v>184</v>
      </c>
      <c r="E194" s="373" t="s">
        <v>185</v>
      </c>
      <c r="F194" s="374">
        <v>183</v>
      </c>
      <c r="G194" s="211">
        <v>43360</v>
      </c>
      <c r="H194" s="164">
        <v>18311</v>
      </c>
      <c r="I194" s="127" t="s">
        <v>869</v>
      </c>
      <c r="J194" s="221">
        <v>43360</v>
      </c>
      <c r="K194" s="375" t="s">
        <v>19</v>
      </c>
      <c r="L194" s="375" t="s">
        <v>88</v>
      </c>
      <c r="M194" s="375" t="s">
        <v>51</v>
      </c>
      <c r="N194" s="376">
        <v>1522920</v>
      </c>
      <c r="O194" s="376">
        <v>106604.4</v>
      </c>
      <c r="P194" s="376">
        <f t="shared" si="40"/>
        <v>1629524.4</v>
      </c>
      <c r="Q194" s="470"/>
      <c r="R194" s="471"/>
      <c r="S194" s="472"/>
      <c r="T194" s="380"/>
      <c r="U194" s="473"/>
      <c r="V194" s="474"/>
      <c r="W194" s="475"/>
      <c r="X194" s="475"/>
      <c r="Y194" s="476"/>
      <c r="Z194" s="477"/>
      <c r="AA194" s="394">
        <v>18100374</v>
      </c>
      <c r="AB194" s="478">
        <v>870240</v>
      </c>
      <c r="AC194" s="479">
        <f t="shared" si="41"/>
        <v>60916.800000000003</v>
      </c>
      <c r="AD194" s="479">
        <f t="shared" si="42"/>
        <v>931156.8</v>
      </c>
      <c r="AE194" s="126">
        <v>43376</v>
      </c>
      <c r="AF194" s="423" t="s">
        <v>869</v>
      </c>
      <c r="AG194" s="480"/>
      <c r="AH194" s="359"/>
      <c r="AI194" s="360" t="s">
        <v>1266</v>
      </c>
      <c r="AJ194" s="390">
        <v>1</v>
      </c>
      <c r="AK194" s="391" t="s">
        <v>644</v>
      </c>
      <c r="AL194" s="392"/>
      <c r="AM194" s="392" t="s">
        <v>1205</v>
      </c>
      <c r="AN194" s="392">
        <v>1</v>
      </c>
      <c r="AO194" s="393" t="s">
        <v>633</v>
      </c>
      <c r="AP194" s="390">
        <v>2</v>
      </c>
      <c r="AQ194" s="394" t="s">
        <v>643</v>
      </c>
      <c r="AR194" s="392"/>
      <c r="AS194" s="392" t="s">
        <v>1205</v>
      </c>
      <c r="AT194" s="392">
        <v>1</v>
      </c>
      <c r="AU194" s="393" t="s">
        <v>633</v>
      </c>
      <c r="AV194" s="390">
        <v>3</v>
      </c>
      <c r="AW194" s="391" t="s">
        <v>642</v>
      </c>
      <c r="AX194" s="392"/>
      <c r="AY194" s="392" t="s">
        <v>1205</v>
      </c>
      <c r="AZ194" s="392">
        <v>1</v>
      </c>
      <c r="BA194" s="393" t="s">
        <v>633</v>
      </c>
      <c r="BB194" s="390">
        <v>4</v>
      </c>
      <c r="BC194" s="394" t="s">
        <v>638</v>
      </c>
      <c r="BD194" s="392"/>
      <c r="BE194" s="392" t="s">
        <v>1205</v>
      </c>
      <c r="BF194" s="392">
        <v>2</v>
      </c>
      <c r="BG194" s="393" t="s">
        <v>633</v>
      </c>
      <c r="BH194" s="390">
        <v>5</v>
      </c>
      <c r="BI194" s="394" t="s">
        <v>639</v>
      </c>
      <c r="BJ194" s="131"/>
      <c r="BK194" s="392" t="s">
        <v>1205</v>
      </c>
      <c r="BL194" s="392">
        <v>1</v>
      </c>
      <c r="BM194" s="393" t="s">
        <v>633</v>
      </c>
      <c r="BN194" s="390">
        <v>6</v>
      </c>
      <c r="BO194" s="391" t="s">
        <v>640</v>
      </c>
      <c r="BP194" s="392"/>
      <c r="BQ194" s="392" t="s">
        <v>1205</v>
      </c>
      <c r="BR194" s="392">
        <v>1</v>
      </c>
      <c r="BS194" s="393" t="s">
        <v>633</v>
      </c>
      <c r="BT194" s="390">
        <v>7</v>
      </c>
      <c r="BU194" s="394" t="s">
        <v>641</v>
      </c>
      <c r="BV194" s="392"/>
      <c r="BW194" s="392" t="s">
        <v>1205</v>
      </c>
      <c r="BX194" s="392">
        <v>1</v>
      </c>
      <c r="BY194" s="393" t="s">
        <v>633</v>
      </c>
      <c r="BZ194" s="361"/>
      <c r="CA194" s="361"/>
      <c r="CB194" s="128"/>
      <c r="CC194" s="128"/>
      <c r="CD194" s="361"/>
      <c r="CE194" s="361"/>
    </row>
    <row r="195" spans="1:84" x14ac:dyDescent="0.5">
      <c r="A195" s="481"/>
      <c r="B195" s="256"/>
      <c r="C195" s="482"/>
      <c r="D195" s="483"/>
      <c r="E195" s="484" t="s">
        <v>185</v>
      </c>
      <c r="F195" s="485">
        <v>204</v>
      </c>
      <c r="G195" s="179">
        <v>43361</v>
      </c>
      <c r="H195" s="140">
        <v>18313</v>
      </c>
      <c r="I195" s="252"/>
      <c r="J195" s="295">
        <v>43361</v>
      </c>
      <c r="K195" s="433"/>
      <c r="L195" s="433"/>
      <c r="M195" s="433"/>
      <c r="N195" s="436"/>
      <c r="O195" s="436"/>
      <c r="P195" s="436"/>
      <c r="Q195" s="486"/>
      <c r="R195" s="487"/>
      <c r="S195" s="488"/>
      <c r="T195" s="440"/>
      <c r="U195" s="489"/>
      <c r="V195" s="490"/>
      <c r="W195" s="491"/>
      <c r="X195" s="491"/>
      <c r="Y195" s="492"/>
      <c r="Z195" s="493"/>
      <c r="AA195" s="448">
        <v>18090349</v>
      </c>
      <c r="AB195" s="494">
        <v>652680</v>
      </c>
      <c r="AC195" s="495">
        <f t="shared" si="41"/>
        <v>45687.6</v>
      </c>
      <c r="AD195" s="495">
        <f t="shared" si="42"/>
        <v>698367.6</v>
      </c>
      <c r="AE195" s="157">
        <v>43360</v>
      </c>
      <c r="AF195" s="496" t="s">
        <v>869</v>
      </c>
      <c r="AG195" s="497"/>
      <c r="AH195" s="496"/>
      <c r="AI195" s="498" t="s">
        <v>1033</v>
      </c>
      <c r="AJ195" s="453"/>
      <c r="AK195" s="456"/>
      <c r="AL195" s="454"/>
      <c r="AM195" s="454"/>
      <c r="AN195" s="454"/>
      <c r="AO195" s="457"/>
      <c r="AP195" s="453"/>
      <c r="AQ195" s="448"/>
      <c r="AR195" s="454"/>
      <c r="AS195" s="454"/>
      <c r="AT195" s="454"/>
      <c r="AU195" s="457"/>
      <c r="AV195" s="453"/>
      <c r="AW195" s="456"/>
      <c r="AX195" s="454"/>
      <c r="AY195" s="454"/>
      <c r="AZ195" s="454"/>
      <c r="BA195" s="457"/>
      <c r="BB195" s="453"/>
      <c r="BC195" s="448"/>
      <c r="BD195" s="454"/>
      <c r="BE195" s="454"/>
      <c r="BF195" s="454"/>
      <c r="BG195" s="457"/>
      <c r="BH195" s="453"/>
      <c r="BI195" s="448"/>
      <c r="BJ195" s="161"/>
      <c r="BK195" s="454"/>
      <c r="BL195" s="454"/>
      <c r="BM195" s="457"/>
      <c r="BN195" s="453"/>
      <c r="BO195" s="456"/>
      <c r="BP195" s="454"/>
      <c r="BQ195" s="454"/>
      <c r="BR195" s="454"/>
      <c r="BS195" s="457"/>
      <c r="BT195" s="453"/>
      <c r="BU195" s="448"/>
      <c r="BV195" s="454"/>
      <c r="BW195" s="454"/>
      <c r="BX195" s="454"/>
      <c r="BY195" s="457"/>
      <c r="BZ195" s="458"/>
      <c r="CA195" s="458"/>
      <c r="CB195" s="158"/>
      <c r="CC195" s="158"/>
      <c r="CD195" s="458"/>
      <c r="CE195" s="458"/>
    </row>
    <row r="196" spans="1:84" x14ac:dyDescent="0.5">
      <c r="A196" s="396">
        <v>18095967</v>
      </c>
      <c r="B196" s="241"/>
      <c r="C196" s="397"/>
      <c r="D196" s="398"/>
      <c r="E196" s="499" t="s">
        <v>185</v>
      </c>
      <c r="F196" s="400">
        <v>244</v>
      </c>
      <c r="G196" s="153">
        <v>43398</v>
      </c>
      <c r="H196" s="187">
        <v>18390</v>
      </c>
      <c r="I196" s="257"/>
      <c r="J196" s="203">
        <v>43398</v>
      </c>
      <c r="K196" s="401" t="s">
        <v>19</v>
      </c>
      <c r="L196" s="500" t="s">
        <v>88</v>
      </c>
      <c r="M196" s="401"/>
      <c r="N196" s="402"/>
      <c r="O196" s="402"/>
      <c r="P196" s="402"/>
      <c r="Q196" s="501"/>
      <c r="R196" s="502"/>
      <c r="S196" s="503"/>
      <c r="T196" s="406"/>
      <c r="U196" s="504"/>
      <c r="V196" s="505"/>
      <c r="W196" s="506"/>
      <c r="X196" s="506"/>
      <c r="Y196" s="507"/>
      <c r="Z196" s="508"/>
      <c r="AA196" s="413"/>
      <c r="AB196" s="509"/>
      <c r="AC196" s="510"/>
      <c r="AD196" s="510"/>
      <c r="AE196" s="203"/>
      <c r="AF196" s="428"/>
      <c r="AG196" s="511"/>
      <c r="AH196" s="428"/>
      <c r="AI196" s="512"/>
      <c r="AJ196" s="420"/>
      <c r="AK196" s="513"/>
      <c r="AL196" s="514"/>
      <c r="AM196" s="514"/>
      <c r="AN196" s="418"/>
      <c r="AO196" s="515"/>
      <c r="AP196" s="420"/>
      <c r="AQ196" s="413"/>
      <c r="AR196" s="418"/>
      <c r="AS196" s="418"/>
      <c r="AT196" s="418"/>
      <c r="AU196" s="419"/>
      <c r="AV196" s="420"/>
      <c r="AW196" s="417"/>
      <c r="AX196" s="418"/>
      <c r="AY196" s="418"/>
      <c r="AZ196" s="418"/>
      <c r="BA196" s="419"/>
      <c r="BB196" s="420"/>
      <c r="BC196" s="413"/>
      <c r="BD196" s="418"/>
      <c r="BE196" s="418"/>
      <c r="BF196" s="418"/>
      <c r="BG196" s="419"/>
      <c r="BH196" s="420"/>
      <c r="BI196" s="413"/>
      <c r="BJ196" s="207"/>
      <c r="BK196" s="418"/>
      <c r="BL196" s="418"/>
      <c r="BM196" s="419"/>
      <c r="BN196" s="420"/>
      <c r="BO196" s="417"/>
      <c r="BP196" s="418"/>
      <c r="BQ196" s="418"/>
      <c r="BR196" s="418"/>
      <c r="BS196" s="419"/>
      <c r="BT196" s="420"/>
      <c r="BU196" s="413"/>
      <c r="BV196" s="418"/>
      <c r="BW196" s="418"/>
      <c r="BX196" s="418"/>
      <c r="BY196" s="419"/>
      <c r="BZ196" s="365"/>
      <c r="CA196" s="365"/>
      <c r="CB196" s="204"/>
      <c r="CC196" s="204"/>
      <c r="CD196" s="365"/>
      <c r="CE196" s="365"/>
    </row>
    <row r="197" spans="1:84" x14ac:dyDescent="0.5">
      <c r="A197" s="227">
        <v>18095966</v>
      </c>
      <c r="B197" s="22">
        <v>18090807</v>
      </c>
      <c r="C197" s="23">
        <v>193</v>
      </c>
      <c r="D197" s="24" t="s">
        <v>184</v>
      </c>
      <c r="E197" s="25" t="s">
        <v>185</v>
      </c>
      <c r="F197" s="26">
        <v>203</v>
      </c>
      <c r="G197" s="62">
        <v>43360</v>
      </c>
      <c r="H197" s="27">
        <v>18310</v>
      </c>
      <c r="I197" s="39" t="s">
        <v>869</v>
      </c>
      <c r="J197" s="62">
        <v>43360</v>
      </c>
      <c r="K197" s="22" t="s">
        <v>20</v>
      </c>
      <c r="L197" s="28" t="s">
        <v>179</v>
      </c>
      <c r="M197" s="22" t="s">
        <v>51</v>
      </c>
      <c r="N197" s="29">
        <v>18018</v>
      </c>
      <c r="O197" s="29">
        <v>1261.26</v>
      </c>
      <c r="P197" s="29">
        <f t="shared" si="40"/>
        <v>19279.259999999998</v>
      </c>
      <c r="U197" s="34"/>
      <c r="V197" s="35"/>
      <c r="W197" s="36"/>
      <c r="X197" s="36"/>
      <c r="Y197" s="37"/>
      <c r="AA197" s="40">
        <v>18090346</v>
      </c>
      <c r="AB197" s="41">
        <v>18018</v>
      </c>
      <c r="AC197" s="64">
        <f t="shared" ref="AC197:AC202" si="43">AB197*7/100</f>
        <v>1261.26</v>
      </c>
      <c r="AD197" s="64">
        <f t="shared" ref="AD197:AD202" si="44">AB197+AC197</f>
        <v>19279.259999999998</v>
      </c>
      <c r="AE197" s="53">
        <v>43390</v>
      </c>
      <c r="AF197" s="39" t="s">
        <v>869</v>
      </c>
      <c r="AI197" s="21" t="s">
        <v>1172</v>
      </c>
      <c r="AJ197" s="44">
        <v>1</v>
      </c>
      <c r="AK197" s="45" t="s">
        <v>746</v>
      </c>
      <c r="AM197" s="46" t="s">
        <v>1205</v>
      </c>
      <c r="AN197" s="47">
        <v>1</v>
      </c>
      <c r="AO197" s="48" t="s">
        <v>633</v>
      </c>
      <c r="AP197" s="356"/>
      <c r="AQ197" s="356"/>
      <c r="AR197" s="44"/>
      <c r="AS197" s="44"/>
      <c r="AT197" s="356"/>
      <c r="AU197" s="54"/>
      <c r="AV197" s="356"/>
      <c r="AW197" s="356"/>
      <c r="AX197" s="44"/>
      <c r="AY197" s="44"/>
      <c r="AZ197" s="356"/>
      <c r="BA197" s="54"/>
      <c r="BB197" s="356"/>
      <c r="BC197" s="356"/>
      <c r="BD197" s="44"/>
      <c r="BE197" s="44"/>
      <c r="BF197" s="356"/>
      <c r="BG197" s="54"/>
      <c r="BH197" s="356"/>
      <c r="BI197" s="356"/>
      <c r="BJ197" s="44"/>
      <c r="BK197" s="44"/>
      <c r="BL197" s="356"/>
      <c r="BM197" s="356"/>
      <c r="BN197" s="356"/>
      <c r="BO197" s="356"/>
      <c r="BP197" s="44"/>
      <c r="BQ197" s="44"/>
      <c r="BR197" s="356"/>
      <c r="BS197" s="356"/>
      <c r="BT197" s="356"/>
      <c r="BU197" s="356"/>
      <c r="BV197" s="44"/>
      <c r="BW197" s="44"/>
      <c r="BX197" s="356"/>
      <c r="BY197" s="356"/>
      <c r="BZ197" s="356"/>
      <c r="CA197" s="356"/>
      <c r="CB197" s="44"/>
      <c r="CC197" s="44"/>
      <c r="CD197" s="44"/>
      <c r="CE197" s="44"/>
    </row>
    <row r="198" spans="1:84" x14ac:dyDescent="0.5">
      <c r="A198" s="227">
        <v>18095965</v>
      </c>
      <c r="B198" s="22">
        <v>18090804</v>
      </c>
      <c r="C198" s="55"/>
      <c r="D198" s="56"/>
      <c r="E198" s="57"/>
      <c r="F198" s="58"/>
      <c r="G198" s="59"/>
      <c r="H198" s="60"/>
      <c r="I198" s="269"/>
      <c r="J198" s="59"/>
      <c r="K198" s="22" t="s">
        <v>20</v>
      </c>
      <c r="L198" s="28" t="s">
        <v>180</v>
      </c>
      <c r="M198" s="22" t="s">
        <v>51</v>
      </c>
      <c r="N198" s="29">
        <v>14800</v>
      </c>
      <c r="O198" s="29">
        <v>1036</v>
      </c>
      <c r="P198" s="29">
        <f t="shared" si="40"/>
        <v>15836</v>
      </c>
      <c r="U198" s="34"/>
      <c r="V198" s="35"/>
      <c r="W198" s="36"/>
      <c r="X198" s="36"/>
      <c r="Y198" s="37"/>
      <c r="AA198" s="40">
        <v>18090345</v>
      </c>
      <c r="AB198" s="41">
        <v>14800</v>
      </c>
      <c r="AC198" s="64">
        <f t="shared" si="43"/>
        <v>1036</v>
      </c>
      <c r="AD198" s="64">
        <f t="shared" si="44"/>
        <v>15836</v>
      </c>
      <c r="AE198" s="53">
        <v>43390</v>
      </c>
      <c r="AF198" s="39" t="s">
        <v>869</v>
      </c>
      <c r="AI198" s="21" t="s">
        <v>1172</v>
      </c>
      <c r="AJ198" s="44">
        <v>1</v>
      </c>
      <c r="AK198" s="45" t="s">
        <v>404</v>
      </c>
      <c r="AN198" s="47">
        <v>1</v>
      </c>
      <c r="AO198" s="102"/>
      <c r="AP198" s="356"/>
      <c r="AQ198" s="356"/>
      <c r="AR198" s="44"/>
      <c r="AS198" s="44"/>
      <c r="AT198" s="356"/>
      <c r="AU198" s="54"/>
      <c r="AV198" s="356"/>
      <c r="AW198" s="356"/>
      <c r="AX198" s="44"/>
      <c r="AY198" s="44"/>
      <c r="AZ198" s="356"/>
      <c r="BA198" s="54"/>
      <c r="BB198" s="356"/>
      <c r="BC198" s="356"/>
      <c r="BD198" s="44"/>
      <c r="BE198" s="44"/>
      <c r="BF198" s="356"/>
      <c r="BG198" s="54"/>
      <c r="BH198" s="356"/>
      <c r="BI198" s="356"/>
      <c r="BJ198" s="44"/>
      <c r="BK198" s="44"/>
      <c r="BL198" s="356"/>
      <c r="BM198" s="356"/>
      <c r="BN198" s="356"/>
      <c r="BO198" s="356"/>
      <c r="BP198" s="44"/>
      <c r="BQ198" s="44"/>
      <c r="BR198" s="356"/>
      <c r="BS198" s="356"/>
      <c r="BT198" s="356"/>
      <c r="BU198" s="356"/>
      <c r="BV198" s="44"/>
      <c r="BW198" s="44"/>
      <c r="BX198" s="356"/>
      <c r="BY198" s="356"/>
      <c r="BZ198" s="356"/>
      <c r="CA198" s="356"/>
      <c r="CB198" s="44"/>
      <c r="CC198" s="44"/>
      <c r="CD198" s="44"/>
      <c r="CE198" s="44"/>
    </row>
    <row r="199" spans="1:84" x14ac:dyDescent="0.5">
      <c r="A199" s="21">
        <v>18095964</v>
      </c>
      <c r="B199" s="22">
        <v>18090803</v>
      </c>
      <c r="C199" s="55"/>
      <c r="D199" s="56"/>
      <c r="E199" s="57"/>
      <c r="F199" s="58"/>
      <c r="G199" s="59"/>
      <c r="H199" s="60"/>
      <c r="I199" s="269"/>
      <c r="J199" s="59"/>
      <c r="K199" s="22" t="s">
        <v>171</v>
      </c>
      <c r="L199" s="28" t="s">
        <v>181</v>
      </c>
      <c r="M199" s="22" t="s">
        <v>51</v>
      </c>
      <c r="N199" s="63">
        <v>14600</v>
      </c>
      <c r="O199" s="63">
        <v>1022</v>
      </c>
      <c r="P199" s="63">
        <f t="shared" si="40"/>
        <v>15622</v>
      </c>
      <c r="AA199" s="40">
        <v>18090355</v>
      </c>
      <c r="AB199" s="41">
        <v>14600</v>
      </c>
      <c r="AC199" s="63">
        <f t="shared" si="43"/>
        <v>1022</v>
      </c>
      <c r="AD199" s="63">
        <f t="shared" si="44"/>
        <v>15622</v>
      </c>
      <c r="AE199" s="53">
        <v>43392</v>
      </c>
      <c r="AJ199" s="44">
        <v>1</v>
      </c>
      <c r="AK199" s="45" t="s">
        <v>616</v>
      </c>
      <c r="AN199" s="47">
        <v>1</v>
      </c>
      <c r="AO199" s="48" t="s">
        <v>628</v>
      </c>
      <c r="AP199" s="356"/>
      <c r="AQ199" s="356"/>
      <c r="AR199" s="44"/>
      <c r="AS199" s="44"/>
      <c r="AT199" s="356"/>
      <c r="AU199" s="54"/>
      <c r="AV199" s="356"/>
      <c r="AW199" s="356"/>
      <c r="AX199" s="44"/>
      <c r="AY199" s="44"/>
      <c r="AZ199" s="356"/>
      <c r="BA199" s="54"/>
      <c r="BB199" s="356"/>
      <c r="BC199" s="356"/>
      <c r="BD199" s="44"/>
      <c r="BE199" s="44"/>
      <c r="BF199" s="356"/>
      <c r="BG199" s="54"/>
      <c r="BH199" s="356"/>
      <c r="BI199" s="356"/>
      <c r="BJ199" s="44"/>
      <c r="BK199" s="44"/>
      <c r="BL199" s="356"/>
      <c r="BM199" s="356"/>
      <c r="BN199" s="356"/>
      <c r="BO199" s="356"/>
      <c r="BP199" s="44"/>
      <c r="BQ199" s="44"/>
      <c r="BR199" s="356"/>
      <c r="BS199" s="356"/>
      <c r="BT199" s="356"/>
      <c r="BU199" s="356"/>
      <c r="BV199" s="44"/>
      <c r="BW199" s="44"/>
      <c r="BX199" s="356"/>
      <c r="BY199" s="356"/>
      <c r="BZ199" s="356"/>
      <c r="CA199" s="356"/>
      <c r="CB199" s="44"/>
      <c r="CC199" s="44"/>
      <c r="CD199" s="44"/>
      <c r="CE199" s="44"/>
    </row>
    <row r="200" spans="1:84" x14ac:dyDescent="0.5">
      <c r="A200" s="227">
        <v>18095963</v>
      </c>
      <c r="B200" s="22">
        <v>17070760</v>
      </c>
      <c r="C200" s="55"/>
      <c r="D200" s="56"/>
      <c r="E200" s="57"/>
      <c r="F200" s="58"/>
      <c r="G200" s="59"/>
      <c r="H200" s="60"/>
      <c r="I200" s="39" t="s">
        <v>869</v>
      </c>
      <c r="K200" s="42" t="s">
        <v>9</v>
      </c>
      <c r="M200" s="22" t="s">
        <v>50</v>
      </c>
      <c r="AA200" s="40">
        <v>18090338</v>
      </c>
      <c r="AB200" s="41">
        <v>62000</v>
      </c>
      <c r="AC200" s="63">
        <f t="shared" si="43"/>
        <v>4340</v>
      </c>
      <c r="AD200" s="64">
        <f t="shared" si="44"/>
        <v>66340</v>
      </c>
      <c r="AE200" s="53">
        <v>43355</v>
      </c>
      <c r="AF200" s="39" t="s">
        <v>869</v>
      </c>
      <c r="AI200" s="21" t="s">
        <v>1168</v>
      </c>
      <c r="AJ200" s="44">
        <v>1</v>
      </c>
      <c r="AP200" s="44">
        <v>2</v>
      </c>
      <c r="AV200" s="44">
        <v>3</v>
      </c>
      <c r="BB200" s="44">
        <v>4</v>
      </c>
      <c r="BH200" s="44">
        <v>5</v>
      </c>
      <c r="BN200" s="44">
        <v>6</v>
      </c>
      <c r="BT200" s="44">
        <v>7</v>
      </c>
      <c r="BZ200" s="44">
        <v>8</v>
      </c>
    </row>
    <row r="201" spans="1:84" x14ac:dyDescent="0.5">
      <c r="A201" s="227">
        <v>18095962</v>
      </c>
      <c r="B201" s="22">
        <v>18090800</v>
      </c>
      <c r="C201" s="23">
        <v>192</v>
      </c>
      <c r="D201" s="24" t="s">
        <v>184</v>
      </c>
      <c r="E201" s="25" t="s">
        <v>185</v>
      </c>
      <c r="F201" s="26">
        <v>205</v>
      </c>
      <c r="G201" s="62">
        <v>43360</v>
      </c>
      <c r="H201" s="27">
        <v>18312</v>
      </c>
      <c r="I201" s="39" t="s">
        <v>869</v>
      </c>
      <c r="J201" s="62">
        <v>43360</v>
      </c>
      <c r="K201" s="42" t="s">
        <v>10</v>
      </c>
      <c r="L201" s="520" t="s">
        <v>26</v>
      </c>
      <c r="M201" s="22" t="s">
        <v>51</v>
      </c>
      <c r="N201" s="63">
        <v>160000</v>
      </c>
      <c r="O201" s="63">
        <v>11200</v>
      </c>
      <c r="P201" s="63">
        <f t="shared" ref="P201:P213" si="45">SUM(N201:O201)</f>
        <v>171200</v>
      </c>
      <c r="AA201" s="40">
        <v>18090360</v>
      </c>
      <c r="AB201" s="41">
        <v>160000</v>
      </c>
      <c r="AC201" s="63">
        <f t="shared" si="43"/>
        <v>11200</v>
      </c>
      <c r="AD201" s="63">
        <f t="shared" si="44"/>
        <v>171200</v>
      </c>
      <c r="AE201" s="53">
        <v>43408</v>
      </c>
      <c r="AF201" s="345" t="s">
        <v>869</v>
      </c>
      <c r="AG201" s="345"/>
      <c r="AH201" s="345"/>
      <c r="AI201" s="346" t="s">
        <v>1187</v>
      </c>
      <c r="AJ201" s="44">
        <v>1</v>
      </c>
      <c r="AK201" s="45" t="s">
        <v>747</v>
      </c>
      <c r="AM201" s="46" t="s">
        <v>1205</v>
      </c>
      <c r="AN201" s="47">
        <v>1</v>
      </c>
      <c r="AO201" s="48" t="s">
        <v>633</v>
      </c>
      <c r="AP201" s="356"/>
      <c r="AQ201" s="356"/>
      <c r="AR201" s="44"/>
      <c r="AS201" s="44"/>
      <c r="AT201" s="356"/>
      <c r="AU201" s="356"/>
      <c r="AV201" s="356"/>
      <c r="AW201" s="356"/>
      <c r="AX201" s="44"/>
      <c r="AY201" s="44"/>
      <c r="AZ201" s="356"/>
      <c r="BA201" s="356"/>
      <c r="BB201" s="356"/>
      <c r="BC201" s="356"/>
      <c r="BD201" s="44"/>
      <c r="BE201" s="44"/>
      <c r="BF201" s="356"/>
      <c r="BG201" s="356"/>
      <c r="BH201" s="356"/>
      <c r="BI201" s="356"/>
      <c r="BJ201" s="44"/>
      <c r="BK201" s="44"/>
      <c r="BL201" s="356"/>
      <c r="BM201" s="356"/>
      <c r="BN201" s="356"/>
      <c r="BO201" s="356"/>
      <c r="BP201" s="44"/>
      <c r="BQ201" s="44"/>
      <c r="BR201" s="356"/>
      <c r="BS201" s="356"/>
      <c r="BT201" s="356"/>
      <c r="BU201" s="356"/>
      <c r="BV201" s="44"/>
      <c r="BW201" s="44"/>
      <c r="BX201" s="356"/>
      <c r="BY201" s="356"/>
      <c r="CA201" s="44"/>
      <c r="CB201" s="44"/>
      <c r="CC201" s="44"/>
      <c r="CD201" s="44"/>
      <c r="CE201" s="44"/>
      <c r="CF201" s="51" t="s">
        <v>531</v>
      </c>
    </row>
    <row r="202" spans="1:84" x14ac:dyDescent="0.5">
      <c r="A202" s="227">
        <v>18095961</v>
      </c>
      <c r="B202" s="22">
        <v>18090794</v>
      </c>
      <c r="C202" s="55"/>
      <c r="D202" s="56"/>
      <c r="E202" s="57"/>
      <c r="F202" s="58"/>
      <c r="G202" s="59"/>
      <c r="H202" s="60"/>
      <c r="K202" s="42" t="s">
        <v>11</v>
      </c>
      <c r="L202" s="520" t="s">
        <v>27</v>
      </c>
      <c r="M202" s="22" t="s">
        <v>50</v>
      </c>
      <c r="N202" s="63">
        <v>150000</v>
      </c>
      <c r="O202" s="63">
        <v>10500</v>
      </c>
      <c r="P202" s="63">
        <f t="shared" si="45"/>
        <v>160500</v>
      </c>
      <c r="AA202" s="40">
        <v>18110433</v>
      </c>
      <c r="AB202" s="41">
        <v>150000</v>
      </c>
      <c r="AC202" s="63">
        <f t="shared" si="43"/>
        <v>10500</v>
      </c>
      <c r="AD202" s="63">
        <f t="shared" si="44"/>
        <v>160500</v>
      </c>
      <c r="AE202" s="53">
        <v>43421</v>
      </c>
      <c r="AF202" s="39" t="s">
        <v>869</v>
      </c>
      <c r="AI202" s="21" t="s">
        <v>1304</v>
      </c>
      <c r="AJ202" s="44">
        <v>1</v>
      </c>
      <c r="AK202" s="45" t="s">
        <v>404</v>
      </c>
      <c r="AN202" s="47">
        <v>5</v>
      </c>
      <c r="AO202" s="102"/>
      <c r="AP202" s="356"/>
      <c r="AQ202" s="356"/>
      <c r="AR202" s="44"/>
      <c r="AS202" s="44"/>
      <c r="AT202" s="356"/>
      <c r="AU202" s="356"/>
      <c r="AV202" s="356"/>
      <c r="AW202" s="356"/>
      <c r="AX202" s="44"/>
      <c r="AY202" s="44"/>
      <c r="AZ202" s="356"/>
      <c r="BA202" s="356"/>
      <c r="BB202" s="356"/>
      <c r="BC202" s="356"/>
      <c r="BD202" s="44"/>
      <c r="BE202" s="44"/>
      <c r="BF202" s="356"/>
      <c r="BG202" s="356"/>
      <c r="BH202" s="356"/>
      <c r="BI202" s="356"/>
      <c r="BJ202" s="44"/>
      <c r="BK202" s="44"/>
      <c r="BL202" s="356"/>
      <c r="BM202" s="356"/>
      <c r="BN202" s="356"/>
      <c r="BO202" s="356"/>
      <c r="BP202" s="44"/>
      <c r="BQ202" s="44"/>
      <c r="BR202" s="356"/>
      <c r="BS202" s="356"/>
      <c r="BT202" s="356"/>
      <c r="BU202" s="356"/>
      <c r="BV202" s="44"/>
      <c r="BW202" s="44"/>
      <c r="BX202" s="356"/>
      <c r="BY202" s="356"/>
      <c r="CA202" s="44"/>
      <c r="CB202" s="44"/>
      <c r="CC202" s="44"/>
      <c r="CD202" s="44"/>
      <c r="CE202" s="44"/>
    </row>
    <row r="203" spans="1:84" x14ac:dyDescent="0.5">
      <c r="A203" s="369">
        <v>18095960</v>
      </c>
      <c r="B203" s="370">
        <v>18090793</v>
      </c>
      <c r="C203" s="371">
        <v>191</v>
      </c>
      <c r="D203" s="372" t="s">
        <v>184</v>
      </c>
      <c r="E203" s="521" t="s">
        <v>185</v>
      </c>
      <c r="F203" s="522">
        <v>223</v>
      </c>
      <c r="G203" s="221">
        <v>43377</v>
      </c>
      <c r="H203" s="523">
        <v>18349</v>
      </c>
      <c r="I203" s="127" t="s">
        <v>869</v>
      </c>
      <c r="J203" s="525">
        <v>43379</v>
      </c>
      <c r="K203" s="375" t="s">
        <v>11</v>
      </c>
      <c r="L203" s="375" t="s">
        <v>28</v>
      </c>
      <c r="M203" s="375" t="s">
        <v>50</v>
      </c>
      <c r="N203" s="376">
        <v>905736</v>
      </c>
      <c r="O203" s="376">
        <v>63401.52</v>
      </c>
      <c r="P203" s="376">
        <f t="shared" si="45"/>
        <v>969137.52</v>
      </c>
      <c r="Q203" s="430">
        <v>17000</v>
      </c>
      <c r="R203" s="264" t="s">
        <v>570</v>
      </c>
      <c r="S203" s="265">
        <f>N203-Q203</f>
        <v>888736</v>
      </c>
      <c r="T203" s="266">
        <v>5</v>
      </c>
      <c r="U203" s="524">
        <f>S203*T203/100</f>
        <v>44436.800000000003</v>
      </c>
      <c r="V203" s="382">
        <f>S203-U203-U207</f>
        <v>844299.2</v>
      </c>
      <c r="W203" s="383">
        <v>0.42</v>
      </c>
      <c r="X203" s="383">
        <f>V203*W203/100</f>
        <v>3546.0566399999998</v>
      </c>
      <c r="Y203" s="384">
        <v>0.2</v>
      </c>
      <c r="Z203" s="385">
        <f>V203*Y203/100</f>
        <v>1688.5983999999999</v>
      </c>
      <c r="AA203" s="386">
        <v>18090362</v>
      </c>
      <c r="AB203" s="230">
        <v>271720.8</v>
      </c>
      <c r="AC203" s="234">
        <f t="shared" ref="AC203:AC214" si="46">AB203*7/100</f>
        <v>19020.455999999998</v>
      </c>
      <c r="AD203" s="234">
        <f t="shared" ref="AD203:AD214" si="47">AB203+AC203</f>
        <v>290741.25599999999</v>
      </c>
      <c r="AE203" s="221">
        <v>43368</v>
      </c>
      <c r="AF203" s="366" t="s">
        <v>869</v>
      </c>
      <c r="AG203" s="366"/>
      <c r="AH203" s="366"/>
      <c r="AI203" s="367" t="s">
        <v>1039</v>
      </c>
      <c r="AJ203" s="390">
        <v>1</v>
      </c>
      <c r="AK203" s="391" t="s">
        <v>654</v>
      </c>
      <c r="AL203" s="392"/>
      <c r="AM203" s="392" t="s">
        <v>1205</v>
      </c>
      <c r="AN203" s="392">
        <v>1</v>
      </c>
      <c r="AO203" s="393" t="s">
        <v>634</v>
      </c>
      <c r="AP203" s="390">
        <v>2</v>
      </c>
      <c r="AQ203" s="394" t="s">
        <v>652</v>
      </c>
      <c r="AR203" s="392"/>
      <c r="AS203" s="392" t="s">
        <v>1205</v>
      </c>
      <c r="AT203" s="392">
        <v>2</v>
      </c>
      <c r="AU203" s="393" t="s">
        <v>634</v>
      </c>
      <c r="AV203" s="390">
        <v>3</v>
      </c>
      <c r="AW203" s="391" t="s">
        <v>650</v>
      </c>
      <c r="AX203" s="392"/>
      <c r="AY203" s="392" t="s">
        <v>1205</v>
      </c>
      <c r="AZ203" s="392">
        <v>6</v>
      </c>
      <c r="BA203" s="393" t="s">
        <v>634</v>
      </c>
      <c r="BB203" s="390">
        <v>4</v>
      </c>
      <c r="BC203" s="394" t="s">
        <v>624</v>
      </c>
      <c r="BD203" s="392"/>
      <c r="BE203" s="392" t="s">
        <v>1205</v>
      </c>
      <c r="BF203" s="392">
        <v>1</v>
      </c>
      <c r="BG203" s="393" t="s">
        <v>634</v>
      </c>
      <c r="BH203" s="390">
        <v>5</v>
      </c>
      <c r="BI203" s="391" t="s">
        <v>651</v>
      </c>
      <c r="BJ203" s="392"/>
      <c r="BK203" s="392" t="s">
        <v>1205</v>
      </c>
      <c r="BL203" s="392">
        <v>2</v>
      </c>
      <c r="BM203" s="393" t="s">
        <v>636</v>
      </c>
      <c r="BN203" s="395"/>
      <c r="BO203" s="395"/>
      <c r="BP203" s="128"/>
      <c r="BQ203" s="128"/>
      <c r="BR203" s="361"/>
      <c r="BS203" s="361"/>
      <c r="BT203" s="395"/>
      <c r="BU203" s="395"/>
      <c r="BV203" s="390"/>
      <c r="BW203" s="390"/>
      <c r="BX203" s="395"/>
      <c r="BY203" s="395"/>
      <c r="BZ203" s="395"/>
      <c r="CA203" s="395"/>
      <c r="CB203" s="390"/>
      <c r="CC203" s="390"/>
      <c r="CD203" s="395"/>
      <c r="CE203" s="395"/>
    </row>
    <row r="204" spans="1:84" x14ac:dyDescent="0.5">
      <c r="A204" s="481">
        <v>18095960</v>
      </c>
      <c r="B204" s="256"/>
      <c r="C204" s="482"/>
      <c r="D204" s="483"/>
      <c r="E204" s="526" t="s">
        <v>185</v>
      </c>
      <c r="F204" s="527">
        <v>247</v>
      </c>
      <c r="G204" s="295">
        <v>43412</v>
      </c>
      <c r="H204" s="528">
        <v>18406</v>
      </c>
      <c r="I204" s="252"/>
      <c r="J204" s="530">
        <v>43412</v>
      </c>
      <c r="K204" s="433" t="s">
        <v>11</v>
      </c>
      <c r="L204" s="433" t="s">
        <v>28</v>
      </c>
      <c r="M204" s="433"/>
      <c r="N204" s="436"/>
      <c r="O204" s="436"/>
      <c r="P204" s="436"/>
      <c r="Q204" s="437"/>
      <c r="R204" s="144" t="s">
        <v>569</v>
      </c>
      <c r="S204" s="145">
        <v>888736</v>
      </c>
      <c r="T204" s="146">
        <v>3</v>
      </c>
      <c r="U204" s="529">
        <f>S204*T204/100</f>
        <v>26662.080000000002</v>
      </c>
      <c r="V204" s="442"/>
      <c r="W204" s="443"/>
      <c r="X204" s="443"/>
      <c r="Y204" s="444"/>
      <c r="Z204" s="445"/>
      <c r="AA204" s="531">
        <v>18100395</v>
      </c>
      <c r="AB204" s="293">
        <v>46009.599999999999</v>
      </c>
      <c r="AC204" s="532">
        <f t="shared" si="46"/>
        <v>3220.672</v>
      </c>
      <c r="AD204" s="532">
        <f t="shared" si="47"/>
        <v>49230.271999999997</v>
      </c>
      <c r="AE204" s="295">
        <v>43393</v>
      </c>
      <c r="AF204" s="533" t="s">
        <v>869</v>
      </c>
      <c r="AG204" s="533"/>
      <c r="AH204" s="533"/>
      <c r="AI204" s="534" t="s">
        <v>1275</v>
      </c>
      <c r="AJ204" s="453"/>
      <c r="AK204" s="456"/>
      <c r="AL204" s="454"/>
      <c r="AM204" s="454"/>
      <c r="AN204" s="454"/>
      <c r="AO204" s="457"/>
      <c r="AP204" s="453"/>
      <c r="AQ204" s="448"/>
      <c r="AR204" s="454"/>
      <c r="AS204" s="454"/>
      <c r="AT204" s="454"/>
      <c r="AU204" s="457"/>
      <c r="AV204" s="453"/>
      <c r="AW204" s="456"/>
      <c r="AX204" s="454"/>
      <c r="AY204" s="454"/>
      <c r="AZ204" s="454"/>
      <c r="BA204" s="457"/>
      <c r="BB204" s="453"/>
      <c r="BC204" s="448"/>
      <c r="BD204" s="454"/>
      <c r="BE204" s="454"/>
      <c r="BF204" s="454"/>
      <c r="BG204" s="457"/>
      <c r="BH204" s="453"/>
      <c r="BI204" s="456"/>
      <c r="BJ204" s="454"/>
      <c r="BK204" s="454"/>
      <c r="BL204" s="454"/>
      <c r="BM204" s="457"/>
      <c r="BN204" s="535"/>
      <c r="BO204" s="535"/>
      <c r="BP204" s="158"/>
      <c r="BQ204" s="158"/>
      <c r="BR204" s="458"/>
      <c r="BS204" s="458"/>
      <c r="BT204" s="535"/>
      <c r="BU204" s="535"/>
      <c r="BV204" s="453"/>
      <c r="BW204" s="453"/>
      <c r="BX204" s="535"/>
      <c r="BY204" s="535"/>
      <c r="BZ204" s="535"/>
      <c r="CA204" s="535"/>
      <c r="CB204" s="453"/>
      <c r="CC204" s="453"/>
      <c r="CD204" s="535"/>
      <c r="CE204" s="535"/>
    </row>
    <row r="205" spans="1:84" x14ac:dyDescent="0.5">
      <c r="A205" s="481">
        <v>18095960</v>
      </c>
      <c r="B205" s="256"/>
      <c r="C205" s="482"/>
      <c r="D205" s="483"/>
      <c r="E205" s="526" t="s">
        <v>185</v>
      </c>
      <c r="F205" s="527">
        <v>250</v>
      </c>
      <c r="G205" s="295">
        <v>43417</v>
      </c>
      <c r="H205" s="528">
        <v>18414</v>
      </c>
      <c r="I205" s="252"/>
      <c r="J205" s="530">
        <v>43419</v>
      </c>
      <c r="K205" s="433" t="s">
        <v>11</v>
      </c>
      <c r="L205" s="433" t="s">
        <v>28</v>
      </c>
      <c r="M205" s="433"/>
      <c r="N205" s="436"/>
      <c r="O205" s="436"/>
      <c r="P205" s="436"/>
      <c r="Q205" s="437"/>
      <c r="R205" s="144"/>
      <c r="S205" s="145"/>
      <c r="T205" s="146"/>
      <c r="U205" s="529"/>
      <c r="V205" s="442"/>
      <c r="W205" s="443"/>
      <c r="X205" s="443"/>
      <c r="Y205" s="444"/>
      <c r="Z205" s="445"/>
      <c r="AA205" s="536">
        <v>18110432</v>
      </c>
      <c r="AB205" s="537">
        <v>588005.6</v>
      </c>
      <c r="AC205" s="538">
        <f t="shared" si="46"/>
        <v>41160.392</v>
      </c>
      <c r="AD205" s="538">
        <f t="shared" si="47"/>
        <v>629165.99199999997</v>
      </c>
      <c r="AE205" s="539">
        <v>43422</v>
      </c>
      <c r="AF205" s="533" t="s">
        <v>869</v>
      </c>
      <c r="AG205" s="533"/>
      <c r="AH205" s="533"/>
      <c r="AI205" s="534" t="s">
        <v>1304</v>
      </c>
      <c r="AJ205" s="453"/>
      <c r="AK205" s="456"/>
      <c r="AL205" s="454"/>
      <c r="AM205" s="454"/>
      <c r="AN205" s="454"/>
      <c r="AO205" s="457"/>
      <c r="AP205" s="453"/>
      <c r="AQ205" s="448"/>
      <c r="AR205" s="454"/>
      <c r="AS205" s="454"/>
      <c r="AT205" s="454"/>
      <c r="AU205" s="457"/>
      <c r="AV205" s="453"/>
      <c r="AW205" s="456"/>
      <c r="AX205" s="454"/>
      <c r="AY205" s="454"/>
      <c r="AZ205" s="454"/>
      <c r="BA205" s="457"/>
      <c r="BB205" s="453"/>
      <c r="BC205" s="448"/>
      <c r="BD205" s="454"/>
      <c r="BE205" s="454"/>
      <c r="BF205" s="454"/>
      <c r="BG205" s="457"/>
      <c r="BH205" s="453"/>
      <c r="BI205" s="456"/>
      <c r="BJ205" s="454"/>
      <c r="BK205" s="454"/>
      <c r="BL205" s="454"/>
      <c r="BM205" s="457"/>
      <c r="BN205" s="535"/>
      <c r="BO205" s="535"/>
      <c r="BP205" s="158"/>
      <c r="BQ205" s="158"/>
      <c r="BR205" s="458"/>
      <c r="BS205" s="458"/>
      <c r="BT205" s="535"/>
      <c r="BU205" s="535"/>
      <c r="BV205" s="453"/>
      <c r="BW205" s="453"/>
      <c r="BX205" s="535"/>
      <c r="BY205" s="535"/>
      <c r="BZ205" s="535"/>
      <c r="CA205" s="535"/>
      <c r="CB205" s="453"/>
      <c r="CC205" s="453"/>
      <c r="CD205" s="535"/>
      <c r="CE205" s="535"/>
    </row>
    <row r="206" spans="1:84" x14ac:dyDescent="0.5">
      <c r="A206" s="481"/>
      <c r="B206" s="256"/>
      <c r="C206" s="482"/>
      <c r="D206" s="483"/>
      <c r="E206" s="526"/>
      <c r="F206" s="527"/>
      <c r="G206" s="295">
        <v>43417</v>
      </c>
      <c r="H206" s="528">
        <v>18415</v>
      </c>
      <c r="I206" s="252"/>
      <c r="J206" s="530"/>
      <c r="K206" s="433"/>
      <c r="L206" s="433"/>
      <c r="M206" s="433"/>
      <c r="N206" s="436"/>
      <c r="O206" s="436"/>
      <c r="P206" s="436"/>
      <c r="Q206" s="437"/>
      <c r="R206" s="144"/>
      <c r="S206" s="145"/>
      <c r="T206" s="146"/>
      <c r="U206" s="529"/>
      <c r="V206" s="442"/>
      <c r="W206" s="443"/>
      <c r="X206" s="443"/>
      <c r="Y206" s="444"/>
      <c r="Z206" s="445"/>
      <c r="AA206" s="540"/>
      <c r="AB206" s="541"/>
      <c r="AC206" s="542"/>
      <c r="AD206" s="542"/>
      <c r="AE206" s="447"/>
      <c r="AF206" s="450"/>
      <c r="AG206" s="450"/>
      <c r="AH206" s="450"/>
      <c r="AI206" s="452"/>
      <c r="AJ206" s="453"/>
      <c r="AK206" s="456"/>
      <c r="AL206" s="454"/>
      <c r="AM206" s="454"/>
      <c r="AN206" s="454"/>
      <c r="AO206" s="457"/>
      <c r="AP206" s="453"/>
      <c r="AQ206" s="448"/>
      <c r="AR206" s="454"/>
      <c r="AS206" s="454"/>
      <c r="AT206" s="454"/>
      <c r="AU206" s="457"/>
      <c r="AV206" s="453"/>
      <c r="AW206" s="456"/>
      <c r="AX206" s="454"/>
      <c r="AY206" s="454"/>
      <c r="AZ206" s="454"/>
      <c r="BA206" s="457"/>
      <c r="BB206" s="453"/>
      <c r="BC206" s="448"/>
      <c r="BD206" s="454"/>
      <c r="BE206" s="454"/>
      <c r="BF206" s="454"/>
      <c r="BG206" s="457"/>
      <c r="BH206" s="453"/>
      <c r="BI206" s="456"/>
      <c r="BJ206" s="454"/>
      <c r="BK206" s="454"/>
      <c r="BL206" s="454"/>
      <c r="BM206" s="457"/>
      <c r="BN206" s="535"/>
      <c r="BO206" s="535"/>
      <c r="BP206" s="158"/>
      <c r="BQ206" s="158"/>
      <c r="BR206" s="458"/>
      <c r="BS206" s="458"/>
      <c r="BT206" s="535"/>
      <c r="BU206" s="535"/>
      <c r="BV206" s="453"/>
      <c r="BW206" s="453"/>
      <c r="BX206" s="535"/>
      <c r="BY206" s="535"/>
      <c r="BZ206" s="535"/>
      <c r="CA206" s="535"/>
      <c r="CB206" s="453"/>
      <c r="CC206" s="453"/>
      <c r="CD206" s="535"/>
      <c r="CE206" s="535"/>
    </row>
    <row r="207" spans="1:84" x14ac:dyDescent="0.5">
      <c r="A207" s="396"/>
      <c r="B207" s="241"/>
      <c r="C207" s="397"/>
      <c r="D207" s="398"/>
      <c r="E207" s="399"/>
      <c r="F207" s="400"/>
      <c r="G207" s="203">
        <v>43417</v>
      </c>
      <c r="H207" s="543">
        <v>18416</v>
      </c>
      <c r="I207" s="257"/>
      <c r="J207" s="545"/>
      <c r="K207" s="401"/>
      <c r="L207" s="401"/>
      <c r="M207" s="401"/>
      <c r="N207" s="402"/>
      <c r="O207" s="402"/>
      <c r="P207" s="402"/>
      <c r="Q207" s="462"/>
      <c r="R207" s="215"/>
      <c r="S207" s="216"/>
      <c r="T207" s="217"/>
      <c r="U207" s="544"/>
      <c r="V207" s="408"/>
      <c r="W207" s="409"/>
      <c r="X207" s="409"/>
      <c r="Y207" s="410"/>
      <c r="Z207" s="411"/>
      <c r="AA207" s="413"/>
      <c r="AB207" s="201"/>
      <c r="AC207" s="238"/>
      <c r="AD207" s="238"/>
      <c r="AE207" s="203"/>
      <c r="AF207" s="363"/>
      <c r="AG207" s="363"/>
      <c r="AH207" s="363"/>
      <c r="AI207" s="364"/>
      <c r="AJ207" s="420"/>
      <c r="AK207" s="417"/>
      <c r="AL207" s="418"/>
      <c r="AM207" s="418"/>
      <c r="AN207" s="418"/>
      <c r="AO207" s="419"/>
      <c r="AP207" s="420"/>
      <c r="AQ207" s="413"/>
      <c r="AR207" s="418"/>
      <c r="AS207" s="418"/>
      <c r="AT207" s="418"/>
      <c r="AU207" s="419"/>
      <c r="AV207" s="420"/>
      <c r="AW207" s="417"/>
      <c r="AX207" s="418"/>
      <c r="AY207" s="418"/>
      <c r="AZ207" s="418"/>
      <c r="BA207" s="419"/>
      <c r="BB207" s="420"/>
      <c r="BC207" s="413"/>
      <c r="BD207" s="418"/>
      <c r="BE207" s="418"/>
      <c r="BF207" s="418"/>
      <c r="BG207" s="419"/>
      <c r="BH207" s="420"/>
      <c r="BI207" s="417"/>
      <c r="BJ207" s="418"/>
      <c r="BK207" s="418"/>
      <c r="BL207" s="418"/>
      <c r="BM207" s="419"/>
      <c r="BN207" s="416"/>
      <c r="BO207" s="416"/>
      <c r="BP207" s="204"/>
      <c r="BQ207" s="204"/>
      <c r="BR207" s="365"/>
      <c r="BS207" s="365"/>
      <c r="BT207" s="416"/>
      <c r="BU207" s="416"/>
      <c r="BV207" s="420"/>
      <c r="BW207" s="420"/>
      <c r="BX207" s="416"/>
      <c r="BY207" s="416"/>
      <c r="BZ207" s="416"/>
      <c r="CA207" s="416"/>
      <c r="CB207" s="420"/>
      <c r="CC207" s="420"/>
      <c r="CD207" s="416"/>
      <c r="CE207" s="416"/>
    </row>
    <row r="208" spans="1:84" x14ac:dyDescent="0.5">
      <c r="A208" s="227">
        <v>18095959</v>
      </c>
      <c r="B208" s="22">
        <v>18090798</v>
      </c>
      <c r="C208" s="23">
        <v>190</v>
      </c>
      <c r="D208" s="24" t="s">
        <v>184</v>
      </c>
      <c r="E208" s="25" t="s">
        <v>185</v>
      </c>
      <c r="F208" s="26">
        <v>211</v>
      </c>
      <c r="G208" s="62">
        <v>43364</v>
      </c>
      <c r="H208" s="27">
        <v>18325</v>
      </c>
      <c r="I208" s="39" t="s">
        <v>869</v>
      </c>
      <c r="J208" s="62">
        <v>43364</v>
      </c>
      <c r="K208" s="42" t="s">
        <v>10</v>
      </c>
      <c r="L208" s="520" t="s">
        <v>29</v>
      </c>
      <c r="M208" s="22" t="s">
        <v>51</v>
      </c>
      <c r="N208" s="63">
        <v>57000</v>
      </c>
      <c r="O208" s="63">
        <v>3990</v>
      </c>
      <c r="P208" s="63">
        <f t="shared" si="45"/>
        <v>60990</v>
      </c>
      <c r="AA208" s="40">
        <v>18090361</v>
      </c>
      <c r="AB208" s="41">
        <v>57000</v>
      </c>
      <c r="AC208" s="63">
        <f t="shared" si="46"/>
        <v>3990</v>
      </c>
      <c r="AD208" s="63">
        <f t="shared" si="47"/>
        <v>60990</v>
      </c>
      <c r="AE208" s="53">
        <v>43408</v>
      </c>
      <c r="AF208" s="345" t="s">
        <v>869</v>
      </c>
      <c r="AG208" s="345"/>
      <c r="AH208" s="345"/>
      <c r="AI208" s="346" t="s">
        <v>1187</v>
      </c>
      <c r="AJ208" s="44">
        <v>1</v>
      </c>
      <c r="AK208" s="45" t="s">
        <v>753</v>
      </c>
      <c r="AL208" s="46" t="s">
        <v>1205</v>
      </c>
      <c r="AN208" s="47">
        <v>1</v>
      </c>
      <c r="AO208" s="48" t="s">
        <v>635</v>
      </c>
      <c r="AP208" s="356"/>
      <c r="AQ208" s="356"/>
      <c r="AR208" s="44"/>
      <c r="AS208" s="44"/>
      <c r="AT208" s="356"/>
      <c r="AU208" s="54"/>
      <c r="AV208" s="356"/>
      <c r="AW208" s="356"/>
      <c r="AX208" s="44"/>
      <c r="AY208" s="44"/>
      <c r="AZ208" s="356"/>
      <c r="BA208" s="54"/>
      <c r="BB208" s="356"/>
      <c r="BC208" s="356"/>
      <c r="BD208" s="44"/>
      <c r="BE208" s="44"/>
      <c r="BF208" s="356"/>
      <c r="BG208" s="54"/>
      <c r="BH208" s="356"/>
      <c r="BI208" s="356"/>
      <c r="BJ208" s="44"/>
      <c r="BK208" s="44"/>
      <c r="BL208" s="356"/>
      <c r="BM208" s="356"/>
      <c r="BN208" s="356"/>
      <c r="BO208" s="356"/>
      <c r="BP208" s="44"/>
      <c r="BQ208" s="44"/>
      <c r="BR208" s="356"/>
      <c r="BS208" s="356"/>
      <c r="BT208" s="356"/>
      <c r="BU208" s="356"/>
      <c r="BV208" s="44"/>
      <c r="BW208" s="44"/>
      <c r="BX208" s="356"/>
      <c r="BY208" s="356"/>
      <c r="BZ208" s="356"/>
      <c r="CA208" s="356"/>
      <c r="CB208" s="44"/>
      <c r="CC208" s="44"/>
      <c r="CD208" s="356"/>
      <c r="CE208" s="356"/>
      <c r="CF208" s="51" t="s">
        <v>531</v>
      </c>
    </row>
    <row r="209" spans="1:84" x14ac:dyDescent="0.5">
      <c r="A209" s="227">
        <v>18095958</v>
      </c>
      <c r="B209" s="22">
        <v>18090797</v>
      </c>
      <c r="C209" s="23">
        <v>189</v>
      </c>
      <c r="D209" s="24" t="s">
        <v>184</v>
      </c>
      <c r="E209" s="25" t="s">
        <v>185</v>
      </c>
      <c r="F209" s="26">
        <v>206</v>
      </c>
      <c r="G209" s="62">
        <v>43362</v>
      </c>
      <c r="H209" s="27">
        <v>18315</v>
      </c>
      <c r="I209" s="39" t="s">
        <v>869</v>
      </c>
      <c r="J209" s="62">
        <v>43362</v>
      </c>
      <c r="K209" s="42" t="s">
        <v>12</v>
      </c>
      <c r="L209" s="520" t="s">
        <v>30</v>
      </c>
      <c r="M209" s="22" t="s">
        <v>51</v>
      </c>
      <c r="N209" s="63">
        <v>89000</v>
      </c>
      <c r="O209" s="63">
        <v>6230</v>
      </c>
      <c r="P209" s="63">
        <f t="shared" si="45"/>
        <v>95230</v>
      </c>
      <c r="AA209" s="40">
        <v>18090354</v>
      </c>
      <c r="AB209" s="41">
        <v>89000</v>
      </c>
      <c r="AC209" s="63">
        <f t="shared" si="46"/>
        <v>6230</v>
      </c>
      <c r="AD209" s="63">
        <f t="shared" si="47"/>
        <v>95230</v>
      </c>
      <c r="AE209" s="53">
        <v>43391</v>
      </c>
      <c r="AF209" s="39" t="s">
        <v>869</v>
      </c>
      <c r="AI209" s="21" t="s">
        <v>1174</v>
      </c>
      <c r="AJ209" s="44">
        <v>1</v>
      </c>
      <c r="AK209" s="45" t="s">
        <v>737</v>
      </c>
      <c r="AM209" s="46" t="s">
        <v>1205</v>
      </c>
      <c r="AN209" s="47">
        <v>1</v>
      </c>
      <c r="AO209" s="48" t="s">
        <v>633</v>
      </c>
      <c r="AP209" s="44">
        <v>2</v>
      </c>
      <c r="AQ209" s="40" t="s">
        <v>737</v>
      </c>
      <c r="AS209" s="47" t="s">
        <v>1205</v>
      </c>
      <c r="AT209" s="47">
        <v>1</v>
      </c>
      <c r="AU209" s="49" t="s">
        <v>633</v>
      </c>
      <c r="AV209" s="356"/>
      <c r="AW209" s="356"/>
      <c r="AX209" s="44"/>
      <c r="AY209" s="44"/>
      <c r="AZ209" s="356"/>
      <c r="BA209" s="54"/>
      <c r="BB209" s="356"/>
      <c r="BC209" s="356"/>
      <c r="BD209" s="44"/>
      <c r="BE209" s="44"/>
      <c r="BF209" s="356"/>
      <c r="BG209" s="54"/>
      <c r="BH209" s="356"/>
      <c r="BI209" s="356"/>
      <c r="BJ209" s="44"/>
      <c r="BK209" s="44"/>
      <c r="BL209" s="356"/>
      <c r="BM209" s="356"/>
      <c r="BN209" s="356"/>
      <c r="BO209" s="356"/>
      <c r="BP209" s="44"/>
      <c r="BQ209" s="44"/>
      <c r="BR209" s="356"/>
      <c r="BS209" s="356"/>
      <c r="BT209" s="356"/>
      <c r="BU209" s="356"/>
      <c r="BV209" s="44"/>
      <c r="BW209" s="44"/>
      <c r="BX209" s="356"/>
      <c r="BY209" s="356"/>
      <c r="BZ209" s="356"/>
      <c r="CA209" s="356"/>
      <c r="CB209" s="44"/>
      <c r="CC209" s="44"/>
      <c r="CD209" s="356"/>
      <c r="CE209" s="356"/>
    </row>
    <row r="210" spans="1:84" x14ac:dyDescent="0.5">
      <c r="A210" s="227">
        <v>18095957</v>
      </c>
      <c r="B210" s="22">
        <v>18080743</v>
      </c>
      <c r="C210" s="23">
        <v>188</v>
      </c>
      <c r="D210" s="24" t="s">
        <v>184</v>
      </c>
      <c r="E210" s="25" t="s">
        <v>185</v>
      </c>
      <c r="F210" s="26">
        <v>201</v>
      </c>
      <c r="G210" s="62">
        <v>43356</v>
      </c>
      <c r="H210" s="27">
        <v>18303</v>
      </c>
      <c r="I210" s="39" t="s">
        <v>869</v>
      </c>
      <c r="J210" s="62">
        <v>43357</v>
      </c>
      <c r="K210" s="42" t="s">
        <v>13</v>
      </c>
      <c r="L210" s="520" t="s">
        <v>31</v>
      </c>
      <c r="M210" s="22" t="s">
        <v>52</v>
      </c>
      <c r="N210" s="63">
        <v>19626.169999999998</v>
      </c>
      <c r="O210" s="63">
        <v>1373.83</v>
      </c>
      <c r="P210" s="63">
        <f t="shared" si="45"/>
        <v>21000</v>
      </c>
      <c r="X210" s="518">
        <v>64.77</v>
      </c>
      <c r="AA210" s="40">
        <v>18090337</v>
      </c>
      <c r="AB210" s="41">
        <v>19626.169999999998</v>
      </c>
      <c r="AC210" s="64">
        <f t="shared" si="46"/>
        <v>1373.8319000000001</v>
      </c>
      <c r="AD210" s="64">
        <f t="shared" si="47"/>
        <v>21000.001899999999</v>
      </c>
      <c r="AE210" s="53">
        <v>43354</v>
      </c>
      <c r="AF210" s="39" t="s">
        <v>869</v>
      </c>
      <c r="AI210" s="21" t="s">
        <v>1038</v>
      </c>
      <c r="AJ210" s="44">
        <v>1</v>
      </c>
      <c r="AK210" s="45" t="s">
        <v>744</v>
      </c>
      <c r="AM210" s="46" t="s">
        <v>1205</v>
      </c>
      <c r="AN210" s="47">
        <v>1</v>
      </c>
      <c r="AO210" s="48" t="s">
        <v>634</v>
      </c>
      <c r="AP210" s="356"/>
      <c r="AQ210" s="356"/>
      <c r="AR210" s="44"/>
      <c r="AS210" s="44"/>
      <c r="AT210" s="356"/>
      <c r="AU210" s="54"/>
      <c r="AV210" s="356"/>
      <c r="AW210" s="356"/>
      <c r="AX210" s="44"/>
      <c r="AY210" s="44"/>
      <c r="AZ210" s="356"/>
      <c r="BA210" s="54"/>
      <c r="BB210" s="356"/>
      <c r="BC210" s="356"/>
      <c r="BD210" s="44"/>
      <c r="BE210" s="44"/>
      <c r="BF210" s="356"/>
      <c r="BG210" s="54"/>
      <c r="BH210" s="356"/>
      <c r="BI210" s="356"/>
      <c r="BJ210" s="44"/>
      <c r="BK210" s="44"/>
      <c r="BL210" s="356"/>
      <c r="BM210" s="356"/>
      <c r="BN210" s="356"/>
      <c r="BO210" s="356"/>
      <c r="BP210" s="44"/>
      <c r="BQ210" s="44"/>
      <c r="BR210" s="356"/>
      <c r="BS210" s="356"/>
      <c r="BT210" s="356"/>
      <c r="BU210" s="356"/>
      <c r="BV210" s="44"/>
      <c r="BW210" s="44"/>
      <c r="BX210" s="356"/>
      <c r="BY210" s="356"/>
      <c r="BZ210" s="356"/>
      <c r="CA210" s="44"/>
      <c r="CB210" s="44"/>
      <c r="CC210" s="44"/>
      <c r="CD210" s="44"/>
      <c r="CE210" s="44"/>
    </row>
    <row r="211" spans="1:84" x14ac:dyDescent="0.5">
      <c r="A211" s="227">
        <v>18095956</v>
      </c>
      <c r="B211" s="22">
        <v>18090790</v>
      </c>
      <c r="C211" s="55"/>
      <c r="D211" s="56"/>
      <c r="E211" s="57"/>
      <c r="F211" s="58"/>
      <c r="G211" s="59"/>
      <c r="H211" s="60"/>
      <c r="I211" s="269"/>
      <c r="J211" s="59"/>
      <c r="K211" s="42" t="s">
        <v>14</v>
      </c>
      <c r="L211" s="520" t="s">
        <v>32</v>
      </c>
      <c r="M211" s="22" t="s">
        <v>51</v>
      </c>
      <c r="N211" s="63">
        <v>10800</v>
      </c>
      <c r="O211" s="63">
        <v>756</v>
      </c>
      <c r="P211" s="63">
        <f t="shared" si="45"/>
        <v>11556</v>
      </c>
      <c r="AA211" s="40">
        <v>18090343</v>
      </c>
      <c r="AB211" s="41">
        <v>10800</v>
      </c>
      <c r="AC211" s="63">
        <f t="shared" si="46"/>
        <v>756</v>
      </c>
      <c r="AD211" s="63">
        <f t="shared" si="47"/>
        <v>11556</v>
      </c>
      <c r="AE211" s="53">
        <v>43390</v>
      </c>
      <c r="AF211" s="39" t="s">
        <v>869</v>
      </c>
      <c r="AI211" s="21" t="s">
        <v>1665</v>
      </c>
      <c r="AJ211" s="44">
        <v>1</v>
      </c>
      <c r="AK211" s="45" t="s">
        <v>617</v>
      </c>
      <c r="AN211" s="47">
        <v>1</v>
      </c>
      <c r="AO211" s="48" t="s">
        <v>628</v>
      </c>
      <c r="AP211" s="356"/>
      <c r="AQ211" s="356"/>
      <c r="AR211" s="44"/>
      <c r="AS211" s="44"/>
      <c r="AT211" s="356"/>
      <c r="AU211" s="54"/>
      <c r="AV211" s="356"/>
      <c r="AW211" s="356"/>
      <c r="AX211" s="44"/>
      <c r="AY211" s="44"/>
      <c r="AZ211" s="356"/>
      <c r="BA211" s="54"/>
      <c r="BB211" s="356"/>
      <c r="BC211" s="356"/>
      <c r="BD211" s="44"/>
      <c r="BE211" s="44"/>
      <c r="BF211" s="356"/>
      <c r="BG211" s="54"/>
      <c r="BH211" s="356"/>
      <c r="BI211" s="356"/>
      <c r="BJ211" s="44"/>
      <c r="BK211" s="44"/>
      <c r="BL211" s="356"/>
      <c r="BM211" s="356"/>
      <c r="BN211" s="356"/>
      <c r="BO211" s="356"/>
      <c r="BP211" s="44"/>
      <c r="BQ211" s="44"/>
      <c r="BR211" s="356"/>
      <c r="BS211" s="356"/>
      <c r="BT211" s="356"/>
      <c r="BU211" s="356"/>
      <c r="BV211" s="44"/>
      <c r="BW211" s="44"/>
      <c r="BX211" s="356"/>
      <c r="BY211" s="356"/>
      <c r="BZ211" s="356"/>
      <c r="CA211" s="44"/>
      <c r="CB211" s="44"/>
      <c r="CC211" s="44"/>
      <c r="CD211" s="44"/>
      <c r="CE211" s="44"/>
    </row>
    <row r="212" spans="1:84" x14ac:dyDescent="0.5">
      <c r="A212" s="227">
        <v>18095955</v>
      </c>
      <c r="B212" s="22">
        <v>18090787</v>
      </c>
      <c r="C212" s="23">
        <v>187</v>
      </c>
      <c r="D212" s="24" t="s">
        <v>184</v>
      </c>
      <c r="E212" s="25" t="s">
        <v>185</v>
      </c>
      <c r="F212" s="26">
        <v>210</v>
      </c>
      <c r="G212" s="62">
        <v>43363</v>
      </c>
      <c r="H212" s="27">
        <v>18321</v>
      </c>
      <c r="I212" s="39" t="s">
        <v>869</v>
      </c>
      <c r="J212" s="62">
        <v>43364</v>
      </c>
      <c r="K212" s="42" t="s">
        <v>15</v>
      </c>
      <c r="L212" s="520" t="s">
        <v>5</v>
      </c>
      <c r="M212" s="22" t="s">
        <v>51</v>
      </c>
      <c r="N212" s="63">
        <v>67400</v>
      </c>
      <c r="O212" s="63">
        <v>4718</v>
      </c>
      <c r="P212" s="63">
        <f t="shared" si="45"/>
        <v>72118</v>
      </c>
      <c r="AA212" s="40">
        <v>18090359</v>
      </c>
      <c r="AB212" s="41">
        <v>67400</v>
      </c>
      <c r="AC212" s="63">
        <f t="shared" si="46"/>
        <v>4718</v>
      </c>
      <c r="AD212" s="63">
        <f t="shared" si="47"/>
        <v>72118</v>
      </c>
      <c r="AE212" s="53">
        <v>43408</v>
      </c>
      <c r="AF212" s="345" t="s">
        <v>869</v>
      </c>
      <c r="AG212" s="345"/>
      <c r="AH212" s="345"/>
      <c r="AI212" s="346" t="s">
        <v>1165</v>
      </c>
      <c r="AJ212" s="44">
        <v>1</v>
      </c>
      <c r="AK212" s="45" t="s">
        <v>751</v>
      </c>
      <c r="AM212" s="46" t="s">
        <v>1205</v>
      </c>
      <c r="AN212" s="47">
        <v>1</v>
      </c>
      <c r="AO212" s="48" t="s">
        <v>633</v>
      </c>
      <c r="AP212" s="44">
        <v>2</v>
      </c>
      <c r="AQ212" s="40" t="s">
        <v>613</v>
      </c>
      <c r="AT212" s="47">
        <v>1</v>
      </c>
      <c r="AU212" s="59"/>
      <c r="AV212" s="44">
        <v>3</v>
      </c>
      <c r="AW212" s="40" t="s">
        <v>752</v>
      </c>
      <c r="AY212" s="47" t="s">
        <v>1205</v>
      </c>
      <c r="AZ212" s="47">
        <v>1</v>
      </c>
      <c r="BA212" s="49" t="s">
        <v>633</v>
      </c>
      <c r="BB212" s="356"/>
      <c r="BC212" s="356"/>
      <c r="BD212" s="44"/>
      <c r="BE212" s="44"/>
      <c r="BF212" s="356"/>
      <c r="BG212" s="54"/>
      <c r="BH212" s="356"/>
      <c r="BI212" s="356"/>
      <c r="BJ212" s="44"/>
      <c r="BK212" s="44"/>
      <c r="BL212" s="356"/>
      <c r="BM212" s="356"/>
      <c r="BN212" s="356"/>
      <c r="BO212" s="356"/>
      <c r="BP212" s="44"/>
      <c r="BQ212" s="44"/>
      <c r="BR212" s="356"/>
      <c r="BS212" s="356"/>
      <c r="BT212" s="356"/>
      <c r="BU212" s="356"/>
      <c r="BV212" s="44"/>
      <c r="BW212" s="44"/>
      <c r="BX212" s="356"/>
      <c r="BY212" s="356"/>
      <c r="BZ212" s="356"/>
      <c r="CA212" s="356"/>
      <c r="CB212" s="44"/>
      <c r="CC212" s="44"/>
      <c r="CD212" s="356"/>
      <c r="CE212" s="356"/>
      <c r="CF212" s="51" t="s">
        <v>532</v>
      </c>
    </row>
    <row r="213" spans="1:84" x14ac:dyDescent="0.5">
      <c r="A213" s="227">
        <v>18095954</v>
      </c>
      <c r="B213" s="22">
        <v>18090785</v>
      </c>
      <c r="C213" s="23">
        <v>186</v>
      </c>
      <c r="D213" s="24" t="s">
        <v>184</v>
      </c>
      <c r="E213" s="25" t="s">
        <v>185</v>
      </c>
      <c r="F213" s="26">
        <v>217</v>
      </c>
      <c r="G213" s="62">
        <v>43370</v>
      </c>
      <c r="H213" s="27">
        <v>18337</v>
      </c>
      <c r="I213" s="39" t="s">
        <v>869</v>
      </c>
      <c r="J213" s="62">
        <v>43371</v>
      </c>
      <c r="K213" s="42" t="s">
        <v>16</v>
      </c>
      <c r="L213" s="520" t="s">
        <v>33</v>
      </c>
      <c r="M213" s="22" t="s">
        <v>50</v>
      </c>
      <c r="N213" s="63">
        <v>17235</v>
      </c>
      <c r="O213" s="63">
        <v>1206.45</v>
      </c>
      <c r="P213" s="63">
        <f t="shared" si="45"/>
        <v>18441.45</v>
      </c>
      <c r="Q213" s="61"/>
      <c r="R213" s="96"/>
      <c r="S213" s="97"/>
      <c r="T213" s="98"/>
      <c r="U213" s="546"/>
      <c r="V213" s="517">
        <f>N213</f>
        <v>17235</v>
      </c>
      <c r="W213" s="518">
        <v>0.375</v>
      </c>
      <c r="X213" s="518">
        <f>V213*W213/100</f>
        <v>64.631249999999994</v>
      </c>
      <c r="Y213" s="519">
        <v>0.2</v>
      </c>
      <c r="Z213" s="38">
        <f>V213*Y213/100</f>
        <v>34.47</v>
      </c>
      <c r="AA213" s="40">
        <v>18090368</v>
      </c>
      <c r="AB213" s="41">
        <v>17235</v>
      </c>
      <c r="AC213" s="64">
        <f t="shared" si="46"/>
        <v>1206.45</v>
      </c>
      <c r="AD213" s="64">
        <f t="shared" si="47"/>
        <v>18441.45</v>
      </c>
      <c r="AE213" s="53">
        <v>43399</v>
      </c>
      <c r="AF213" s="345" t="s">
        <v>869</v>
      </c>
      <c r="AG213" s="345"/>
      <c r="AH213" s="345"/>
      <c r="AI213" s="346" t="s">
        <v>1465</v>
      </c>
      <c r="AJ213" s="44">
        <v>1</v>
      </c>
      <c r="AK213" s="45" t="s">
        <v>600</v>
      </c>
      <c r="AL213" s="46" t="s">
        <v>1205</v>
      </c>
      <c r="AN213" s="47">
        <v>1</v>
      </c>
      <c r="AO213" s="48" t="s">
        <v>636</v>
      </c>
      <c r="AP213" s="356"/>
      <c r="AQ213" s="356"/>
      <c r="AR213" s="44"/>
      <c r="AS213" s="44"/>
      <c r="AT213" s="356"/>
      <c r="AU213" s="54"/>
      <c r="AV213" s="356"/>
      <c r="AW213" s="356"/>
      <c r="AX213" s="44"/>
      <c r="AY213" s="44"/>
      <c r="AZ213" s="356"/>
      <c r="BA213" s="54"/>
      <c r="BB213" s="356"/>
      <c r="BC213" s="356"/>
      <c r="BD213" s="44"/>
      <c r="BE213" s="44"/>
      <c r="BF213" s="356"/>
      <c r="BG213" s="54"/>
      <c r="BH213" s="356"/>
      <c r="BI213" s="356"/>
      <c r="BJ213" s="44"/>
      <c r="BK213" s="44"/>
      <c r="BL213" s="356"/>
      <c r="BM213" s="356"/>
      <c r="BN213" s="356"/>
      <c r="BO213" s="356"/>
      <c r="BP213" s="44"/>
      <c r="BQ213" s="44"/>
      <c r="BR213" s="356"/>
      <c r="BS213" s="356"/>
      <c r="BT213" s="356"/>
      <c r="BU213" s="356"/>
      <c r="BV213" s="44"/>
      <c r="BW213" s="44"/>
      <c r="BX213" s="356"/>
      <c r="BY213" s="356"/>
      <c r="BZ213" s="356"/>
      <c r="CA213" s="356"/>
      <c r="CB213" s="44"/>
      <c r="CC213" s="44"/>
      <c r="CD213" s="356"/>
      <c r="CE213" s="356"/>
    </row>
    <row r="214" spans="1:84" x14ac:dyDescent="0.5">
      <c r="A214" s="227">
        <v>18095953</v>
      </c>
      <c r="B214" s="22">
        <v>18090786</v>
      </c>
      <c r="C214" s="55"/>
      <c r="D214" s="56"/>
      <c r="E214" s="57"/>
      <c r="F214" s="58"/>
      <c r="G214" s="59"/>
      <c r="H214" s="60"/>
      <c r="I214" s="269"/>
      <c r="J214" s="59"/>
      <c r="K214" s="42" t="s">
        <v>17</v>
      </c>
      <c r="L214" s="520" t="s">
        <v>34</v>
      </c>
      <c r="M214" s="22" t="s">
        <v>51</v>
      </c>
      <c r="N214" s="63">
        <v>23100</v>
      </c>
      <c r="O214" s="63">
        <v>1617</v>
      </c>
      <c r="P214" s="63">
        <f>SUM(N214:O214)</f>
        <v>24717</v>
      </c>
      <c r="AA214" s="40">
        <v>18110441</v>
      </c>
      <c r="AB214" s="41">
        <v>23100</v>
      </c>
      <c r="AC214" s="63">
        <f t="shared" si="46"/>
        <v>1617</v>
      </c>
      <c r="AD214" s="63">
        <f t="shared" si="47"/>
        <v>24717</v>
      </c>
      <c r="AE214" s="53">
        <v>43450</v>
      </c>
      <c r="AF214" s="39" t="s">
        <v>869</v>
      </c>
      <c r="AI214" s="21" t="s">
        <v>1668</v>
      </c>
      <c r="AJ214" s="44">
        <v>1</v>
      </c>
      <c r="AK214" s="45" t="s">
        <v>618</v>
      </c>
      <c r="AN214" s="47">
        <v>6</v>
      </c>
      <c r="AO214" s="48" t="s">
        <v>628</v>
      </c>
      <c r="AP214" s="44">
        <v>2</v>
      </c>
      <c r="AQ214" s="40" t="s">
        <v>619</v>
      </c>
      <c r="AT214" s="47">
        <v>3</v>
      </c>
      <c r="AU214" s="49" t="s">
        <v>628</v>
      </c>
      <c r="AV214" s="44">
        <v>3</v>
      </c>
      <c r="AW214" s="40" t="s">
        <v>620</v>
      </c>
      <c r="AZ214" s="47">
        <v>1</v>
      </c>
      <c r="BA214" s="49" t="s">
        <v>628</v>
      </c>
      <c r="BB214" s="44">
        <v>4</v>
      </c>
      <c r="BH214" s="44">
        <v>5</v>
      </c>
      <c r="BN214" s="44">
        <v>6</v>
      </c>
      <c r="BT214" s="44">
        <v>7</v>
      </c>
      <c r="BZ214" s="44">
        <v>8</v>
      </c>
    </row>
    <row r="215" spans="1:84" x14ac:dyDescent="0.5">
      <c r="A215" s="227">
        <v>18095952</v>
      </c>
      <c r="B215" s="22">
        <v>18050394</v>
      </c>
      <c r="C215" s="55"/>
      <c r="D215" s="56"/>
      <c r="E215" s="57"/>
      <c r="F215" s="58"/>
      <c r="G215" s="59"/>
      <c r="H215" s="60"/>
      <c r="I215" s="269"/>
      <c r="J215" s="59"/>
      <c r="K215" s="42" t="s">
        <v>18</v>
      </c>
      <c r="L215" s="520" t="s">
        <v>35</v>
      </c>
      <c r="M215" s="22" t="s">
        <v>50</v>
      </c>
      <c r="N215" s="63">
        <v>7100</v>
      </c>
      <c r="O215" s="63">
        <v>497</v>
      </c>
      <c r="P215" s="63">
        <f>SUM(N215:O215)</f>
        <v>7597</v>
      </c>
      <c r="AA215" s="40">
        <v>18090333</v>
      </c>
      <c r="AB215" s="41">
        <v>7100</v>
      </c>
      <c r="AC215" s="64">
        <f t="shared" ref="AC215:AC223" si="48">AB215*7/100</f>
        <v>497</v>
      </c>
      <c r="AD215" s="64">
        <f t="shared" ref="AD215:AD223" si="49">AB215+AC215</f>
        <v>7597</v>
      </c>
      <c r="AE215" s="53">
        <v>43353</v>
      </c>
      <c r="AF215" s="39" t="s">
        <v>869</v>
      </c>
      <c r="AI215" s="21" t="s">
        <v>1046</v>
      </c>
      <c r="AJ215" s="44">
        <v>1</v>
      </c>
      <c r="AK215" s="45" t="s">
        <v>404</v>
      </c>
      <c r="AN215" s="47">
        <v>1</v>
      </c>
      <c r="AO215" s="102"/>
      <c r="AP215" s="356"/>
      <c r="AQ215" s="356"/>
      <c r="AR215" s="44"/>
      <c r="AS215" s="44"/>
      <c r="AT215" s="356"/>
      <c r="AU215" s="54"/>
      <c r="AV215" s="356"/>
      <c r="AW215" s="356"/>
      <c r="AX215" s="44"/>
      <c r="AY215" s="44"/>
      <c r="AZ215" s="356"/>
      <c r="BA215" s="54"/>
      <c r="BB215" s="356"/>
      <c r="BC215" s="356"/>
      <c r="BD215" s="44"/>
      <c r="BE215" s="44"/>
      <c r="BF215" s="356"/>
      <c r="BG215" s="54"/>
      <c r="BH215" s="356"/>
      <c r="BI215" s="356"/>
      <c r="BJ215" s="44"/>
      <c r="BK215" s="44"/>
      <c r="BL215" s="356"/>
      <c r="BM215" s="356"/>
      <c r="BN215" s="356"/>
      <c r="BO215" s="356"/>
      <c r="BP215" s="44"/>
      <c r="BQ215" s="44"/>
      <c r="BR215" s="356"/>
      <c r="BS215" s="356"/>
      <c r="BT215" s="356"/>
      <c r="BU215" s="356"/>
      <c r="BV215" s="44"/>
      <c r="BW215" s="44"/>
      <c r="BX215" s="356"/>
      <c r="BY215" s="356"/>
      <c r="BZ215" s="356"/>
      <c r="CA215" s="356"/>
      <c r="CB215" s="44"/>
      <c r="CC215" s="44"/>
      <c r="CD215" s="44"/>
      <c r="CE215" s="44"/>
    </row>
    <row r="216" spans="1:84" x14ac:dyDescent="0.5">
      <c r="A216" s="227">
        <v>18095951</v>
      </c>
      <c r="B216" s="22">
        <v>18090779</v>
      </c>
      <c r="C216" s="55"/>
      <c r="D216" s="56"/>
      <c r="E216" s="57"/>
      <c r="F216" s="58"/>
      <c r="G216" s="62">
        <v>43350</v>
      </c>
      <c r="H216" s="27">
        <v>18296</v>
      </c>
      <c r="I216" s="39" t="s">
        <v>869</v>
      </c>
      <c r="J216" s="62">
        <v>43350</v>
      </c>
      <c r="K216" s="42" t="s">
        <v>19</v>
      </c>
      <c r="L216" s="520" t="s">
        <v>36</v>
      </c>
      <c r="M216" s="22" t="s">
        <v>51</v>
      </c>
      <c r="N216" s="63">
        <v>7200</v>
      </c>
      <c r="O216" s="63">
        <v>504</v>
      </c>
      <c r="P216" s="63">
        <f t="shared" ref="P216:P223" si="50">SUM(N216:O216)</f>
        <v>7704</v>
      </c>
      <c r="AA216" s="40">
        <v>18090340</v>
      </c>
      <c r="AB216" s="41">
        <v>7200</v>
      </c>
      <c r="AC216" s="63">
        <f t="shared" si="48"/>
        <v>504</v>
      </c>
      <c r="AD216" s="63">
        <f t="shared" si="49"/>
        <v>7704</v>
      </c>
      <c r="AE216" s="53">
        <v>43387</v>
      </c>
      <c r="AF216" s="39" t="s">
        <v>869</v>
      </c>
      <c r="AI216" s="21" t="s">
        <v>1173</v>
      </c>
      <c r="AJ216" s="44">
        <v>1</v>
      </c>
      <c r="AK216" s="45" t="s">
        <v>621</v>
      </c>
      <c r="AN216" s="47">
        <v>12</v>
      </c>
      <c r="AO216" s="48" t="s">
        <v>628</v>
      </c>
      <c r="AP216" s="356"/>
      <c r="AQ216" s="356"/>
      <c r="AR216" s="44"/>
      <c r="AS216" s="44"/>
      <c r="AT216" s="356"/>
      <c r="AU216" s="54"/>
      <c r="AV216" s="356"/>
      <c r="AW216" s="356"/>
      <c r="AX216" s="44"/>
      <c r="AY216" s="44"/>
      <c r="AZ216" s="356"/>
      <c r="BA216" s="54"/>
      <c r="BB216" s="356"/>
      <c r="BC216" s="356"/>
      <c r="BD216" s="44"/>
      <c r="BE216" s="44"/>
      <c r="BF216" s="356"/>
      <c r="BG216" s="54"/>
      <c r="BH216" s="356"/>
      <c r="BI216" s="356"/>
      <c r="BJ216" s="44"/>
      <c r="BK216" s="44"/>
      <c r="BL216" s="356"/>
      <c r="BM216" s="356"/>
      <c r="BN216" s="356"/>
      <c r="BO216" s="356"/>
      <c r="BP216" s="44"/>
      <c r="BQ216" s="44"/>
      <c r="BR216" s="356"/>
      <c r="BS216" s="356"/>
      <c r="BT216" s="356"/>
      <c r="BU216" s="356"/>
      <c r="BV216" s="44"/>
      <c r="BW216" s="44"/>
      <c r="BX216" s="356"/>
      <c r="BY216" s="356"/>
      <c r="BZ216" s="356"/>
      <c r="CA216" s="356"/>
      <c r="CB216" s="44"/>
      <c r="CC216" s="44"/>
      <c r="CD216" s="44"/>
      <c r="CE216" s="44"/>
    </row>
    <row r="217" spans="1:84" x14ac:dyDescent="0.5">
      <c r="A217" s="227">
        <v>18095950</v>
      </c>
      <c r="B217" s="22">
        <v>18090772</v>
      </c>
      <c r="C217" s="23">
        <v>185</v>
      </c>
      <c r="D217" s="24" t="s">
        <v>184</v>
      </c>
      <c r="E217" s="25" t="s">
        <v>185</v>
      </c>
      <c r="F217" s="26">
        <v>202</v>
      </c>
      <c r="G217" s="62">
        <v>43360</v>
      </c>
      <c r="H217" s="27">
        <v>18309</v>
      </c>
      <c r="I217" s="39" t="s">
        <v>869</v>
      </c>
      <c r="J217" s="62">
        <v>43361</v>
      </c>
      <c r="K217" s="42" t="s">
        <v>20</v>
      </c>
      <c r="L217" s="520" t="s">
        <v>37</v>
      </c>
      <c r="M217" s="22" t="s">
        <v>51</v>
      </c>
      <c r="N217" s="63">
        <v>84000</v>
      </c>
      <c r="O217" s="63">
        <v>5880</v>
      </c>
      <c r="P217" s="63">
        <f t="shared" si="50"/>
        <v>89880</v>
      </c>
      <c r="AA217" s="40">
        <v>18090344</v>
      </c>
      <c r="AB217" s="41">
        <v>84000</v>
      </c>
      <c r="AC217" s="64">
        <f t="shared" si="48"/>
        <v>5880</v>
      </c>
      <c r="AD217" s="64">
        <f t="shared" si="49"/>
        <v>89880</v>
      </c>
      <c r="AE217" s="53">
        <v>43390</v>
      </c>
      <c r="AF217" s="39" t="s">
        <v>869</v>
      </c>
      <c r="AI217" s="21" t="s">
        <v>1172</v>
      </c>
      <c r="AJ217" s="44">
        <v>1</v>
      </c>
      <c r="AK217" s="45" t="s">
        <v>745</v>
      </c>
      <c r="AM217" s="46" t="s">
        <v>1205</v>
      </c>
      <c r="AN217" s="47">
        <v>1</v>
      </c>
      <c r="AO217" s="48" t="s">
        <v>633</v>
      </c>
      <c r="AP217" s="356"/>
      <c r="AQ217" s="356"/>
      <c r="AR217" s="44"/>
      <c r="AS217" s="44"/>
      <c r="AT217" s="356"/>
      <c r="AU217" s="54"/>
      <c r="AV217" s="356"/>
      <c r="AW217" s="356"/>
      <c r="AX217" s="44"/>
      <c r="AY217" s="44"/>
      <c r="AZ217" s="356"/>
      <c r="BA217" s="54"/>
      <c r="BB217" s="356"/>
      <c r="BC217" s="356"/>
      <c r="BD217" s="44"/>
      <c r="BE217" s="44"/>
      <c r="BF217" s="356"/>
      <c r="BG217" s="54"/>
      <c r="BH217" s="356"/>
      <c r="BI217" s="356"/>
      <c r="BJ217" s="44"/>
      <c r="BK217" s="44"/>
      <c r="BL217" s="356"/>
      <c r="BM217" s="356"/>
      <c r="BN217" s="356"/>
      <c r="BO217" s="356"/>
      <c r="BP217" s="44"/>
      <c r="BQ217" s="44"/>
      <c r="BR217" s="356"/>
      <c r="BS217" s="356"/>
      <c r="BT217" s="356"/>
      <c r="BU217" s="356"/>
      <c r="BV217" s="44"/>
      <c r="BW217" s="44"/>
      <c r="BX217" s="356"/>
      <c r="BY217" s="356"/>
      <c r="BZ217" s="356"/>
      <c r="CA217" s="356"/>
      <c r="CB217" s="44"/>
      <c r="CC217" s="44"/>
      <c r="CD217" s="44"/>
      <c r="CE217" s="44"/>
    </row>
    <row r="218" spans="1:84" x14ac:dyDescent="0.5">
      <c r="A218" s="227">
        <v>18095949</v>
      </c>
      <c r="B218" s="22">
        <v>18090771</v>
      </c>
      <c r="C218" s="23">
        <v>184</v>
      </c>
      <c r="D218" s="24" t="s">
        <v>184</v>
      </c>
      <c r="E218" s="25" t="s">
        <v>185</v>
      </c>
      <c r="F218" s="26">
        <v>199</v>
      </c>
      <c r="G218" s="62">
        <v>43356</v>
      </c>
      <c r="H218" s="27">
        <v>18307</v>
      </c>
      <c r="I218" s="39" t="s">
        <v>869</v>
      </c>
      <c r="J218" s="62">
        <v>43357</v>
      </c>
      <c r="K218" s="42" t="s">
        <v>10</v>
      </c>
      <c r="L218" s="520" t="s">
        <v>38</v>
      </c>
      <c r="M218" s="22" t="s">
        <v>51</v>
      </c>
      <c r="N218" s="63">
        <v>20000</v>
      </c>
      <c r="O218" s="63">
        <f>20000*7%</f>
        <v>1400.0000000000002</v>
      </c>
      <c r="P218" s="63">
        <f t="shared" si="50"/>
        <v>21400</v>
      </c>
      <c r="AA218" s="40">
        <v>18090341</v>
      </c>
      <c r="AB218" s="41">
        <v>20000</v>
      </c>
      <c r="AC218" s="63">
        <f t="shared" si="48"/>
        <v>1400</v>
      </c>
      <c r="AD218" s="63">
        <f t="shared" si="49"/>
        <v>21400</v>
      </c>
      <c r="AE218" s="53">
        <v>43402</v>
      </c>
      <c r="AF218" s="39" t="s">
        <v>869</v>
      </c>
      <c r="AI218" s="21" t="s">
        <v>1188</v>
      </c>
      <c r="AJ218" s="44">
        <v>1</v>
      </c>
      <c r="AK218" s="45" t="s">
        <v>596</v>
      </c>
      <c r="AL218" s="46" t="s">
        <v>1205</v>
      </c>
      <c r="AN218" s="47">
        <v>1</v>
      </c>
      <c r="AO218" s="48" t="s">
        <v>635</v>
      </c>
      <c r="AP218" s="356"/>
      <c r="AQ218" s="356"/>
      <c r="AR218" s="44"/>
      <c r="AS218" s="44"/>
      <c r="AT218" s="356"/>
      <c r="AU218" s="54"/>
      <c r="AV218" s="356"/>
      <c r="AW218" s="356"/>
      <c r="AX218" s="44"/>
      <c r="AY218" s="44"/>
      <c r="AZ218" s="356"/>
      <c r="BA218" s="54"/>
      <c r="BB218" s="356"/>
      <c r="BC218" s="356"/>
      <c r="BD218" s="44"/>
      <c r="BE218" s="44"/>
      <c r="BF218" s="356"/>
      <c r="BG218" s="54"/>
      <c r="BH218" s="356"/>
      <c r="BI218" s="356"/>
      <c r="BJ218" s="44"/>
      <c r="BK218" s="44"/>
      <c r="BL218" s="356"/>
      <c r="BM218" s="356"/>
      <c r="BN218" s="356"/>
      <c r="BO218" s="356"/>
      <c r="BP218" s="44"/>
      <c r="BQ218" s="44"/>
      <c r="BR218" s="356"/>
      <c r="BS218" s="356"/>
      <c r="BT218" s="356"/>
      <c r="BU218" s="356"/>
      <c r="BV218" s="44"/>
      <c r="BW218" s="44"/>
      <c r="BX218" s="356"/>
      <c r="BY218" s="356"/>
      <c r="BZ218" s="356"/>
      <c r="CA218" s="356"/>
      <c r="CB218" s="44"/>
      <c r="CC218" s="44"/>
      <c r="CD218" s="44"/>
      <c r="CE218" s="44"/>
    </row>
    <row r="219" spans="1:84" x14ac:dyDescent="0.5">
      <c r="A219" s="227">
        <v>18095948</v>
      </c>
      <c r="B219" s="22">
        <v>18090770</v>
      </c>
      <c r="C219" s="55"/>
      <c r="D219" s="56"/>
      <c r="E219" s="57"/>
      <c r="F219" s="58"/>
      <c r="G219" s="59"/>
      <c r="H219" s="60"/>
      <c r="I219" s="269"/>
      <c r="J219" s="59"/>
      <c r="K219" s="42" t="s">
        <v>21</v>
      </c>
      <c r="L219" s="520" t="s">
        <v>39</v>
      </c>
      <c r="M219" s="22" t="s">
        <v>51</v>
      </c>
      <c r="N219" s="63">
        <v>3900</v>
      </c>
      <c r="O219" s="63">
        <v>273</v>
      </c>
      <c r="P219" s="63">
        <f t="shared" si="50"/>
        <v>4173</v>
      </c>
      <c r="AA219" s="40">
        <v>18100407</v>
      </c>
      <c r="AB219" s="41">
        <v>3900</v>
      </c>
      <c r="AC219" s="64">
        <f t="shared" si="48"/>
        <v>273</v>
      </c>
      <c r="AD219" s="64">
        <f t="shared" si="49"/>
        <v>4173</v>
      </c>
      <c r="AE219" s="53">
        <v>43398</v>
      </c>
      <c r="AF219" s="39" t="s">
        <v>869</v>
      </c>
      <c r="AI219" s="21" t="s">
        <v>1307</v>
      </c>
      <c r="AJ219" s="44">
        <v>1</v>
      </c>
      <c r="AK219" s="45" t="s">
        <v>622</v>
      </c>
      <c r="AN219" s="47">
        <v>1</v>
      </c>
      <c r="AO219" s="48" t="s">
        <v>628</v>
      </c>
      <c r="AP219" s="356"/>
      <c r="AQ219" s="356"/>
      <c r="AR219" s="44"/>
      <c r="AS219" s="44"/>
      <c r="AT219" s="356"/>
      <c r="AU219" s="54"/>
      <c r="AV219" s="356"/>
      <c r="AW219" s="356"/>
      <c r="AX219" s="44"/>
      <c r="AY219" s="44"/>
      <c r="AZ219" s="356"/>
      <c r="BA219" s="54"/>
      <c r="BB219" s="356"/>
      <c r="BC219" s="356"/>
      <c r="BD219" s="44"/>
      <c r="BE219" s="44"/>
      <c r="BF219" s="356"/>
      <c r="BG219" s="54"/>
      <c r="BH219" s="356"/>
      <c r="BI219" s="356"/>
      <c r="BJ219" s="44"/>
      <c r="BK219" s="44"/>
      <c r="BL219" s="356"/>
      <c r="BM219" s="356"/>
      <c r="BN219" s="356"/>
      <c r="BO219" s="356"/>
      <c r="BP219" s="44"/>
      <c r="BQ219" s="44"/>
      <c r="BR219" s="356"/>
      <c r="BS219" s="356"/>
      <c r="BT219" s="356"/>
      <c r="BU219" s="356"/>
      <c r="BV219" s="44"/>
      <c r="BW219" s="44"/>
      <c r="BX219" s="356"/>
      <c r="BY219" s="356"/>
      <c r="BZ219" s="356"/>
      <c r="CA219" s="356"/>
      <c r="CB219" s="44"/>
      <c r="CC219" s="44"/>
      <c r="CD219" s="44"/>
      <c r="CE219" s="44"/>
    </row>
    <row r="220" spans="1:84" x14ac:dyDescent="0.5">
      <c r="A220" s="227">
        <v>18095947</v>
      </c>
      <c r="B220" s="22">
        <v>18090769</v>
      </c>
      <c r="C220" s="55"/>
      <c r="D220" s="56"/>
      <c r="E220" s="57"/>
      <c r="F220" s="58"/>
      <c r="G220" s="59"/>
      <c r="H220" s="60"/>
      <c r="I220" s="269"/>
      <c r="J220" s="59"/>
      <c r="K220" s="42" t="s">
        <v>22</v>
      </c>
      <c r="L220" s="520" t="s">
        <v>40</v>
      </c>
      <c r="M220" s="22" t="s">
        <v>51</v>
      </c>
      <c r="N220" s="63">
        <v>9000</v>
      </c>
      <c r="O220" s="63">
        <v>630</v>
      </c>
      <c r="P220" s="63">
        <f t="shared" si="50"/>
        <v>9630</v>
      </c>
      <c r="AA220" s="40">
        <v>18110440</v>
      </c>
      <c r="AB220" s="41">
        <v>9000</v>
      </c>
      <c r="AC220" s="63">
        <f t="shared" si="48"/>
        <v>630</v>
      </c>
      <c r="AD220" s="63">
        <f t="shared" si="49"/>
        <v>9630</v>
      </c>
      <c r="AE220" s="53">
        <v>43450</v>
      </c>
      <c r="AF220" s="39" t="s">
        <v>869</v>
      </c>
      <c r="AI220" s="21" t="s">
        <v>1666</v>
      </c>
      <c r="AJ220" s="44">
        <v>1</v>
      </c>
      <c r="AK220" s="45" t="s">
        <v>623</v>
      </c>
      <c r="AN220" s="47">
        <v>1</v>
      </c>
      <c r="AO220" s="48" t="s">
        <v>628</v>
      </c>
      <c r="AP220" s="356"/>
      <c r="AQ220" s="356"/>
      <c r="AR220" s="44"/>
      <c r="AS220" s="44"/>
      <c r="AT220" s="356"/>
      <c r="AU220" s="54"/>
      <c r="AV220" s="356"/>
      <c r="AW220" s="356"/>
      <c r="AX220" s="44"/>
      <c r="AY220" s="44"/>
      <c r="AZ220" s="356"/>
      <c r="BA220" s="54"/>
      <c r="BB220" s="356"/>
      <c r="BC220" s="356"/>
      <c r="BD220" s="44"/>
      <c r="BE220" s="44"/>
      <c r="BF220" s="356"/>
      <c r="BG220" s="54"/>
      <c r="BH220" s="356"/>
      <c r="BI220" s="356"/>
      <c r="BJ220" s="44"/>
      <c r="BK220" s="44"/>
      <c r="BL220" s="356"/>
      <c r="BM220" s="356"/>
      <c r="BN220" s="356"/>
      <c r="BO220" s="356"/>
      <c r="BP220" s="44"/>
      <c r="BQ220" s="44"/>
      <c r="BR220" s="356"/>
      <c r="BS220" s="356"/>
      <c r="BT220" s="356"/>
      <c r="BU220" s="356"/>
      <c r="BV220" s="44"/>
      <c r="BW220" s="44"/>
      <c r="BX220" s="356"/>
      <c r="BY220" s="356"/>
      <c r="BZ220" s="356"/>
      <c r="CA220" s="356"/>
      <c r="CB220" s="44"/>
      <c r="CC220" s="44"/>
      <c r="CD220" s="44"/>
      <c r="CE220" s="44"/>
    </row>
    <row r="221" spans="1:84" x14ac:dyDescent="0.5">
      <c r="A221" s="227">
        <v>18095946</v>
      </c>
      <c r="B221" s="22">
        <v>18090765</v>
      </c>
      <c r="C221" s="23">
        <v>183</v>
      </c>
      <c r="D221" s="24" t="s">
        <v>184</v>
      </c>
      <c r="E221" s="25" t="s">
        <v>185</v>
      </c>
      <c r="F221" s="26">
        <v>194</v>
      </c>
      <c r="G221" s="62">
        <v>43353</v>
      </c>
      <c r="H221" s="27">
        <v>18298</v>
      </c>
      <c r="I221" s="39" t="s">
        <v>869</v>
      </c>
      <c r="J221" s="62">
        <v>43353</v>
      </c>
      <c r="K221" s="42" t="s">
        <v>23</v>
      </c>
      <c r="L221" s="520" t="s">
        <v>41</v>
      </c>
      <c r="M221" s="22" t="s">
        <v>51</v>
      </c>
      <c r="N221" s="63">
        <v>158500</v>
      </c>
      <c r="O221" s="63">
        <v>11095</v>
      </c>
      <c r="P221" s="63">
        <f t="shared" si="50"/>
        <v>169595</v>
      </c>
      <c r="AA221" s="40">
        <v>18090326</v>
      </c>
      <c r="AB221" s="41">
        <v>158500</v>
      </c>
      <c r="AC221" s="64">
        <f t="shared" si="48"/>
        <v>11095</v>
      </c>
      <c r="AD221" s="64">
        <f t="shared" si="49"/>
        <v>169595</v>
      </c>
      <c r="AE221" s="53">
        <v>43350</v>
      </c>
      <c r="AF221" s="39" t="s">
        <v>869</v>
      </c>
      <c r="AI221" s="21" t="s">
        <v>1043</v>
      </c>
      <c r="AJ221" s="44">
        <v>1</v>
      </c>
      <c r="AK221" s="45" t="s">
        <v>737</v>
      </c>
      <c r="AL221" s="46" t="s">
        <v>1205</v>
      </c>
      <c r="AN221" s="47">
        <v>1</v>
      </c>
      <c r="AO221" s="48" t="s">
        <v>635</v>
      </c>
      <c r="AP221" s="356"/>
      <c r="AQ221" s="356"/>
      <c r="AR221" s="44"/>
      <c r="AS221" s="44"/>
      <c r="AT221" s="356"/>
      <c r="AU221" s="54"/>
      <c r="AV221" s="356"/>
      <c r="AW221" s="356"/>
      <c r="AX221" s="44"/>
      <c r="AY221" s="44"/>
      <c r="AZ221" s="356"/>
      <c r="BA221" s="54"/>
      <c r="BB221" s="356"/>
      <c r="BC221" s="356"/>
      <c r="BD221" s="44"/>
      <c r="BE221" s="44"/>
      <c r="BF221" s="356"/>
      <c r="BG221" s="54"/>
      <c r="BH221" s="356"/>
      <c r="BI221" s="356"/>
      <c r="BJ221" s="44"/>
      <c r="BK221" s="44"/>
      <c r="BL221" s="356"/>
      <c r="BM221" s="356"/>
      <c r="BN221" s="356"/>
      <c r="BO221" s="356"/>
      <c r="BP221" s="44"/>
      <c r="BQ221" s="44"/>
      <c r="BR221" s="356"/>
      <c r="BS221" s="356"/>
      <c r="BT221" s="356"/>
      <c r="BU221" s="356"/>
      <c r="BV221" s="44"/>
      <c r="BW221" s="44"/>
      <c r="BX221" s="356"/>
      <c r="BY221" s="356"/>
      <c r="BZ221" s="356"/>
      <c r="CA221" s="356"/>
      <c r="CB221" s="44"/>
      <c r="CC221" s="44"/>
      <c r="CD221" s="44"/>
      <c r="CE221" s="44"/>
    </row>
    <row r="222" spans="1:84" x14ac:dyDescent="0.5">
      <c r="A222" s="227">
        <v>18095945</v>
      </c>
      <c r="B222" s="22">
        <v>18090764</v>
      </c>
      <c r="C222" s="23">
        <v>182</v>
      </c>
      <c r="D222" s="24" t="s">
        <v>184</v>
      </c>
      <c r="E222" s="25" t="s">
        <v>185</v>
      </c>
      <c r="F222" s="26">
        <v>207</v>
      </c>
      <c r="G222" s="62">
        <v>43362</v>
      </c>
      <c r="H222" s="27">
        <v>18314</v>
      </c>
      <c r="I222" s="39" t="s">
        <v>869</v>
      </c>
      <c r="J222" s="62">
        <v>43362</v>
      </c>
      <c r="K222" s="42" t="s">
        <v>15</v>
      </c>
      <c r="L222" s="520" t="s">
        <v>42</v>
      </c>
      <c r="M222" s="22" t="s">
        <v>51</v>
      </c>
      <c r="N222" s="63">
        <v>61740</v>
      </c>
      <c r="O222" s="63">
        <v>4321.8</v>
      </c>
      <c r="P222" s="63">
        <f t="shared" si="50"/>
        <v>66061.8</v>
      </c>
      <c r="AA222" s="40">
        <v>18090353</v>
      </c>
      <c r="AB222" s="41">
        <v>61740</v>
      </c>
      <c r="AC222" s="64">
        <f t="shared" si="48"/>
        <v>4321.8</v>
      </c>
      <c r="AD222" s="64">
        <f t="shared" si="49"/>
        <v>66061.8</v>
      </c>
      <c r="AE222" s="53">
        <v>43406</v>
      </c>
      <c r="AF222" s="39" t="s">
        <v>869</v>
      </c>
      <c r="AI222" s="21" t="s">
        <v>1040</v>
      </c>
      <c r="AJ222" s="44">
        <v>1</v>
      </c>
      <c r="AK222" s="45" t="s">
        <v>748</v>
      </c>
      <c r="AL222" s="46" t="s">
        <v>1205</v>
      </c>
      <c r="AN222" s="47">
        <v>1</v>
      </c>
      <c r="AO222" s="48" t="s">
        <v>635</v>
      </c>
      <c r="AP222" s="356"/>
      <c r="AQ222" s="356"/>
      <c r="AR222" s="44"/>
      <c r="AS222" s="44"/>
      <c r="AT222" s="356"/>
      <c r="AU222" s="54"/>
      <c r="AV222" s="356"/>
      <c r="AW222" s="356"/>
      <c r="AX222" s="44"/>
      <c r="AY222" s="44"/>
      <c r="AZ222" s="356"/>
      <c r="BA222" s="54"/>
      <c r="BB222" s="356"/>
      <c r="BC222" s="356"/>
      <c r="BD222" s="44"/>
      <c r="BE222" s="44"/>
      <c r="BF222" s="356"/>
      <c r="BG222" s="54"/>
      <c r="BH222" s="356"/>
      <c r="BI222" s="356"/>
      <c r="BJ222" s="44"/>
      <c r="BK222" s="44"/>
      <c r="BL222" s="356"/>
      <c r="BM222" s="356"/>
      <c r="BN222" s="356"/>
      <c r="BO222" s="356"/>
      <c r="BP222" s="44"/>
      <c r="BQ222" s="44"/>
      <c r="BR222" s="356"/>
      <c r="BS222" s="356"/>
      <c r="BT222" s="356"/>
      <c r="BU222" s="356"/>
      <c r="BV222" s="44"/>
      <c r="BW222" s="44"/>
      <c r="BX222" s="356"/>
      <c r="BY222" s="356"/>
      <c r="BZ222" s="356"/>
      <c r="CA222" s="356"/>
      <c r="CB222" s="44"/>
      <c r="CC222" s="44"/>
      <c r="CD222" s="44"/>
      <c r="CE222" s="44"/>
    </row>
    <row r="223" spans="1:84" x14ac:dyDescent="0.5">
      <c r="A223" s="259">
        <v>18095944</v>
      </c>
      <c r="B223" s="104">
        <v>18090761</v>
      </c>
      <c r="C223" s="105">
        <v>181</v>
      </c>
      <c r="D223" s="106" t="s">
        <v>184</v>
      </c>
      <c r="E223" s="107" t="s">
        <v>185</v>
      </c>
      <c r="F223" s="108">
        <v>275</v>
      </c>
      <c r="G223" s="211">
        <v>43442</v>
      </c>
      <c r="H223" s="164">
        <v>18445</v>
      </c>
      <c r="I223" s="127" t="s">
        <v>869</v>
      </c>
      <c r="J223" s="122">
        <v>43445</v>
      </c>
      <c r="K223" s="547" t="s">
        <v>24</v>
      </c>
      <c r="L223" s="548" t="s">
        <v>43</v>
      </c>
      <c r="M223" s="104" t="s">
        <v>53</v>
      </c>
      <c r="N223" s="260">
        <v>1774750</v>
      </c>
      <c r="O223" s="260">
        <v>124232.5</v>
      </c>
      <c r="P223" s="260">
        <f t="shared" si="50"/>
        <v>1898982.5</v>
      </c>
      <c r="Q223" s="166"/>
      <c r="R223" s="549"/>
      <c r="S223" s="114">
        <f>N223</f>
        <v>1774750</v>
      </c>
      <c r="T223" s="115">
        <v>5</v>
      </c>
      <c r="U223" s="550">
        <f>S223*T223/100</f>
        <v>88737.5</v>
      </c>
      <c r="V223" s="551">
        <f>S223-U223</f>
        <v>1686012.5</v>
      </c>
      <c r="W223" s="552">
        <v>0.36</v>
      </c>
      <c r="X223" s="552">
        <f>V223*W223/100</f>
        <v>6069.6450000000004</v>
      </c>
      <c r="Y223" s="553">
        <v>0.2</v>
      </c>
      <c r="Z223" s="120">
        <f>V223*Y223/100</f>
        <v>3372.0250000000001</v>
      </c>
      <c r="AA223" s="123">
        <v>18120509</v>
      </c>
      <c r="AB223" s="124">
        <v>1774750</v>
      </c>
      <c r="AC223" s="260">
        <f t="shared" si="48"/>
        <v>124232.5</v>
      </c>
      <c r="AD223" s="260">
        <f t="shared" si="49"/>
        <v>1898982.5</v>
      </c>
      <c r="AE223" s="126">
        <v>43508</v>
      </c>
      <c r="AF223" s="127" t="s">
        <v>869</v>
      </c>
      <c r="AG223" s="127"/>
      <c r="AH223" s="127"/>
      <c r="AI223" s="103" t="s">
        <v>1861</v>
      </c>
      <c r="AJ223" s="128">
        <v>1</v>
      </c>
      <c r="AK223" s="129" t="s">
        <v>624</v>
      </c>
      <c r="AL223" s="130"/>
      <c r="AM223" s="130" t="s">
        <v>1205</v>
      </c>
      <c r="AN223" s="131">
        <v>1</v>
      </c>
      <c r="AO223" s="132" t="s">
        <v>634</v>
      </c>
      <c r="AP223" s="128">
        <v>2</v>
      </c>
      <c r="AQ223" s="123" t="s">
        <v>625</v>
      </c>
      <c r="AR223" s="131"/>
      <c r="AS223" s="131" t="s">
        <v>1205</v>
      </c>
      <c r="AT223" s="131">
        <v>1</v>
      </c>
      <c r="AU223" s="169" t="s">
        <v>634</v>
      </c>
      <c r="AV223" s="128">
        <v>3</v>
      </c>
      <c r="AW223" s="123" t="s">
        <v>626</v>
      </c>
      <c r="AX223" s="131"/>
      <c r="AY223" s="131" t="s">
        <v>1205</v>
      </c>
      <c r="AZ223" s="131">
        <v>1</v>
      </c>
      <c r="BA223" s="169" t="s">
        <v>636</v>
      </c>
      <c r="BB223" s="128"/>
      <c r="BC223" s="133"/>
      <c r="BD223" s="128"/>
      <c r="BE223" s="128"/>
      <c r="BF223" s="128"/>
      <c r="BG223" s="133"/>
      <c r="BH223" s="128"/>
      <c r="BI223" s="133"/>
      <c r="BJ223" s="128"/>
      <c r="BK223" s="128"/>
      <c r="BL223" s="128"/>
      <c r="BM223" s="128"/>
      <c r="BN223" s="128"/>
      <c r="BO223" s="133"/>
      <c r="BP223" s="128"/>
      <c r="BQ223" s="128"/>
      <c r="BR223" s="128"/>
      <c r="BS223" s="128"/>
      <c r="BT223" s="128"/>
      <c r="BU223" s="133"/>
      <c r="BV223" s="128"/>
      <c r="BW223" s="128"/>
      <c r="BX223" s="128"/>
      <c r="BY223" s="128"/>
      <c r="BZ223" s="128"/>
      <c r="CA223" s="133"/>
      <c r="CB223" s="128"/>
      <c r="CC223" s="128"/>
      <c r="CD223" s="128"/>
      <c r="CE223" s="128"/>
    </row>
    <row r="224" spans="1:84" x14ac:dyDescent="0.5">
      <c r="A224" s="262"/>
      <c r="B224" s="135"/>
      <c r="C224" s="136"/>
      <c r="D224" s="137"/>
      <c r="E224" s="138"/>
      <c r="F224" s="139"/>
      <c r="G224" s="178">
        <v>43442</v>
      </c>
      <c r="H224" s="171">
        <v>18446</v>
      </c>
      <c r="I224" s="152"/>
      <c r="J224" s="135"/>
      <c r="K224" s="255"/>
      <c r="L224" s="300"/>
      <c r="M224" s="135"/>
      <c r="N224" s="253"/>
      <c r="O224" s="253"/>
      <c r="P224" s="253"/>
      <c r="Q224" s="173"/>
      <c r="R224" s="554"/>
      <c r="S224" s="145"/>
      <c r="T224" s="146"/>
      <c r="U224" s="529"/>
      <c r="V224" s="555"/>
      <c r="W224" s="556"/>
      <c r="X224" s="556"/>
      <c r="Y224" s="557"/>
      <c r="Z224" s="151"/>
      <c r="AA224" s="154"/>
      <c r="AB224" s="155"/>
      <c r="AC224" s="255"/>
      <c r="AD224" s="255"/>
      <c r="AE224" s="256"/>
      <c r="AF224" s="152"/>
      <c r="AG224" s="152"/>
      <c r="AH224" s="152"/>
      <c r="AI224" s="134"/>
      <c r="AJ224" s="158"/>
      <c r="AK224" s="159"/>
      <c r="AL224" s="160"/>
      <c r="AM224" s="160"/>
      <c r="AN224" s="161"/>
      <c r="AO224" s="162"/>
      <c r="AP224" s="158"/>
      <c r="AQ224" s="154"/>
      <c r="AR224" s="161"/>
      <c r="AS224" s="161"/>
      <c r="AT224" s="161"/>
      <c r="AU224" s="177"/>
      <c r="AV224" s="158"/>
      <c r="AW224" s="154"/>
      <c r="AX224" s="161"/>
      <c r="AY224" s="161"/>
      <c r="AZ224" s="161"/>
      <c r="BA224" s="177"/>
      <c r="BB224" s="158"/>
      <c r="BC224" s="163"/>
      <c r="BD224" s="158"/>
      <c r="BE224" s="158"/>
      <c r="BF224" s="158"/>
      <c r="BG224" s="163"/>
      <c r="BH224" s="158"/>
      <c r="BI224" s="163"/>
      <c r="BJ224" s="158"/>
      <c r="BK224" s="158"/>
      <c r="BL224" s="158"/>
      <c r="BM224" s="158"/>
      <c r="BN224" s="158"/>
      <c r="BO224" s="163"/>
      <c r="BP224" s="158"/>
      <c r="BQ224" s="158"/>
      <c r="BR224" s="158"/>
      <c r="BS224" s="158"/>
      <c r="BT224" s="158"/>
      <c r="BU224" s="163"/>
      <c r="BV224" s="158"/>
      <c r="BW224" s="158"/>
      <c r="BX224" s="158"/>
      <c r="BY224" s="158"/>
      <c r="BZ224" s="158"/>
      <c r="CA224" s="163"/>
      <c r="CB224" s="158"/>
      <c r="CC224" s="158"/>
      <c r="CD224" s="158"/>
      <c r="CE224" s="158"/>
    </row>
    <row r="225" spans="1:83" x14ac:dyDescent="0.5">
      <c r="A225" s="262"/>
      <c r="B225" s="135"/>
      <c r="C225" s="136"/>
      <c r="D225" s="137"/>
      <c r="E225" s="138"/>
      <c r="F225" s="139"/>
      <c r="G225" s="178">
        <v>43442</v>
      </c>
      <c r="H225" s="171">
        <v>18447</v>
      </c>
      <c r="I225" s="152"/>
      <c r="J225" s="135"/>
      <c r="K225" s="255"/>
      <c r="L225" s="300"/>
      <c r="M225" s="135"/>
      <c r="N225" s="253"/>
      <c r="O225" s="253"/>
      <c r="P225" s="253"/>
      <c r="Q225" s="173"/>
      <c r="R225" s="554"/>
      <c r="S225" s="145"/>
      <c r="T225" s="146"/>
      <c r="U225" s="529"/>
      <c r="V225" s="555"/>
      <c r="W225" s="556"/>
      <c r="X225" s="556"/>
      <c r="Y225" s="557"/>
      <c r="Z225" s="151"/>
      <c r="AA225" s="154"/>
      <c r="AB225" s="155"/>
      <c r="AC225" s="255"/>
      <c r="AD225" s="255"/>
      <c r="AE225" s="256"/>
      <c r="AF225" s="152"/>
      <c r="AG225" s="152"/>
      <c r="AH225" s="152"/>
      <c r="AI225" s="134"/>
      <c r="AJ225" s="158"/>
      <c r="AK225" s="159"/>
      <c r="AL225" s="160"/>
      <c r="AM225" s="160"/>
      <c r="AN225" s="161"/>
      <c r="AO225" s="162"/>
      <c r="AP225" s="158"/>
      <c r="AQ225" s="154"/>
      <c r="AR225" s="161"/>
      <c r="AS225" s="161"/>
      <c r="AT225" s="161"/>
      <c r="AU225" s="177"/>
      <c r="AV225" s="158"/>
      <c r="AW225" s="154"/>
      <c r="AX225" s="161"/>
      <c r="AY225" s="161"/>
      <c r="AZ225" s="161"/>
      <c r="BA225" s="177"/>
      <c r="BB225" s="158"/>
      <c r="BC225" s="163"/>
      <c r="BD225" s="158"/>
      <c r="BE225" s="158"/>
      <c r="BF225" s="158"/>
      <c r="BG225" s="163"/>
      <c r="BH225" s="158"/>
      <c r="BI225" s="163"/>
      <c r="BJ225" s="158"/>
      <c r="BK225" s="158"/>
      <c r="BL225" s="158"/>
      <c r="BM225" s="158"/>
      <c r="BN225" s="158"/>
      <c r="BO225" s="163"/>
      <c r="BP225" s="158"/>
      <c r="BQ225" s="158"/>
      <c r="BR225" s="158"/>
      <c r="BS225" s="158"/>
      <c r="BT225" s="158"/>
      <c r="BU225" s="163"/>
      <c r="BV225" s="158"/>
      <c r="BW225" s="158"/>
      <c r="BX225" s="158"/>
      <c r="BY225" s="158"/>
      <c r="BZ225" s="158"/>
      <c r="CA225" s="163"/>
      <c r="CB225" s="158"/>
      <c r="CC225" s="158"/>
      <c r="CD225" s="158"/>
      <c r="CE225" s="158"/>
    </row>
    <row r="226" spans="1:83" x14ac:dyDescent="0.5">
      <c r="A226" s="268"/>
      <c r="B226" s="181"/>
      <c r="C226" s="182"/>
      <c r="D226" s="183"/>
      <c r="E226" s="184"/>
      <c r="F226" s="185"/>
      <c r="G226" s="186">
        <v>43442</v>
      </c>
      <c r="H226" s="187">
        <v>18448</v>
      </c>
      <c r="I226" s="199"/>
      <c r="J226" s="181"/>
      <c r="K226" s="240"/>
      <c r="L226" s="558"/>
      <c r="M226" s="181"/>
      <c r="N226" s="237"/>
      <c r="O226" s="237"/>
      <c r="P226" s="237"/>
      <c r="Q226" s="214"/>
      <c r="R226" s="559"/>
      <c r="S226" s="216"/>
      <c r="T226" s="217"/>
      <c r="U226" s="544"/>
      <c r="V226" s="560"/>
      <c r="W226" s="561"/>
      <c r="X226" s="561"/>
      <c r="Y226" s="562"/>
      <c r="Z226" s="198"/>
      <c r="AA226" s="200"/>
      <c r="AB226" s="201"/>
      <c r="AC226" s="240"/>
      <c r="AD226" s="240"/>
      <c r="AE226" s="241"/>
      <c r="AF226" s="199"/>
      <c r="AG226" s="199"/>
      <c r="AH226" s="199"/>
      <c r="AI226" s="180"/>
      <c r="AJ226" s="204"/>
      <c r="AK226" s="205"/>
      <c r="AL226" s="206"/>
      <c r="AM226" s="206"/>
      <c r="AN226" s="207"/>
      <c r="AO226" s="208"/>
      <c r="AP226" s="204"/>
      <c r="AQ226" s="200"/>
      <c r="AR226" s="207"/>
      <c r="AS226" s="207"/>
      <c r="AT226" s="207"/>
      <c r="AU226" s="209"/>
      <c r="AV226" s="204"/>
      <c r="AW226" s="200"/>
      <c r="AX226" s="207"/>
      <c r="AY226" s="207"/>
      <c r="AZ226" s="207"/>
      <c r="BA226" s="209"/>
      <c r="BB226" s="204"/>
      <c r="BC226" s="210"/>
      <c r="BD226" s="204"/>
      <c r="BE226" s="204"/>
      <c r="BF226" s="204"/>
      <c r="BG226" s="210"/>
      <c r="BH226" s="204"/>
      <c r="BI226" s="210"/>
      <c r="BJ226" s="204"/>
      <c r="BK226" s="204"/>
      <c r="BL226" s="204"/>
      <c r="BM226" s="204"/>
      <c r="BN226" s="204"/>
      <c r="BO226" s="210"/>
      <c r="BP226" s="204"/>
      <c r="BQ226" s="204"/>
      <c r="BR226" s="204"/>
      <c r="BS226" s="204"/>
      <c r="BT226" s="204"/>
      <c r="BU226" s="210"/>
      <c r="BV226" s="204"/>
      <c r="BW226" s="204"/>
      <c r="BX226" s="204"/>
      <c r="BY226" s="204"/>
      <c r="BZ226" s="204"/>
      <c r="CA226" s="210"/>
      <c r="CB226" s="204"/>
      <c r="CC226" s="204"/>
      <c r="CD226" s="204"/>
      <c r="CE226" s="204"/>
    </row>
    <row r="227" spans="1:83" x14ac:dyDescent="0.5">
      <c r="A227" s="227">
        <v>18095943</v>
      </c>
      <c r="B227" s="22">
        <v>18090762</v>
      </c>
      <c r="C227" s="23">
        <v>180</v>
      </c>
      <c r="D227" s="24" t="s">
        <v>184</v>
      </c>
      <c r="E227" s="25" t="s">
        <v>185</v>
      </c>
      <c r="F227" s="26">
        <v>200</v>
      </c>
      <c r="G227" s="62">
        <v>43357</v>
      </c>
      <c r="H227" s="27">
        <v>18308</v>
      </c>
      <c r="I227" s="39" t="s">
        <v>869</v>
      </c>
      <c r="J227" s="62">
        <v>43358</v>
      </c>
      <c r="K227" s="42" t="s">
        <v>10</v>
      </c>
      <c r="L227" s="520" t="s">
        <v>44</v>
      </c>
      <c r="M227" s="22" t="s">
        <v>51</v>
      </c>
      <c r="N227" s="63">
        <v>139000</v>
      </c>
      <c r="O227" s="63">
        <v>9730</v>
      </c>
      <c r="P227" s="63">
        <f t="shared" ref="P227:P258" si="51">SUM(N227:O227)</f>
        <v>148730</v>
      </c>
      <c r="AA227" s="40">
        <v>18090342</v>
      </c>
      <c r="AB227" s="41">
        <v>139000</v>
      </c>
      <c r="AC227" s="52">
        <f>AB227*7/100</f>
        <v>9730</v>
      </c>
      <c r="AD227" s="52">
        <f>AB227+AC227</f>
        <v>148730</v>
      </c>
      <c r="AE227" s="53">
        <v>43402</v>
      </c>
      <c r="AF227" s="39" t="s">
        <v>869</v>
      </c>
      <c r="AI227" s="21" t="s">
        <v>1188</v>
      </c>
      <c r="AJ227" s="44">
        <v>1</v>
      </c>
      <c r="AK227" s="45" t="s">
        <v>742</v>
      </c>
      <c r="AL227" s="46" t="s">
        <v>1205</v>
      </c>
      <c r="AN227" s="47">
        <v>1</v>
      </c>
      <c r="AO227" s="48" t="s">
        <v>635</v>
      </c>
      <c r="AP227" s="44">
        <v>2</v>
      </c>
      <c r="AQ227" s="40" t="s">
        <v>743</v>
      </c>
      <c r="AT227" s="47">
        <v>1</v>
      </c>
      <c r="AU227" s="59"/>
      <c r="AV227" s="356"/>
      <c r="AW227" s="356"/>
      <c r="AX227" s="44"/>
      <c r="AY227" s="44"/>
      <c r="AZ227" s="356"/>
      <c r="BA227" s="54"/>
      <c r="BB227" s="356"/>
      <c r="BC227" s="356"/>
      <c r="BD227" s="44"/>
      <c r="BE227" s="44"/>
      <c r="BF227" s="356"/>
      <c r="BG227" s="54"/>
      <c r="BH227" s="356"/>
      <c r="BI227" s="356"/>
      <c r="BJ227" s="44"/>
      <c r="BK227" s="44"/>
      <c r="BL227" s="356"/>
      <c r="BM227" s="356"/>
      <c r="BN227" s="356"/>
      <c r="BO227" s="356"/>
      <c r="BP227" s="44"/>
      <c r="BQ227" s="44"/>
      <c r="BR227" s="356"/>
      <c r="BS227" s="356"/>
      <c r="BT227" s="356"/>
      <c r="BU227" s="356"/>
      <c r="BV227" s="44"/>
      <c r="BW227" s="44"/>
      <c r="BX227" s="356"/>
      <c r="BY227" s="356"/>
      <c r="BZ227" s="356"/>
      <c r="CA227" s="356"/>
      <c r="CB227" s="44"/>
      <c r="CC227" s="44"/>
      <c r="CD227" s="44"/>
      <c r="CE227" s="44"/>
    </row>
    <row r="228" spans="1:83" x14ac:dyDescent="0.5">
      <c r="A228" s="227">
        <v>18095942</v>
      </c>
      <c r="B228" s="22">
        <v>18090760</v>
      </c>
      <c r="C228" s="23">
        <v>179</v>
      </c>
      <c r="D228" s="24" t="s">
        <v>184</v>
      </c>
      <c r="E228" s="25" t="s">
        <v>185</v>
      </c>
      <c r="F228" s="26">
        <v>245</v>
      </c>
      <c r="G228" s="62">
        <v>43399</v>
      </c>
      <c r="H228" s="27">
        <v>18396</v>
      </c>
      <c r="I228" s="39" t="s">
        <v>869</v>
      </c>
      <c r="J228" s="62">
        <v>43402</v>
      </c>
      <c r="K228" s="42" t="s">
        <v>15</v>
      </c>
      <c r="L228" s="520" t="s">
        <v>45</v>
      </c>
      <c r="M228" s="22" t="s">
        <v>51</v>
      </c>
      <c r="N228" s="63">
        <v>417300</v>
      </c>
      <c r="O228" s="63">
        <v>29211</v>
      </c>
      <c r="P228" s="63">
        <f t="shared" si="51"/>
        <v>446511</v>
      </c>
      <c r="AA228" s="40">
        <v>18100408</v>
      </c>
      <c r="AB228" s="41">
        <v>417300</v>
      </c>
      <c r="AC228" s="64">
        <f>AB228*7/100</f>
        <v>29211</v>
      </c>
      <c r="AD228" s="64">
        <f>AB228+AC228</f>
        <v>446511</v>
      </c>
      <c r="AE228" s="53">
        <v>43443</v>
      </c>
      <c r="AF228" s="39" t="s">
        <v>869</v>
      </c>
      <c r="AI228" s="21" t="s">
        <v>1140</v>
      </c>
      <c r="AJ228" s="44">
        <v>1</v>
      </c>
      <c r="AK228" s="45" t="s">
        <v>629</v>
      </c>
      <c r="AL228" s="46" t="s">
        <v>1205</v>
      </c>
      <c r="AN228" s="47">
        <v>1</v>
      </c>
      <c r="AO228" s="48" t="s">
        <v>633</v>
      </c>
      <c r="AP228" s="356"/>
      <c r="AQ228" s="356"/>
      <c r="AR228" s="44"/>
      <c r="AS228" s="44"/>
      <c r="AT228" s="356"/>
      <c r="AU228" s="54"/>
      <c r="AV228" s="356"/>
      <c r="AW228" s="356"/>
      <c r="AX228" s="44"/>
      <c r="AY228" s="44"/>
      <c r="AZ228" s="356"/>
      <c r="BA228" s="54"/>
      <c r="BB228" s="356"/>
      <c r="BC228" s="356"/>
      <c r="BD228" s="44"/>
      <c r="BE228" s="44"/>
      <c r="BF228" s="356"/>
      <c r="BG228" s="54"/>
      <c r="BH228" s="356"/>
      <c r="BI228" s="356"/>
      <c r="BJ228" s="44"/>
      <c r="BK228" s="44"/>
      <c r="BL228" s="356"/>
      <c r="BM228" s="356"/>
      <c r="BN228" s="356"/>
      <c r="BO228" s="356"/>
      <c r="BP228" s="44"/>
      <c r="BQ228" s="44"/>
      <c r="BR228" s="356"/>
      <c r="BS228" s="356"/>
      <c r="BT228" s="356"/>
      <c r="BU228" s="356"/>
      <c r="BV228" s="44"/>
      <c r="BW228" s="44"/>
      <c r="BX228" s="356"/>
      <c r="BY228" s="356"/>
      <c r="BZ228" s="356"/>
      <c r="CA228" s="356"/>
      <c r="CB228" s="44"/>
      <c r="CC228" s="44"/>
      <c r="CD228" s="44"/>
      <c r="CE228" s="44"/>
    </row>
    <row r="229" spans="1:83" x14ac:dyDescent="0.5">
      <c r="A229" s="259">
        <v>18085941</v>
      </c>
      <c r="B229" s="104">
        <v>18080754</v>
      </c>
      <c r="C229" s="105">
        <v>178</v>
      </c>
      <c r="D229" s="106" t="s">
        <v>184</v>
      </c>
      <c r="E229" s="107" t="s">
        <v>185</v>
      </c>
      <c r="F229" s="108">
        <v>233</v>
      </c>
      <c r="G229" s="211">
        <v>43392</v>
      </c>
      <c r="H229" s="164">
        <v>18379</v>
      </c>
      <c r="I229" s="127" t="s">
        <v>869</v>
      </c>
      <c r="J229" s="122">
        <v>43393</v>
      </c>
      <c r="K229" s="547" t="s">
        <v>60</v>
      </c>
      <c r="L229" s="547" t="s">
        <v>61</v>
      </c>
      <c r="M229" s="104" t="s">
        <v>51</v>
      </c>
      <c r="N229" s="260">
        <v>2050000</v>
      </c>
      <c r="O229" s="260">
        <v>143500</v>
      </c>
      <c r="P229" s="260">
        <f t="shared" si="51"/>
        <v>2193500</v>
      </c>
      <c r="Q229" s="311"/>
      <c r="R229" s="113"/>
      <c r="S229" s="114"/>
      <c r="T229" s="115"/>
      <c r="U229" s="550"/>
      <c r="V229" s="551"/>
      <c r="W229" s="552"/>
      <c r="X229" s="552"/>
      <c r="Y229" s="553"/>
      <c r="Z229" s="120"/>
      <c r="AA229" s="123">
        <v>18110418</v>
      </c>
      <c r="AB229" s="124">
        <v>2050000</v>
      </c>
      <c r="AC229" s="261">
        <f>AB229*7/100</f>
        <v>143500</v>
      </c>
      <c r="AD229" s="261">
        <f>AB229+AC229</f>
        <v>2193500</v>
      </c>
      <c r="AE229" s="126">
        <v>43450</v>
      </c>
      <c r="AF229" s="127" t="s">
        <v>869</v>
      </c>
      <c r="AG229" s="127"/>
      <c r="AH229" s="127"/>
      <c r="AI229" s="103" t="s">
        <v>1640</v>
      </c>
      <c r="AJ229" s="128">
        <v>1</v>
      </c>
      <c r="AK229" s="129" t="s">
        <v>630</v>
      </c>
      <c r="AL229" s="130" t="s">
        <v>1205</v>
      </c>
      <c r="AM229" s="130"/>
      <c r="AN229" s="131">
        <v>1</v>
      </c>
      <c r="AO229" s="132" t="s">
        <v>634</v>
      </c>
      <c r="AP229" s="361"/>
      <c r="AQ229" s="361"/>
      <c r="AR229" s="128"/>
      <c r="AS229" s="128"/>
      <c r="AT229" s="361"/>
      <c r="AU229" s="133"/>
      <c r="AV229" s="361"/>
      <c r="AW229" s="361"/>
      <c r="AX229" s="128"/>
      <c r="AY229" s="128"/>
      <c r="AZ229" s="361"/>
      <c r="BA229" s="133"/>
      <c r="BB229" s="361"/>
      <c r="BC229" s="361"/>
      <c r="BD229" s="128"/>
      <c r="BE229" s="128"/>
      <c r="BF229" s="361"/>
      <c r="BG229" s="133"/>
      <c r="BH229" s="361"/>
      <c r="BI229" s="361"/>
      <c r="BJ229" s="128"/>
      <c r="BK229" s="128"/>
      <c r="BL229" s="361"/>
      <c r="BM229" s="361"/>
      <c r="BN229" s="361"/>
      <c r="BO229" s="361"/>
      <c r="BP229" s="128"/>
      <c r="BQ229" s="128"/>
      <c r="BR229" s="361"/>
      <c r="BS229" s="361"/>
      <c r="BT229" s="361"/>
      <c r="BU229" s="361"/>
      <c r="BV229" s="128"/>
      <c r="BW229" s="128"/>
      <c r="BX229" s="361"/>
      <c r="BY229" s="361"/>
      <c r="BZ229" s="361"/>
      <c r="CA229" s="361"/>
      <c r="CB229" s="128"/>
      <c r="CC229" s="128"/>
      <c r="CD229" s="361"/>
      <c r="CE229" s="361"/>
    </row>
    <row r="230" spans="1:83" x14ac:dyDescent="0.5">
      <c r="A230" s="262"/>
      <c r="B230" s="135"/>
      <c r="C230" s="136"/>
      <c r="D230" s="137"/>
      <c r="E230" s="138"/>
      <c r="F230" s="139"/>
      <c r="G230" s="170">
        <v>43392</v>
      </c>
      <c r="H230" s="251">
        <v>18380</v>
      </c>
      <c r="I230" s="252"/>
      <c r="J230" s="179"/>
      <c r="K230" s="255"/>
      <c r="L230" s="255"/>
      <c r="M230" s="135"/>
      <c r="N230" s="253"/>
      <c r="O230" s="253"/>
      <c r="P230" s="253"/>
      <c r="Q230" s="143"/>
      <c r="R230" s="144"/>
      <c r="S230" s="145"/>
      <c r="T230" s="146"/>
      <c r="U230" s="529"/>
      <c r="V230" s="555"/>
      <c r="W230" s="556"/>
      <c r="X230" s="556"/>
      <c r="Y230" s="557"/>
      <c r="Z230" s="151"/>
      <c r="AA230" s="154"/>
      <c r="AB230" s="155"/>
      <c r="AC230" s="255"/>
      <c r="AD230" s="255"/>
      <c r="AE230" s="256"/>
      <c r="AF230" s="152"/>
      <c r="AG230" s="152"/>
      <c r="AH230" s="152"/>
      <c r="AI230" s="134"/>
      <c r="AJ230" s="158"/>
      <c r="AK230" s="159"/>
      <c r="AL230" s="160"/>
      <c r="AM230" s="160"/>
      <c r="AN230" s="161"/>
      <c r="AO230" s="162"/>
      <c r="AP230" s="458"/>
      <c r="AQ230" s="458"/>
      <c r="AR230" s="158"/>
      <c r="AS230" s="158"/>
      <c r="AT230" s="458"/>
      <c r="AU230" s="163"/>
      <c r="AV230" s="458"/>
      <c r="AW230" s="458"/>
      <c r="AX230" s="158"/>
      <c r="AY230" s="158"/>
      <c r="AZ230" s="458"/>
      <c r="BA230" s="163"/>
      <c r="BB230" s="458"/>
      <c r="BC230" s="458"/>
      <c r="BD230" s="158"/>
      <c r="BE230" s="158"/>
      <c r="BF230" s="458"/>
      <c r="BG230" s="163"/>
      <c r="BH230" s="458"/>
      <c r="BI230" s="458"/>
      <c r="BJ230" s="158"/>
      <c r="BK230" s="158"/>
      <c r="BL230" s="458"/>
      <c r="BM230" s="458"/>
      <c r="BN230" s="458"/>
      <c r="BO230" s="458"/>
      <c r="BP230" s="158"/>
      <c r="BQ230" s="158"/>
      <c r="BR230" s="458"/>
      <c r="BS230" s="458"/>
      <c r="BT230" s="458"/>
      <c r="BU230" s="458"/>
      <c r="BV230" s="158"/>
      <c r="BW230" s="158"/>
      <c r="BX230" s="458"/>
      <c r="BY230" s="458"/>
      <c r="BZ230" s="458"/>
      <c r="CA230" s="458"/>
      <c r="CB230" s="158"/>
      <c r="CC230" s="158"/>
      <c r="CD230" s="458"/>
      <c r="CE230" s="458"/>
    </row>
    <row r="231" spans="1:83" x14ac:dyDescent="0.5">
      <c r="A231" s="262"/>
      <c r="B231" s="135"/>
      <c r="C231" s="136"/>
      <c r="D231" s="137"/>
      <c r="E231" s="138"/>
      <c r="F231" s="139"/>
      <c r="G231" s="170">
        <v>43392</v>
      </c>
      <c r="H231" s="251">
        <v>18381</v>
      </c>
      <c r="I231" s="252"/>
      <c r="J231" s="179"/>
      <c r="K231" s="255"/>
      <c r="L231" s="255"/>
      <c r="M231" s="135"/>
      <c r="N231" s="253"/>
      <c r="O231" s="253"/>
      <c r="P231" s="253"/>
      <c r="Q231" s="143"/>
      <c r="R231" s="144"/>
      <c r="S231" s="145"/>
      <c r="T231" s="146"/>
      <c r="U231" s="529"/>
      <c r="V231" s="555"/>
      <c r="W231" s="556"/>
      <c r="X231" s="556"/>
      <c r="Y231" s="557"/>
      <c r="Z231" s="151"/>
      <c r="AA231" s="154"/>
      <c r="AB231" s="155"/>
      <c r="AC231" s="255"/>
      <c r="AD231" s="255"/>
      <c r="AE231" s="256"/>
      <c r="AF231" s="152"/>
      <c r="AG231" s="152"/>
      <c r="AH231" s="152"/>
      <c r="AI231" s="134"/>
      <c r="AJ231" s="158"/>
      <c r="AK231" s="159"/>
      <c r="AL231" s="160"/>
      <c r="AM231" s="160"/>
      <c r="AN231" s="161"/>
      <c r="AO231" s="162"/>
      <c r="AP231" s="458"/>
      <c r="AQ231" s="458"/>
      <c r="AR231" s="158"/>
      <c r="AS231" s="158"/>
      <c r="AT231" s="458"/>
      <c r="AU231" s="163"/>
      <c r="AV231" s="458"/>
      <c r="AW231" s="458"/>
      <c r="AX231" s="158"/>
      <c r="AY231" s="158"/>
      <c r="AZ231" s="458"/>
      <c r="BA231" s="163"/>
      <c r="BB231" s="458"/>
      <c r="BC231" s="458"/>
      <c r="BD231" s="158"/>
      <c r="BE231" s="158"/>
      <c r="BF231" s="458"/>
      <c r="BG231" s="163"/>
      <c r="BH231" s="458"/>
      <c r="BI231" s="458"/>
      <c r="BJ231" s="158"/>
      <c r="BK231" s="158"/>
      <c r="BL231" s="458"/>
      <c r="BM231" s="458"/>
      <c r="BN231" s="458"/>
      <c r="BO231" s="458"/>
      <c r="BP231" s="158"/>
      <c r="BQ231" s="158"/>
      <c r="BR231" s="458"/>
      <c r="BS231" s="458"/>
      <c r="BT231" s="458"/>
      <c r="BU231" s="458"/>
      <c r="BV231" s="158"/>
      <c r="BW231" s="158"/>
      <c r="BX231" s="458"/>
      <c r="BY231" s="458"/>
      <c r="BZ231" s="458"/>
      <c r="CA231" s="458"/>
      <c r="CB231" s="158"/>
      <c r="CC231" s="158"/>
      <c r="CD231" s="458"/>
      <c r="CE231" s="458"/>
    </row>
    <row r="232" spans="1:83" x14ac:dyDescent="0.5">
      <c r="A232" s="262"/>
      <c r="B232" s="135"/>
      <c r="C232" s="136"/>
      <c r="D232" s="137"/>
      <c r="E232" s="138"/>
      <c r="F232" s="139"/>
      <c r="G232" s="179">
        <v>43392</v>
      </c>
      <c r="H232" s="140">
        <v>18382</v>
      </c>
      <c r="I232" s="252"/>
      <c r="J232" s="179"/>
      <c r="K232" s="255"/>
      <c r="L232" s="255"/>
      <c r="M232" s="135"/>
      <c r="N232" s="253"/>
      <c r="O232" s="253"/>
      <c r="P232" s="253"/>
      <c r="Q232" s="143"/>
      <c r="R232" s="144"/>
      <c r="S232" s="145"/>
      <c r="T232" s="146"/>
      <c r="U232" s="529"/>
      <c r="V232" s="555"/>
      <c r="W232" s="556"/>
      <c r="X232" s="556"/>
      <c r="Y232" s="557"/>
      <c r="Z232" s="151"/>
      <c r="AA232" s="154"/>
      <c r="AB232" s="155"/>
      <c r="AC232" s="255"/>
      <c r="AD232" s="255"/>
      <c r="AE232" s="256"/>
      <c r="AF232" s="152"/>
      <c r="AG232" s="152"/>
      <c r="AH232" s="152"/>
      <c r="AI232" s="134"/>
      <c r="AJ232" s="158"/>
      <c r="AK232" s="159"/>
      <c r="AL232" s="160"/>
      <c r="AM232" s="160"/>
      <c r="AN232" s="161"/>
      <c r="AO232" s="162"/>
      <c r="AP232" s="458"/>
      <c r="AQ232" s="458"/>
      <c r="AR232" s="158"/>
      <c r="AS232" s="158"/>
      <c r="AT232" s="458"/>
      <c r="AU232" s="163"/>
      <c r="AV232" s="458"/>
      <c r="AW232" s="458"/>
      <c r="AX232" s="158"/>
      <c r="AY232" s="158"/>
      <c r="AZ232" s="458"/>
      <c r="BA232" s="163"/>
      <c r="BB232" s="458"/>
      <c r="BC232" s="458"/>
      <c r="BD232" s="158"/>
      <c r="BE232" s="158"/>
      <c r="BF232" s="458"/>
      <c r="BG232" s="163"/>
      <c r="BH232" s="458"/>
      <c r="BI232" s="458"/>
      <c r="BJ232" s="158"/>
      <c r="BK232" s="158"/>
      <c r="BL232" s="458"/>
      <c r="BM232" s="458"/>
      <c r="BN232" s="458"/>
      <c r="BO232" s="458"/>
      <c r="BP232" s="158"/>
      <c r="BQ232" s="158"/>
      <c r="BR232" s="458"/>
      <c r="BS232" s="458"/>
      <c r="BT232" s="458"/>
      <c r="BU232" s="458"/>
      <c r="BV232" s="158"/>
      <c r="BW232" s="158"/>
      <c r="BX232" s="458"/>
      <c r="BY232" s="458"/>
      <c r="BZ232" s="458"/>
      <c r="CA232" s="458"/>
      <c r="CB232" s="158"/>
      <c r="CC232" s="158"/>
      <c r="CD232" s="458"/>
      <c r="CE232" s="458"/>
    </row>
    <row r="233" spans="1:83" x14ac:dyDescent="0.5">
      <c r="A233" s="262">
        <v>18085941</v>
      </c>
      <c r="B233" s="135"/>
      <c r="C233" s="136"/>
      <c r="D233" s="137"/>
      <c r="E233" s="138" t="s">
        <v>185</v>
      </c>
      <c r="F233" s="139">
        <v>240</v>
      </c>
      <c r="G233" s="170">
        <v>43397</v>
      </c>
      <c r="H233" s="563">
        <v>18384</v>
      </c>
      <c r="I233" s="252"/>
      <c r="J233" s="179">
        <v>43398</v>
      </c>
      <c r="K233" s="255" t="s">
        <v>60</v>
      </c>
      <c r="L233" s="300" t="s">
        <v>61</v>
      </c>
      <c r="M233" s="135"/>
      <c r="N233" s="253"/>
      <c r="O233" s="253"/>
      <c r="P233" s="253"/>
      <c r="Q233" s="143"/>
      <c r="R233" s="144"/>
      <c r="S233" s="145"/>
      <c r="T233" s="146"/>
      <c r="U233" s="529"/>
      <c r="V233" s="555"/>
      <c r="W233" s="556"/>
      <c r="X233" s="556"/>
      <c r="Y233" s="557"/>
      <c r="Z233" s="151"/>
      <c r="AA233" s="154"/>
      <c r="AB233" s="155"/>
      <c r="AC233" s="255"/>
      <c r="AD233" s="255"/>
      <c r="AE233" s="256"/>
      <c r="AF233" s="152"/>
      <c r="AG233" s="152"/>
      <c r="AH233" s="152"/>
      <c r="AI233" s="134"/>
      <c r="AJ233" s="158"/>
      <c r="AK233" s="159"/>
      <c r="AL233" s="160"/>
      <c r="AM233" s="160"/>
      <c r="AN233" s="161"/>
      <c r="AO233" s="162"/>
      <c r="AP233" s="458"/>
      <c r="AQ233" s="458"/>
      <c r="AR233" s="158"/>
      <c r="AS233" s="158"/>
      <c r="AT233" s="458"/>
      <c r="AU233" s="163"/>
      <c r="AV233" s="458"/>
      <c r="AW233" s="458"/>
      <c r="AX233" s="158"/>
      <c r="AY233" s="158"/>
      <c r="AZ233" s="458"/>
      <c r="BA233" s="163"/>
      <c r="BB233" s="458"/>
      <c r="BC233" s="458"/>
      <c r="BD233" s="158"/>
      <c r="BE233" s="158"/>
      <c r="BF233" s="458"/>
      <c r="BG233" s="163"/>
      <c r="BH233" s="458"/>
      <c r="BI233" s="458"/>
      <c r="BJ233" s="158"/>
      <c r="BK233" s="158"/>
      <c r="BL233" s="458"/>
      <c r="BM233" s="458"/>
      <c r="BN233" s="458"/>
      <c r="BO233" s="458"/>
      <c r="BP233" s="158"/>
      <c r="BQ233" s="158"/>
      <c r="BR233" s="458"/>
      <c r="BS233" s="458"/>
      <c r="BT233" s="458"/>
      <c r="BU233" s="458"/>
      <c r="BV233" s="158"/>
      <c r="BW233" s="158"/>
      <c r="BX233" s="458"/>
      <c r="BY233" s="458"/>
      <c r="BZ233" s="458"/>
      <c r="CA233" s="458"/>
      <c r="CB233" s="158"/>
      <c r="CC233" s="158"/>
      <c r="CD233" s="458"/>
      <c r="CE233" s="458"/>
    </row>
    <row r="234" spans="1:83" x14ac:dyDescent="0.5">
      <c r="A234" s="262"/>
      <c r="B234" s="135"/>
      <c r="C234" s="136"/>
      <c r="D234" s="137"/>
      <c r="E234" s="138"/>
      <c r="F234" s="139"/>
      <c r="G234" s="179">
        <v>43397</v>
      </c>
      <c r="H234" s="563">
        <v>18385</v>
      </c>
      <c r="I234" s="252"/>
      <c r="J234" s="179"/>
      <c r="K234" s="255"/>
      <c r="L234" s="300"/>
      <c r="M234" s="135"/>
      <c r="N234" s="253"/>
      <c r="O234" s="253"/>
      <c r="P234" s="253"/>
      <c r="Q234" s="143"/>
      <c r="R234" s="144"/>
      <c r="S234" s="145"/>
      <c r="T234" s="146"/>
      <c r="U234" s="529"/>
      <c r="V234" s="555"/>
      <c r="W234" s="556"/>
      <c r="X234" s="556"/>
      <c r="Y234" s="557"/>
      <c r="Z234" s="151"/>
      <c r="AA234" s="154"/>
      <c r="AB234" s="155"/>
      <c r="AC234" s="255"/>
      <c r="AD234" s="255"/>
      <c r="AE234" s="256"/>
      <c r="AF234" s="152"/>
      <c r="AG234" s="152"/>
      <c r="AH234" s="152"/>
      <c r="AI234" s="134"/>
      <c r="AJ234" s="158"/>
      <c r="AK234" s="159"/>
      <c r="AL234" s="160"/>
      <c r="AM234" s="160"/>
      <c r="AN234" s="161"/>
      <c r="AO234" s="162"/>
      <c r="AP234" s="458"/>
      <c r="AQ234" s="458"/>
      <c r="AR234" s="158"/>
      <c r="AS234" s="158"/>
      <c r="AT234" s="458"/>
      <c r="AU234" s="163"/>
      <c r="AV234" s="458"/>
      <c r="AW234" s="458"/>
      <c r="AX234" s="158"/>
      <c r="AY234" s="158"/>
      <c r="AZ234" s="458"/>
      <c r="BA234" s="163"/>
      <c r="BB234" s="458"/>
      <c r="BC234" s="458"/>
      <c r="BD234" s="158"/>
      <c r="BE234" s="158"/>
      <c r="BF234" s="458"/>
      <c r="BG234" s="163"/>
      <c r="BH234" s="458"/>
      <c r="BI234" s="458"/>
      <c r="BJ234" s="158"/>
      <c r="BK234" s="158"/>
      <c r="BL234" s="458"/>
      <c r="BM234" s="458"/>
      <c r="BN234" s="458"/>
      <c r="BO234" s="458"/>
      <c r="BP234" s="158"/>
      <c r="BQ234" s="158"/>
      <c r="BR234" s="458"/>
      <c r="BS234" s="458"/>
      <c r="BT234" s="458"/>
      <c r="BU234" s="458"/>
      <c r="BV234" s="158"/>
      <c r="BW234" s="158"/>
      <c r="BX234" s="458"/>
      <c r="BY234" s="458"/>
      <c r="BZ234" s="458"/>
      <c r="CA234" s="458"/>
      <c r="CB234" s="158"/>
      <c r="CC234" s="158"/>
      <c r="CD234" s="458"/>
      <c r="CE234" s="458"/>
    </row>
    <row r="235" spans="1:83" x14ac:dyDescent="0.5">
      <c r="A235" s="268"/>
      <c r="B235" s="135"/>
      <c r="C235" s="136"/>
      <c r="D235" s="137"/>
      <c r="E235" s="138"/>
      <c r="F235" s="139"/>
      <c r="G235" s="153">
        <v>43397</v>
      </c>
      <c r="H235" s="271">
        <v>18386</v>
      </c>
      <c r="I235" s="252"/>
      <c r="J235" s="179"/>
      <c r="K235" s="255"/>
      <c r="L235" s="300"/>
      <c r="M235" s="135"/>
      <c r="N235" s="253"/>
      <c r="O235" s="253"/>
      <c r="P235" s="253"/>
      <c r="Q235" s="143"/>
      <c r="R235" s="144"/>
      <c r="S235" s="145"/>
      <c r="T235" s="146"/>
      <c r="U235" s="529"/>
      <c r="V235" s="555"/>
      <c r="W235" s="556"/>
      <c r="X235" s="556"/>
      <c r="Y235" s="557"/>
      <c r="Z235" s="151"/>
      <c r="AA235" s="154"/>
      <c r="AB235" s="155"/>
      <c r="AC235" s="255"/>
      <c r="AD235" s="255"/>
      <c r="AE235" s="256"/>
      <c r="AF235" s="152"/>
      <c r="AG235" s="152"/>
      <c r="AH235" s="152"/>
      <c r="AI235" s="134"/>
      <c r="AJ235" s="158"/>
      <c r="AK235" s="159"/>
      <c r="AL235" s="160"/>
      <c r="AM235" s="160"/>
      <c r="AN235" s="161"/>
      <c r="AO235" s="162"/>
      <c r="AP235" s="458"/>
      <c r="AQ235" s="458"/>
      <c r="AR235" s="158"/>
      <c r="AS235" s="158"/>
      <c r="AT235" s="458"/>
      <c r="AU235" s="163"/>
      <c r="AV235" s="458"/>
      <c r="AW235" s="458"/>
      <c r="AX235" s="158"/>
      <c r="AY235" s="158"/>
      <c r="AZ235" s="458"/>
      <c r="BA235" s="163"/>
      <c r="BB235" s="458"/>
      <c r="BC235" s="458"/>
      <c r="BD235" s="158"/>
      <c r="BE235" s="158"/>
      <c r="BF235" s="458"/>
      <c r="BG235" s="163"/>
      <c r="BH235" s="458"/>
      <c r="BI235" s="458"/>
      <c r="BJ235" s="158"/>
      <c r="BK235" s="158"/>
      <c r="BL235" s="458"/>
      <c r="BM235" s="458"/>
      <c r="BN235" s="458"/>
      <c r="BO235" s="458"/>
      <c r="BP235" s="158"/>
      <c r="BQ235" s="158"/>
      <c r="BR235" s="458"/>
      <c r="BS235" s="458"/>
      <c r="BT235" s="458"/>
      <c r="BU235" s="458"/>
      <c r="BV235" s="158"/>
      <c r="BW235" s="158"/>
      <c r="BX235" s="458"/>
      <c r="BY235" s="458"/>
      <c r="BZ235" s="458"/>
      <c r="CA235" s="458"/>
      <c r="CB235" s="158"/>
      <c r="CC235" s="158"/>
      <c r="CD235" s="458"/>
      <c r="CE235" s="458"/>
    </row>
    <row r="236" spans="1:83" x14ac:dyDescent="0.5">
      <c r="A236" s="369">
        <v>18085940</v>
      </c>
      <c r="B236" s="370">
        <v>18080738</v>
      </c>
      <c r="C236" s="371">
        <v>177</v>
      </c>
      <c r="D236" s="372" t="s">
        <v>184</v>
      </c>
      <c r="E236" s="373" t="s">
        <v>185</v>
      </c>
      <c r="F236" s="374">
        <v>215</v>
      </c>
      <c r="G236" s="211">
        <v>43370</v>
      </c>
      <c r="H236" s="164">
        <v>18335</v>
      </c>
      <c r="I236" s="368" t="s">
        <v>869</v>
      </c>
      <c r="J236" s="126">
        <v>43371</v>
      </c>
      <c r="K236" s="375" t="s">
        <v>60</v>
      </c>
      <c r="L236" s="375" t="s">
        <v>62</v>
      </c>
      <c r="M236" s="375" t="s">
        <v>53</v>
      </c>
      <c r="N236" s="376">
        <v>310000</v>
      </c>
      <c r="O236" s="376">
        <v>21700</v>
      </c>
      <c r="P236" s="376">
        <f t="shared" si="51"/>
        <v>331700</v>
      </c>
      <c r="Q236" s="430">
        <v>27000</v>
      </c>
      <c r="R236" s="564"/>
      <c r="S236" s="377"/>
      <c r="T236" s="465"/>
      <c r="U236" s="565"/>
      <c r="V236" s="382">
        <f>N236-Q236</f>
        <v>283000</v>
      </c>
      <c r="W236" s="383">
        <v>0.24</v>
      </c>
      <c r="X236" s="383">
        <f>V236*W236/100</f>
        <v>679.2</v>
      </c>
      <c r="Y236" s="384">
        <v>0.2</v>
      </c>
      <c r="Z236" s="385">
        <f>V236*Y236/100</f>
        <v>566</v>
      </c>
      <c r="AA236" s="394">
        <v>18100376</v>
      </c>
      <c r="AB236" s="478">
        <v>310000</v>
      </c>
      <c r="AC236" s="479">
        <f>AB236*7/100</f>
        <v>21700</v>
      </c>
      <c r="AD236" s="479">
        <f>AB236+AC236</f>
        <v>331700</v>
      </c>
      <c r="AE236" s="126">
        <v>43422</v>
      </c>
      <c r="AF236" s="359" t="s">
        <v>869</v>
      </c>
      <c r="AG236" s="424"/>
      <c r="AH236" s="359"/>
      <c r="AI236" s="360" t="s">
        <v>1301</v>
      </c>
      <c r="AJ236" s="390">
        <v>1</v>
      </c>
      <c r="AK236" s="394" t="s">
        <v>760</v>
      </c>
      <c r="AL236" s="392" t="s">
        <v>1205</v>
      </c>
      <c r="AM236" s="392"/>
      <c r="AN236" s="392">
        <v>2</v>
      </c>
      <c r="AO236" s="393" t="s">
        <v>636</v>
      </c>
      <c r="AP236" s="395"/>
      <c r="AQ236" s="395"/>
      <c r="AR236" s="390"/>
      <c r="AS236" s="390"/>
      <c r="AT236" s="395"/>
      <c r="AU236" s="395"/>
      <c r="AV236" s="361"/>
      <c r="AW236" s="361"/>
      <c r="AX236" s="128"/>
      <c r="AY236" s="128"/>
      <c r="AZ236" s="361"/>
      <c r="BA236" s="361"/>
      <c r="BB236" s="361"/>
      <c r="BC236" s="361"/>
      <c r="BD236" s="128"/>
      <c r="BE236" s="128"/>
      <c r="BF236" s="361"/>
      <c r="BG236" s="361"/>
      <c r="BH236" s="361"/>
      <c r="BI236" s="361"/>
      <c r="BJ236" s="128"/>
      <c r="BK236" s="128"/>
      <c r="BL236" s="361"/>
      <c r="BM236" s="361"/>
      <c r="BN236" s="361"/>
      <c r="BO236" s="361"/>
      <c r="BP236" s="128"/>
      <c r="BQ236" s="128"/>
      <c r="BR236" s="361"/>
      <c r="BS236" s="361"/>
      <c r="BT236" s="361"/>
      <c r="BU236" s="361"/>
      <c r="BV236" s="128"/>
      <c r="BW236" s="128"/>
      <c r="BX236" s="361"/>
      <c r="BY236" s="361"/>
      <c r="BZ236" s="361"/>
      <c r="CA236" s="361"/>
      <c r="CB236" s="128"/>
      <c r="CC236" s="128"/>
      <c r="CD236" s="361"/>
      <c r="CE236" s="361"/>
    </row>
    <row r="237" spans="1:83" x14ac:dyDescent="0.5">
      <c r="A237" s="396"/>
      <c r="B237" s="241"/>
      <c r="C237" s="397"/>
      <c r="D237" s="398"/>
      <c r="E237" s="399"/>
      <c r="F237" s="400"/>
      <c r="G237" s="186">
        <v>43370</v>
      </c>
      <c r="H237" s="187">
        <v>18336</v>
      </c>
      <c r="I237" s="412"/>
      <c r="J237" s="203"/>
      <c r="K237" s="401"/>
      <c r="L237" s="401"/>
      <c r="M237" s="401"/>
      <c r="N237" s="402"/>
      <c r="O237" s="402"/>
      <c r="P237" s="402"/>
      <c r="Q237" s="462"/>
      <c r="R237" s="566"/>
      <c r="S237" s="403"/>
      <c r="T237" s="468"/>
      <c r="U237" s="567"/>
      <c r="V237" s="408"/>
      <c r="W237" s="409"/>
      <c r="X237" s="409"/>
      <c r="Y237" s="410"/>
      <c r="Z237" s="411"/>
      <c r="AA237" s="413"/>
      <c r="AB237" s="509"/>
      <c r="AC237" s="510"/>
      <c r="AD237" s="510"/>
      <c r="AE237" s="203"/>
      <c r="AF237" s="363"/>
      <c r="AG237" s="415"/>
      <c r="AH237" s="363"/>
      <c r="AI237" s="364"/>
      <c r="AJ237" s="420"/>
      <c r="AK237" s="413"/>
      <c r="AL237" s="418"/>
      <c r="AM237" s="418"/>
      <c r="AN237" s="418"/>
      <c r="AO237" s="419"/>
      <c r="AP237" s="416"/>
      <c r="AQ237" s="416"/>
      <c r="AR237" s="420"/>
      <c r="AS237" s="420"/>
      <c r="AT237" s="416"/>
      <c r="AU237" s="416"/>
      <c r="AV237" s="365"/>
      <c r="AW237" s="365"/>
      <c r="AX237" s="204"/>
      <c r="AY237" s="204"/>
      <c r="AZ237" s="365"/>
      <c r="BA237" s="365"/>
      <c r="BB237" s="365"/>
      <c r="BC237" s="365"/>
      <c r="BD237" s="204"/>
      <c r="BE237" s="204"/>
      <c r="BF237" s="365"/>
      <c r="BG237" s="365"/>
      <c r="BH237" s="365"/>
      <c r="BI237" s="365"/>
      <c r="BJ237" s="204"/>
      <c r="BK237" s="204"/>
      <c r="BL237" s="365"/>
      <c r="BM237" s="365"/>
      <c r="BN237" s="365"/>
      <c r="BO237" s="365"/>
      <c r="BP237" s="204"/>
      <c r="BQ237" s="204"/>
      <c r="BR237" s="365"/>
      <c r="BS237" s="365"/>
      <c r="BT237" s="365"/>
      <c r="BU237" s="365"/>
      <c r="BV237" s="204"/>
      <c r="BW237" s="204"/>
      <c r="BX237" s="365"/>
      <c r="BY237" s="365"/>
      <c r="BZ237" s="365"/>
      <c r="CA237" s="365"/>
      <c r="CB237" s="204"/>
      <c r="CC237" s="204"/>
      <c r="CD237" s="365"/>
      <c r="CE237" s="365"/>
    </row>
    <row r="238" spans="1:83" x14ac:dyDescent="0.5">
      <c r="A238" s="369">
        <v>18085939</v>
      </c>
      <c r="B238" s="370">
        <v>18080737</v>
      </c>
      <c r="C238" s="371">
        <v>176</v>
      </c>
      <c r="D238" s="372" t="s">
        <v>184</v>
      </c>
      <c r="E238" s="373" t="s">
        <v>185</v>
      </c>
      <c r="F238" s="374">
        <v>216</v>
      </c>
      <c r="G238" s="122">
        <v>43370</v>
      </c>
      <c r="H238" s="164">
        <v>18330</v>
      </c>
      <c r="I238" s="127" t="s">
        <v>869</v>
      </c>
      <c r="J238" s="122">
        <v>43371</v>
      </c>
      <c r="K238" s="375" t="s">
        <v>60</v>
      </c>
      <c r="L238" s="375" t="s">
        <v>63</v>
      </c>
      <c r="M238" s="104" t="s">
        <v>53</v>
      </c>
      <c r="N238" s="260">
        <v>1230000</v>
      </c>
      <c r="O238" s="260">
        <v>86100</v>
      </c>
      <c r="P238" s="260">
        <f t="shared" si="51"/>
        <v>1316100</v>
      </c>
      <c r="Q238" s="311">
        <v>25000</v>
      </c>
      <c r="R238" s="165"/>
      <c r="S238" s="166"/>
      <c r="T238" s="167"/>
      <c r="U238" s="568"/>
      <c r="V238" s="551">
        <f>N238-Q238</f>
        <v>1205000</v>
      </c>
      <c r="W238" s="552">
        <v>0.09</v>
      </c>
      <c r="X238" s="552">
        <f>V238*W238/100</f>
        <v>1084.5</v>
      </c>
      <c r="Y238" s="553">
        <v>0.2</v>
      </c>
      <c r="Z238" s="120">
        <f>V238*Y238/100</f>
        <v>2410</v>
      </c>
      <c r="AA238" s="123">
        <v>18100375</v>
      </c>
      <c r="AB238" s="124">
        <v>1230000</v>
      </c>
      <c r="AC238" s="261">
        <f>AB238*7/100</f>
        <v>86100</v>
      </c>
      <c r="AD238" s="261">
        <f>AB238+AC238</f>
        <v>1316100</v>
      </c>
      <c r="AE238" s="126">
        <v>43422</v>
      </c>
      <c r="AF238" s="359" t="s">
        <v>869</v>
      </c>
      <c r="AG238" s="359"/>
      <c r="AH238" s="359"/>
      <c r="AI238" s="360" t="s">
        <v>1301</v>
      </c>
      <c r="AJ238" s="128">
        <v>1</v>
      </c>
      <c r="AK238" s="129" t="s">
        <v>761</v>
      </c>
      <c r="AL238" s="130" t="s">
        <v>1205</v>
      </c>
      <c r="AM238" s="130"/>
      <c r="AN238" s="131">
        <v>1</v>
      </c>
      <c r="AO238" s="169" t="s">
        <v>634</v>
      </c>
      <c r="AP238" s="361"/>
      <c r="AQ238" s="361"/>
      <c r="AR238" s="128"/>
      <c r="AS238" s="128"/>
      <c r="AT238" s="361"/>
      <c r="AU238" s="133"/>
      <c r="AV238" s="361"/>
      <c r="AW238" s="361"/>
      <c r="AX238" s="128"/>
      <c r="AY238" s="128"/>
      <c r="AZ238" s="361"/>
      <c r="BA238" s="133"/>
      <c r="BB238" s="361"/>
      <c r="BC238" s="361"/>
      <c r="BD238" s="128"/>
      <c r="BE238" s="128"/>
      <c r="BF238" s="361"/>
      <c r="BG238" s="133"/>
      <c r="BH238" s="361"/>
      <c r="BI238" s="361"/>
      <c r="BJ238" s="128"/>
      <c r="BK238" s="128"/>
      <c r="BL238" s="361"/>
      <c r="BM238" s="361"/>
      <c r="BN238" s="361"/>
      <c r="BO238" s="361"/>
      <c r="BP238" s="128"/>
      <c r="BQ238" s="128"/>
      <c r="BR238" s="361"/>
      <c r="BS238" s="361"/>
      <c r="BT238" s="361"/>
      <c r="BU238" s="361"/>
      <c r="BV238" s="128"/>
      <c r="BW238" s="128"/>
      <c r="BX238" s="361"/>
      <c r="BY238" s="361"/>
      <c r="BZ238" s="361"/>
      <c r="CA238" s="361"/>
      <c r="CB238" s="128"/>
      <c r="CC238" s="128"/>
      <c r="CD238" s="361"/>
      <c r="CE238" s="361"/>
    </row>
    <row r="239" spans="1:83" x14ac:dyDescent="0.5">
      <c r="A239" s="481"/>
      <c r="B239" s="256"/>
      <c r="C239" s="482"/>
      <c r="D239" s="483"/>
      <c r="E239" s="484"/>
      <c r="F239" s="569"/>
      <c r="G239" s="170">
        <v>43370</v>
      </c>
      <c r="H239" s="251">
        <v>18331</v>
      </c>
      <c r="I239" s="152"/>
      <c r="J239" s="179"/>
      <c r="K239" s="433"/>
      <c r="L239" s="433"/>
      <c r="M239" s="135"/>
      <c r="N239" s="253"/>
      <c r="O239" s="253"/>
      <c r="P239" s="253"/>
      <c r="Q239" s="143"/>
      <c r="R239" s="172"/>
      <c r="S239" s="173"/>
      <c r="T239" s="174"/>
      <c r="U239" s="570"/>
      <c r="V239" s="555"/>
      <c r="W239" s="556"/>
      <c r="X239" s="556"/>
      <c r="Y239" s="557"/>
      <c r="Z239" s="151"/>
      <c r="AA239" s="154"/>
      <c r="AB239" s="155"/>
      <c r="AC239" s="255"/>
      <c r="AD239" s="255"/>
      <c r="AE239" s="157"/>
      <c r="AF239" s="450"/>
      <c r="AG239" s="450"/>
      <c r="AH239" s="450"/>
      <c r="AI239" s="452"/>
      <c r="AJ239" s="158"/>
      <c r="AK239" s="159"/>
      <c r="AL239" s="160"/>
      <c r="AM239" s="160"/>
      <c r="AN239" s="161"/>
      <c r="AO239" s="177"/>
      <c r="AP239" s="458"/>
      <c r="AQ239" s="458"/>
      <c r="AR239" s="158"/>
      <c r="AS239" s="158"/>
      <c r="AT239" s="458"/>
      <c r="AU239" s="163"/>
      <c r="AV239" s="458"/>
      <c r="AW239" s="458"/>
      <c r="AX239" s="158"/>
      <c r="AY239" s="158"/>
      <c r="AZ239" s="458"/>
      <c r="BA239" s="163"/>
      <c r="BB239" s="458"/>
      <c r="BC239" s="458"/>
      <c r="BD239" s="158"/>
      <c r="BE239" s="158"/>
      <c r="BF239" s="458"/>
      <c r="BG239" s="163"/>
      <c r="BH239" s="458"/>
      <c r="BI239" s="458"/>
      <c r="BJ239" s="158"/>
      <c r="BK239" s="158"/>
      <c r="BL239" s="458"/>
      <c r="BM239" s="458"/>
      <c r="BN239" s="458"/>
      <c r="BO239" s="458"/>
      <c r="BP239" s="158"/>
      <c r="BQ239" s="158"/>
      <c r="BR239" s="458"/>
      <c r="BS239" s="458"/>
      <c r="BT239" s="458"/>
      <c r="BU239" s="458"/>
      <c r="BV239" s="158"/>
      <c r="BW239" s="158"/>
      <c r="BX239" s="458"/>
      <c r="BY239" s="458"/>
      <c r="BZ239" s="458"/>
      <c r="CA239" s="458"/>
      <c r="CB239" s="158"/>
      <c r="CC239" s="158"/>
      <c r="CD239" s="458"/>
      <c r="CE239" s="458"/>
    </row>
    <row r="240" spans="1:83" x14ac:dyDescent="0.5">
      <c r="A240" s="481"/>
      <c r="B240" s="256"/>
      <c r="C240" s="482"/>
      <c r="D240" s="483"/>
      <c r="E240" s="484"/>
      <c r="F240" s="569"/>
      <c r="G240" s="179">
        <v>43370</v>
      </c>
      <c r="H240" s="563">
        <v>18332</v>
      </c>
      <c r="I240" s="152"/>
      <c r="J240" s="179"/>
      <c r="K240" s="433"/>
      <c r="L240" s="433"/>
      <c r="M240" s="135"/>
      <c r="N240" s="253"/>
      <c r="O240" s="253"/>
      <c r="P240" s="253"/>
      <c r="Q240" s="143"/>
      <c r="R240" s="172"/>
      <c r="S240" s="173"/>
      <c r="T240" s="174"/>
      <c r="U240" s="570"/>
      <c r="V240" s="555"/>
      <c r="W240" s="556"/>
      <c r="X240" s="556"/>
      <c r="Y240" s="557"/>
      <c r="Z240" s="151"/>
      <c r="AA240" s="154"/>
      <c r="AB240" s="155"/>
      <c r="AC240" s="255"/>
      <c r="AD240" s="255"/>
      <c r="AE240" s="157"/>
      <c r="AF240" s="450"/>
      <c r="AG240" s="450"/>
      <c r="AH240" s="450"/>
      <c r="AI240" s="452"/>
      <c r="AJ240" s="158"/>
      <c r="AK240" s="159"/>
      <c r="AL240" s="160"/>
      <c r="AM240" s="160"/>
      <c r="AN240" s="161"/>
      <c r="AO240" s="177"/>
      <c r="AP240" s="458"/>
      <c r="AQ240" s="458"/>
      <c r="AR240" s="158"/>
      <c r="AS240" s="158"/>
      <c r="AT240" s="458"/>
      <c r="AU240" s="163"/>
      <c r="AV240" s="458"/>
      <c r="AW240" s="458"/>
      <c r="AX240" s="158"/>
      <c r="AY240" s="158"/>
      <c r="AZ240" s="458"/>
      <c r="BA240" s="163"/>
      <c r="BB240" s="458"/>
      <c r="BC240" s="458"/>
      <c r="BD240" s="158"/>
      <c r="BE240" s="158"/>
      <c r="BF240" s="458"/>
      <c r="BG240" s="163"/>
      <c r="BH240" s="458"/>
      <c r="BI240" s="458"/>
      <c r="BJ240" s="158"/>
      <c r="BK240" s="158"/>
      <c r="BL240" s="458"/>
      <c r="BM240" s="458"/>
      <c r="BN240" s="458"/>
      <c r="BO240" s="458"/>
      <c r="BP240" s="158"/>
      <c r="BQ240" s="158"/>
      <c r="BR240" s="458"/>
      <c r="BS240" s="458"/>
      <c r="BT240" s="458"/>
      <c r="BU240" s="458"/>
      <c r="BV240" s="158"/>
      <c r="BW240" s="158"/>
      <c r="BX240" s="458"/>
      <c r="BY240" s="458"/>
      <c r="BZ240" s="458"/>
      <c r="CA240" s="458"/>
      <c r="CB240" s="158"/>
      <c r="CC240" s="158"/>
      <c r="CD240" s="458"/>
      <c r="CE240" s="458"/>
    </row>
    <row r="241" spans="1:83" x14ac:dyDescent="0.5">
      <c r="A241" s="481"/>
      <c r="B241" s="256"/>
      <c r="C241" s="482"/>
      <c r="D241" s="483"/>
      <c r="E241" s="484"/>
      <c r="F241" s="569"/>
      <c r="G241" s="170">
        <v>43370</v>
      </c>
      <c r="H241" s="251">
        <v>18333</v>
      </c>
      <c r="I241" s="152"/>
      <c r="J241" s="179"/>
      <c r="K241" s="433"/>
      <c r="L241" s="433"/>
      <c r="M241" s="135"/>
      <c r="N241" s="253"/>
      <c r="O241" s="253"/>
      <c r="P241" s="253"/>
      <c r="Q241" s="143"/>
      <c r="R241" s="172"/>
      <c r="S241" s="173"/>
      <c r="T241" s="174"/>
      <c r="U241" s="570"/>
      <c r="V241" s="555"/>
      <c r="W241" s="556"/>
      <c r="X241" s="556"/>
      <c r="Y241" s="557"/>
      <c r="Z241" s="151"/>
      <c r="AA241" s="154"/>
      <c r="AB241" s="155"/>
      <c r="AC241" s="255"/>
      <c r="AD241" s="255"/>
      <c r="AE241" s="157"/>
      <c r="AF241" s="450"/>
      <c r="AG241" s="450"/>
      <c r="AH241" s="450"/>
      <c r="AI241" s="452"/>
      <c r="AJ241" s="158"/>
      <c r="AK241" s="159"/>
      <c r="AL241" s="160"/>
      <c r="AM241" s="160"/>
      <c r="AN241" s="161"/>
      <c r="AO241" s="177"/>
      <c r="AP241" s="458"/>
      <c r="AQ241" s="458"/>
      <c r="AR241" s="158"/>
      <c r="AS241" s="158"/>
      <c r="AT241" s="458"/>
      <c r="AU241" s="163"/>
      <c r="AV241" s="458"/>
      <c r="AW241" s="458"/>
      <c r="AX241" s="158"/>
      <c r="AY241" s="158"/>
      <c r="AZ241" s="458"/>
      <c r="BA241" s="163"/>
      <c r="BB241" s="458"/>
      <c r="BC241" s="458"/>
      <c r="BD241" s="158"/>
      <c r="BE241" s="158"/>
      <c r="BF241" s="458"/>
      <c r="BG241" s="163"/>
      <c r="BH241" s="458"/>
      <c r="BI241" s="458"/>
      <c r="BJ241" s="158"/>
      <c r="BK241" s="158"/>
      <c r="BL241" s="458"/>
      <c r="BM241" s="458"/>
      <c r="BN241" s="458"/>
      <c r="BO241" s="458"/>
      <c r="BP241" s="158"/>
      <c r="BQ241" s="158"/>
      <c r="BR241" s="458"/>
      <c r="BS241" s="458"/>
      <c r="BT241" s="458"/>
      <c r="BU241" s="458"/>
      <c r="BV241" s="158"/>
      <c r="BW241" s="158"/>
      <c r="BX241" s="458"/>
      <c r="BY241" s="458"/>
      <c r="BZ241" s="458"/>
      <c r="CA241" s="458"/>
      <c r="CB241" s="158"/>
      <c r="CC241" s="158"/>
      <c r="CD241" s="458"/>
      <c r="CE241" s="458"/>
    </row>
    <row r="242" spans="1:83" x14ac:dyDescent="0.5">
      <c r="A242" s="396">
        <v>18085939</v>
      </c>
      <c r="B242" s="241"/>
      <c r="C242" s="397"/>
      <c r="D242" s="398"/>
      <c r="E242" s="399"/>
      <c r="F242" s="400"/>
      <c r="G242" s="186">
        <v>43374</v>
      </c>
      <c r="H242" s="187">
        <v>18344</v>
      </c>
      <c r="I242" s="199"/>
      <c r="J242" s="186"/>
      <c r="K242" s="401" t="s">
        <v>60</v>
      </c>
      <c r="L242" s="401" t="s">
        <v>63</v>
      </c>
      <c r="M242" s="181"/>
      <c r="N242" s="237"/>
      <c r="O242" s="237"/>
      <c r="P242" s="237"/>
      <c r="Q242" s="190"/>
      <c r="R242" s="191"/>
      <c r="S242" s="192"/>
      <c r="T242" s="193"/>
      <c r="U242" s="571"/>
      <c r="V242" s="560"/>
      <c r="W242" s="561"/>
      <c r="X242" s="561"/>
      <c r="Y242" s="562"/>
      <c r="Z242" s="198"/>
      <c r="AA242" s="200"/>
      <c r="AB242" s="201"/>
      <c r="AC242" s="240"/>
      <c r="AD242" s="240"/>
      <c r="AE242" s="203"/>
      <c r="AF242" s="363"/>
      <c r="AG242" s="363"/>
      <c r="AH242" s="363"/>
      <c r="AI242" s="364"/>
      <c r="AJ242" s="204"/>
      <c r="AK242" s="205"/>
      <c r="AL242" s="206"/>
      <c r="AM242" s="206"/>
      <c r="AN242" s="207"/>
      <c r="AO242" s="208"/>
      <c r="AP242" s="365"/>
      <c r="AQ242" s="365"/>
      <c r="AR242" s="204"/>
      <c r="AS242" s="204"/>
      <c r="AT242" s="365"/>
      <c r="AU242" s="210"/>
      <c r="AV242" s="365"/>
      <c r="AW242" s="365"/>
      <c r="AX242" s="204"/>
      <c r="AY242" s="204"/>
      <c r="AZ242" s="365"/>
      <c r="BA242" s="210"/>
      <c r="BB242" s="365"/>
      <c r="BC242" s="365"/>
      <c r="BD242" s="204"/>
      <c r="BE242" s="204"/>
      <c r="BF242" s="365"/>
      <c r="BG242" s="210"/>
      <c r="BH242" s="365"/>
      <c r="BI242" s="365"/>
      <c r="BJ242" s="204"/>
      <c r="BK242" s="204"/>
      <c r="BL242" s="365"/>
      <c r="BM242" s="365"/>
      <c r="BN242" s="365"/>
      <c r="BO242" s="365"/>
      <c r="BP242" s="204"/>
      <c r="BQ242" s="204"/>
      <c r="BR242" s="365"/>
      <c r="BS242" s="365"/>
      <c r="BT242" s="365"/>
      <c r="BU242" s="365"/>
      <c r="BV242" s="204"/>
      <c r="BW242" s="204"/>
      <c r="BX242" s="365"/>
      <c r="BY242" s="365"/>
      <c r="BZ242" s="365"/>
      <c r="CA242" s="365"/>
      <c r="CB242" s="204"/>
      <c r="CC242" s="204"/>
      <c r="CD242" s="365"/>
      <c r="CE242" s="365"/>
    </row>
    <row r="243" spans="1:83" x14ac:dyDescent="0.5">
      <c r="A243" s="227">
        <v>18085938</v>
      </c>
      <c r="B243" s="22">
        <v>18080752</v>
      </c>
      <c r="C243" s="55"/>
      <c r="D243" s="56"/>
      <c r="K243" s="42" t="s">
        <v>64</v>
      </c>
      <c r="L243" s="520" t="s">
        <v>65</v>
      </c>
      <c r="M243" s="22" t="s">
        <v>51</v>
      </c>
      <c r="N243" s="63">
        <v>21500</v>
      </c>
      <c r="O243" s="63">
        <v>1505</v>
      </c>
      <c r="P243" s="63">
        <f t="shared" si="51"/>
        <v>23005</v>
      </c>
      <c r="AA243" s="40">
        <v>19030331</v>
      </c>
      <c r="AB243" s="41">
        <v>21500</v>
      </c>
      <c r="AC243" s="52">
        <f>AB243*7/100</f>
        <v>1505</v>
      </c>
      <c r="AD243" s="52">
        <f>AB243+AC243</f>
        <v>23005</v>
      </c>
      <c r="AE243" s="53">
        <v>43383</v>
      </c>
      <c r="AF243" s="39" t="s">
        <v>869</v>
      </c>
      <c r="AI243" s="21" t="s">
        <v>1805</v>
      </c>
      <c r="AJ243" s="44">
        <v>1</v>
      </c>
      <c r="AK243" s="45">
        <v>180731</v>
      </c>
      <c r="AN243" s="47">
        <v>1</v>
      </c>
      <c r="AO243" s="48" t="s">
        <v>628</v>
      </c>
      <c r="AP243" s="356"/>
      <c r="AQ243" s="356"/>
      <c r="AR243" s="44"/>
      <c r="AS243" s="44"/>
      <c r="AT243" s="356"/>
      <c r="AU243" s="54"/>
      <c r="AV243" s="356"/>
      <c r="AW243" s="356"/>
      <c r="AX243" s="44"/>
      <c r="AY243" s="44"/>
      <c r="AZ243" s="356"/>
      <c r="BA243" s="54"/>
      <c r="BB243" s="356"/>
      <c r="BC243" s="356"/>
      <c r="BD243" s="44"/>
      <c r="BE243" s="44"/>
      <c r="BF243" s="356"/>
      <c r="BG243" s="54"/>
      <c r="BH243" s="356"/>
      <c r="BI243" s="356"/>
      <c r="BJ243" s="44"/>
      <c r="BK243" s="44"/>
      <c r="BL243" s="356"/>
      <c r="BM243" s="356"/>
      <c r="BN243" s="356"/>
      <c r="BO243" s="356"/>
      <c r="BP243" s="44"/>
      <c r="BQ243" s="44"/>
      <c r="BR243" s="356"/>
      <c r="BS243" s="356"/>
      <c r="BT243" s="356"/>
      <c r="BU243" s="356"/>
      <c r="BV243" s="44"/>
      <c r="BW243" s="44"/>
      <c r="BX243" s="356"/>
      <c r="BY243" s="356"/>
      <c r="BZ243" s="356"/>
      <c r="CA243" s="356"/>
      <c r="CB243" s="44"/>
      <c r="CC243" s="44"/>
      <c r="CD243" s="44"/>
      <c r="CE243" s="44"/>
    </row>
    <row r="244" spans="1:83" x14ac:dyDescent="0.5">
      <c r="A244" s="369">
        <v>18085937</v>
      </c>
      <c r="B244" s="370">
        <v>18080740</v>
      </c>
      <c r="C244" s="371">
        <v>174</v>
      </c>
      <c r="D244" s="372" t="s">
        <v>184</v>
      </c>
      <c r="E244" s="373" t="s">
        <v>185</v>
      </c>
      <c r="F244" s="374">
        <v>209</v>
      </c>
      <c r="G244" s="211">
        <v>43362</v>
      </c>
      <c r="H244" s="109">
        <v>18318</v>
      </c>
      <c r="I244" s="368" t="s">
        <v>869</v>
      </c>
      <c r="J244" s="126">
        <v>43362</v>
      </c>
      <c r="K244" s="375" t="s">
        <v>66</v>
      </c>
      <c r="L244" s="375" t="s">
        <v>67</v>
      </c>
      <c r="M244" s="375" t="s">
        <v>68</v>
      </c>
      <c r="N244" s="376">
        <v>1214953.27</v>
      </c>
      <c r="O244" s="376">
        <v>85046.73</v>
      </c>
      <c r="P244" s="376">
        <f t="shared" si="51"/>
        <v>1300000</v>
      </c>
      <c r="Q244" s="377"/>
      <c r="R244" s="572"/>
      <c r="S244" s="379">
        <f>N244</f>
        <v>1214953.27</v>
      </c>
      <c r="T244" s="465"/>
      <c r="U244" s="381">
        <v>35000</v>
      </c>
      <c r="V244" s="382">
        <f>S244-U244</f>
        <v>1179953.27</v>
      </c>
      <c r="W244" s="383">
        <v>0.18</v>
      </c>
      <c r="X244" s="383">
        <f>V244*W244/100</f>
        <v>2123.9158859999998</v>
      </c>
      <c r="Y244" s="384">
        <v>0.2</v>
      </c>
      <c r="Z244" s="385">
        <f>V244*Y244/100</f>
        <v>2359.9065399999999</v>
      </c>
      <c r="AA244" s="394">
        <v>18090350</v>
      </c>
      <c r="AB244" s="124">
        <v>850467.29</v>
      </c>
      <c r="AC244" s="479">
        <f>AB244*7/100</f>
        <v>59532.710300000006</v>
      </c>
      <c r="AD244" s="479">
        <f>AB244+AC244</f>
        <v>910000.00030000007</v>
      </c>
      <c r="AE244" s="126">
        <v>43361</v>
      </c>
      <c r="AF244" s="368" t="s">
        <v>869</v>
      </c>
      <c r="AG244" s="573"/>
      <c r="AH244" s="368"/>
      <c r="AI244" s="429" t="s">
        <v>1037</v>
      </c>
      <c r="AJ244" s="390">
        <v>1</v>
      </c>
      <c r="AK244" s="391" t="s">
        <v>749</v>
      </c>
      <c r="AL244" s="392" t="s">
        <v>1205</v>
      </c>
      <c r="AM244" s="131"/>
      <c r="AN244" s="392">
        <v>2</v>
      </c>
      <c r="AO244" s="431" t="s">
        <v>634</v>
      </c>
      <c r="AP244" s="390">
        <v>2</v>
      </c>
      <c r="AQ244" s="391" t="s">
        <v>750</v>
      </c>
      <c r="AR244" s="392" t="s">
        <v>1205</v>
      </c>
      <c r="AS244" s="392"/>
      <c r="AT244" s="392">
        <v>1</v>
      </c>
      <c r="AU244" s="431" t="s">
        <v>634</v>
      </c>
      <c r="AV244" s="361"/>
      <c r="AW244" s="361"/>
      <c r="AX244" s="128"/>
      <c r="AY244" s="128"/>
      <c r="AZ244" s="361"/>
      <c r="BA244" s="361"/>
      <c r="BB244" s="361"/>
      <c r="BC244" s="361"/>
      <c r="BD244" s="128"/>
      <c r="BE244" s="128"/>
      <c r="BF244" s="361"/>
      <c r="BG244" s="361"/>
      <c r="BH244" s="361"/>
      <c r="BI244" s="361"/>
      <c r="BJ244" s="128"/>
      <c r="BK244" s="128"/>
      <c r="BL244" s="361"/>
      <c r="BM244" s="361"/>
      <c r="BN244" s="361"/>
      <c r="BO244" s="361"/>
      <c r="BP244" s="128"/>
      <c r="BQ244" s="128"/>
      <c r="BR244" s="361"/>
      <c r="BS244" s="361"/>
      <c r="BT244" s="361"/>
      <c r="BU244" s="361"/>
      <c r="BV244" s="128"/>
      <c r="BW244" s="128"/>
      <c r="BX244" s="361"/>
      <c r="BY244" s="361"/>
      <c r="BZ244" s="361"/>
      <c r="CA244" s="361"/>
      <c r="CB244" s="128"/>
      <c r="CC244" s="128"/>
      <c r="CD244" s="361"/>
      <c r="CE244" s="361"/>
    </row>
    <row r="245" spans="1:83" x14ac:dyDescent="0.5">
      <c r="A245" s="481"/>
      <c r="B245" s="256"/>
      <c r="C245" s="482"/>
      <c r="D245" s="483"/>
      <c r="E245" s="484"/>
      <c r="F245" s="569"/>
      <c r="G245" s="170">
        <v>43362</v>
      </c>
      <c r="H245" s="251">
        <v>18319</v>
      </c>
      <c r="I245" s="446"/>
      <c r="J245" s="157"/>
      <c r="K245" s="433"/>
      <c r="L245" s="433"/>
      <c r="M245" s="433"/>
      <c r="N245" s="436"/>
      <c r="O245" s="436"/>
      <c r="P245" s="436"/>
      <c r="Q245" s="574"/>
      <c r="R245" s="575"/>
      <c r="S245" s="439"/>
      <c r="T245" s="576"/>
      <c r="U245" s="441"/>
      <c r="V245" s="442"/>
      <c r="W245" s="443"/>
      <c r="X245" s="443"/>
      <c r="Y245" s="444"/>
      <c r="Z245" s="445"/>
      <c r="AA245" s="448">
        <v>18090351</v>
      </c>
      <c r="AB245" s="494">
        <v>364485.98</v>
      </c>
      <c r="AC245" s="495">
        <f>AB245*7/100</f>
        <v>25514.018599999999</v>
      </c>
      <c r="AD245" s="495">
        <f>AB245+AC245</f>
        <v>389999.99859999999</v>
      </c>
      <c r="AE245" s="157">
        <v>43361</v>
      </c>
      <c r="AF245" s="446" t="s">
        <v>869</v>
      </c>
      <c r="AG245" s="432"/>
      <c r="AH245" s="446"/>
      <c r="AI245" s="577" t="s">
        <v>1041</v>
      </c>
      <c r="AJ245" s="578"/>
      <c r="AK245" s="456"/>
      <c r="AL245" s="454"/>
      <c r="AM245" s="161"/>
      <c r="AN245" s="448"/>
      <c r="AO245" s="455"/>
      <c r="AP245" s="578"/>
      <c r="AQ245" s="456"/>
      <c r="AR245" s="454"/>
      <c r="AS245" s="454"/>
      <c r="AT245" s="448"/>
      <c r="AU245" s="455"/>
      <c r="AV245" s="458"/>
      <c r="AW245" s="458"/>
      <c r="AX245" s="158"/>
      <c r="AY245" s="158"/>
      <c r="AZ245" s="458"/>
      <c r="BA245" s="458"/>
      <c r="BB245" s="458"/>
      <c r="BC245" s="458"/>
      <c r="BD245" s="158"/>
      <c r="BE245" s="158"/>
      <c r="BF245" s="458"/>
      <c r="BG245" s="458"/>
      <c r="BH245" s="458"/>
      <c r="BI245" s="458"/>
      <c r="BJ245" s="158"/>
      <c r="BK245" s="158"/>
      <c r="BL245" s="458"/>
      <c r="BM245" s="458"/>
      <c r="BN245" s="458"/>
      <c r="BO245" s="458"/>
      <c r="BP245" s="158"/>
      <c r="BQ245" s="158"/>
      <c r="BR245" s="458"/>
      <c r="BS245" s="458"/>
      <c r="BT245" s="458"/>
      <c r="BU245" s="458"/>
      <c r="BV245" s="158"/>
      <c r="BW245" s="158"/>
      <c r="BX245" s="458"/>
      <c r="BY245" s="458"/>
      <c r="BZ245" s="458"/>
      <c r="CA245" s="458"/>
      <c r="CB245" s="158"/>
      <c r="CC245" s="158"/>
      <c r="CD245" s="458"/>
      <c r="CE245" s="458"/>
    </row>
    <row r="246" spans="1:83" x14ac:dyDescent="0.5">
      <c r="A246" s="396"/>
      <c r="B246" s="241"/>
      <c r="C246" s="397"/>
      <c r="D246" s="398"/>
      <c r="E246" s="399"/>
      <c r="F246" s="400"/>
      <c r="G246" s="186">
        <v>43362</v>
      </c>
      <c r="H246" s="187">
        <v>18320</v>
      </c>
      <c r="I246" s="412"/>
      <c r="J246" s="203"/>
      <c r="K246" s="401"/>
      <c r="L246" s="401"/>
      <c r="M246" s="401"/>
      <c r="N246" s="402"/>
      <c r="O246" s="402"/>
      <c r="P246" s="402"/>
      <c r="Q246" s="403"/>
      <c r="R246" s="579"/>
      <c r="S246" s="405"/>
      <c r="T246" s="468"/>
      <c r="U246" s="407"/>
      <c r="V246" s="408"/>
      <c r="W246" s="409"/>
      <c r="X246" s="409"/>
      <c r="Y246" s="410"/>
      <c r="Z246" s="411"/>
      <c r="AA246" s="417"/>
      <c r="AB246" s="509"/>
      <c r="AC246" s="510"/>
      <c r="AD246" s="510"/>
      <c r="AE246" s="241"/>
      <c r="AF246" s="412"/>
      <c r="AG246" s="460"/>
      <c r="AH246" s="412"/>
      <c r="AI246" s="580"/>
      <c r="AJ246" s="581"/>
      <c r="AK246" s="417"/>
      <c r="AL246" s="418"/>
      <c r="AM246" s="207"/>
      <c r="AN246" s="413"/>
      <c r="AO246" s="463"/>
      <c r="AP246" s="581"/>
      <c r="AQ246" s="417"/>
      <c r="AR246" s="418"/>
      <c r="AS246" s="418"/>
      <c r="AT246" s="413"/>
      <c r="AU246" s="463"/>
      <c r="AV246" s="365"/>
      <c r="AW246" s="365"/>
      <c r="AX246" s="204"/>
      <c r="AY246" s="204"/>
      <c r="AZ246" s="365"/>
      <c r="BA246" s="365"/>
      <c r="BB246" s="365"/>
      <c r="BC246" s="365"/>
      <c r="BD246" s="204"/>
      <c r="BE246" s="204"/>
      <c r="BF246" s="365"/>
      <c r="BG246" s="365"/>
      <c r="BH246" s="365"/>
      <c r="BI246" s="365"/>
      <c r="BJ246" s="204"/>
      <c r="BK246" s="204"/>
      <c r="BL246" s="365"/>
      <c r="BM246" s="365"/>
      <c r="BN246" s="365"/>
      <c r="BO246" s="365"/>
      <c r="BP246" s="204"/>
      <c r="BQ246" s="204"/>
      <c r="BR246" s="365"/>
      <c r="BS246" s="365"/>
      <c r="BT246" s="365"/>
      <c r="BU246" s="365"/>
      <c r="BV246" s="204"/>
      <c r="BW246" s="204"/>
      <c r="BX246" s="365"/>
      <c r="BY246" s="365"/>
      <c r="BZ246" s="365"/>
      <c r="CA246" s="365"/>
      <c r="CB246" s="204"/>
      <c r="CC246" s="204"/>
      <c r="CD246" s="365"/>
      <c r="CE246" s="365"/>
    </row>
    <row r="247" spans="1:83" x14ac:dyDescent="0.5">
      <c r="A247" s="227">
        <v>18085936</v>
      </c>
      <c r="B247" s="22">
        <v>18080744</v>
      </c>
      <c r="C247" s="55"/>
      <c r="D247" s="56"/>
      <c r="E247" s="57"/>
      <c r="F247" s="58"/>
      <c r="G247" s="59"/>
      <c r="H247" s="60"/>
      <c r="K247" s="42" t="s">
        <v>20</v>
      </c>
      <c r="L247" s="520" t="s">
        <v>69</v>
      </c>
      <c r="M247" s="22" t="s">
        <v>51</v>
      </c>
      <c r="N247" s="63">
        <v>4400</v>
      </c>
      <c r="O247" s="63">
        <v>308</v>
      </c>
      <c r="P247" s="63">
        <f t="shared" si="51"/>
        <v>4708</v>
      </c>
      <c r="AA247" s="40">
        <v>18090335</v>
      </c>
      <c r="AB247" s="41">
        <v>4400</v>
      </c>
      <c r="AC247" s="64">
        <f>AB247*7/100</f>
        <v>308</v>
      </c>
      <c r="AD247" s="64">
        <f>AB247+AC247</f>
        <v>4708</v>
      </c>
      <c r="AE247" s="53">
        <v>43383</v>
      </c>
      <c r="AF247" s="39" t="s">
        <v>869</v>
      </c>
      <c r="AI247" s="21" t="s">
        <v>1172</v>
      </c>
      <c r="AJ247" s="44">
        <v>1</v>
      </c>
      <c r="AK247" s="45" t="s">
        <v>404</v>
      </c>
      <c r="AN247" s="47">
        <v>1</v>
      </c>
      <c r="AO247" s="102"/>
      <c r="AP247" s="356"/>
      <c r="AQ247" s="356"/>
      <c r="AR247" s="44"/>
      <c r="AS247" s="44"/>
      <c r="AT247" s="356"/>
      <c r="AU247" s="54"/>
      <c r="AV247" s="356"/>
      <c r="AW247" s="356"/>
      <c r="AX247" s="44"/>
      <c r="AY247" s="44"/>
      <c r="AZ247" s="356"/>
      <c r="BA247" s="54"/>
      <c r="BB247" s="356"/>
      <c r="BC247" s="356"/>
      <c r="BD247" s="44"/>
      <c r="BE247" s="44"/>
      <c r="BF247" s="356"/>
      <c r="BG247" s="54"/>
      <c r="BH247" s="356"/>
      <c r="BI247" s="356"/>
      <c r="BJ247" s="44"/>
      <c r="BK247" s="44"/>
      <c r="BL247" s="356"/>
      <c r="BM247" s="356"/>
      <c r="BN247" s="356"/>
      <c r="BO247" s="356"/>
      <c r="BP247" s="44"/>
      <c r="BQ247" s="44"/>
      <c r="BR247" s="356"/>
      <c r="BS247" s="356"/>
      <c r="BT247" s="356"/>
      <c r="BU247" s="356"/>
      <c r="BV247" s="44"/>
      <c r="BW247" s="44"/>
      <c r="BX247" s="356"/>
      <c r="BY247" s="356"/>
      <c r="BZ247" s="356"/>
      <c r="CA247" s="356"/>
      <c r="CB247" s="44"/>
      <c r="CC247" s="44"/>
      <c r="CD247" s="44"/>
      <c r="CE247" s="44"/>
    </row>
    <row r="248" spans="1:83" x14ac:dyDescent="0.5">
      <c r="A248" s="227">
        <v>18085935</v>
      </c>
      <c r="B248" s="22">
        <v>18080730</v>
      </c>
      <c r="C248" s="23">
        <v>173</v>
      </c>
      <c r="D248" s="24" t="s">
        <v>184</v>
      </c>
      <c r="E248" s="25" t="s">
        <v>185</v>
      </c>
      <c r="F248" s="26">
        <v>195</v>
      </c>
      <c r="G248" s="62">
        <v>43354</v>
      </c>
      <c r="H248" s="27">
        <v>18300</v>
      </c>
      <c r="I248" s="39" t="s">
        <v>869</v>
      </c>
      <c r="J248" s="62">
        <v>43354</v>
      </c>
      <c r="K248" s="42" t="s">
        <v>10</v>
      </c>
      <c r="L248" s="520" t="s">
        <v>70</v>
      </c>
      <c r="M248" s="22" t="s">
        <v>51</v>
      </c>
      <c r="N248" s="63">
        <v>100000</v>
      </c>
      <c r="O248" s="63">
        <v>7000</v>
      </c>
      <c r="P248" s="63">
        <f t="shared" si="51"/>
        <v>107000</v>
      </c>
      <c r="AA248" s="40">
        <v>18090334</v>
      </c>
      <c r="AB248" s="41">
        <v>100000</v>
      </c>
      <c r="AC248" s="52">
        <f>AB248*7/100</f>
        <v>7000</v>
      </c>
      <c r="AD248" s="52">
        <f>AB248+AC248</f>
        <v>107000</v>
      </c>
      <c r="AE248" s="53">
        <v>43383</v>
      </c>
      <c r="AF248" s="39" t="s">
        <v>869</v>
      </c>
      <c r="AI248" s="21" t="s">
        <v>1185</v>
      </c>
      <c r="AJ248" s="44">
        <v>1</v>
      </c>
      <c r="AK248" s="45" t="s">
        <v>738</v>
      </c>
      <c r="AL248" s="46" t="s">
        <v>1205</v>
      </c>
      <c r="AN248" s="47">
        <v>1</v>
      </c>
      <c r="AO248" s="48" t="s">
        <v>633</v>
      </c>
      <c r="AP248" s="356"/>
      <c r="AQ248" s="356"/>
      <c r="AR248" s="44"/>
      <c r="AS248" s="44"/>
      <c r="AT248" s="356"/>
      <c r="AU248" s="54"/>
      <c r="AV248" s="356"/>
      <c r="AW248" s="356"/>
      <c r="AX248" s="44"/>
      <c r="AY248" s="44"/>
      <c r="AZ248" s="356"/>
      <c r="BA248" s="54"/>
      <c r="BB248" s="356"/>
      <c r="BC248" s="356"/>
      <c r="BD248" s="44"/>
      <c r="BE248" s="44"/>
      <c r="BF248" s="356"/>
      <c r="BG248" s="54"/>
      <c r="BH248" s="356"/>
      <c r="BI248" s="356"/>
      <c r="BJ248" s="44"/>
      <c r="BK248" s="44"/>
      <c r="BL248" s="356"/>
      <c r="BM248" s="356"/>
      <c r="BN248" s="356"/>
      <c r="BO248" s="356"/>
      <c r="BP248" s="44"/>
      <c r="BQ248" s="44"/>
      <c r="BR248" s="356"/>
      <c r="BS248" s="356"/>
      <c r="BT248" s="356"/>
      <c r="BU248" s="356"/>
      <c r="BV248" s="44"/>
      <c r="BW248" s="44"/>
      <c r="BX248" s="356"/>
      <c r="BY248" s="356"/>
      <c r="BZ248" s="356"/>
      <c r="CA248" s="356"/>
      <c r="CB248" s="44"/>
      <c r="CC248" s="44"/>
      <c r="CD248" s="356"/>
      <c r="CE248" s="356"/>
    </row>
    <row r="249" spans="1:83" x14ac:dyDescent="0.5">
      <c r="A249" s="369">
        <v>18085934</v>
      </c>
      <c r="B249" s="370">
        <v>18080729</v>
      </c>
      <c r="C249" s="582">
        <v>172</v>
      </c>
      <c r="D249" s="372" t="s">
        <v>184</v>
      </c>
      <c r="E249" s="373" t="s">
        <v>185</v>
      </c>
      <c r="F249" s="374">
        <v>228</v>
      </c>
      <c r="G249" s="122">
        <v>43386</v>
      </c>
      <c r="H249" s="164">
        <v>18360</v>
      </c>
      <c r="I249" s="368" t="s">
        <v>869</v>
      </c>
      <c r="J249" s="126">
        <v>43388</v>
      </c>
      <c r="K249" s="375" t="s">
        <v>60</v>
      </c>
      <c r="L249" s="375" t="s">
        <v>71</v>
      </c>
      <c r="M249" s="375" t="s">
        <v>51</v>
      </c>
      <c r="N249" s="376">
        <v>2090000</v>
      </c>
      <c r="O249" s="376">
        <v>146300</v>
      </c>
      <c r="P249" s="376">
        <f t="shared" si="51"/>
        <v>2236300</v>
      </c>
      <c r="Q249" s="470"/>
      <c r="R249" s="471"/>
      <c r="S249" s="472"/>
      <c r="T249" s="380"/>
      <c r="U249" s="473"/>
      <c r="V249" s="474"/>
      <c r="W249" s="475"/>
      <c r="X249" s="475"/>
      <c r="Y249" s="476"/>
      <c r="Z249" s="385"/>
      <c r="AA249" s="394">
        <v>18100392</v>
      </c>
      <c r="AB249" s="478">
        <v>2090000</v>
      </c>
      <c r="AC249" s="479">
        <f>AB249*7/100</f>
        <v>146300</v>
      </c>
      <c r="AD249" s="479">
        <f>AB249+AC249</f>
        <v>2236300</v>
      </c>
      <c r="AE249" s="126">
        <v>43433</v>
      </c>
      <c r="AF249" s="423" t="s">
        <v>869</v>
      </c>
      <c r="AG249" s="480"/>
      <c r="AH249" s="423"/>
      <c r="AI249" s="583" t="s">
        <v>1301</v>
      </c>
      <c r="AJ249" s="390">
        <v>1</v>
      </c>
      <c r="AK249" s="391" t="s">
        <v>718</v>
      </c>
      <c r="AL249" s="392" t="s">
        <v>1205</v>
      </c>
      <c r="AM249" s="131"/>
      <c r="AN249" s="392">
        <v>1</v>
      </c>
      <c r="AO249" s="393" t="s">
        <v>634</v>
      </c>
      <c r="AP249" s="395"/>
      <c r="AQ249" s="395"/>
      <c r="AR249" s="390"/>
      <c r="AS249" s="390"/>
      <c r="AT249" s="395"/>
      <c r="AU249" s="361"/>
      <c r="AV249" s="361"/>
      <c r="AW249" s="361"/>
      <c r="AX249" s="128"/>
      <c r="AY249" s="128"/>
      <c r="AZ249" s="361"/>
      <c r="BA249" s="361"/>
      <c r="BB249" s="361"/>
      <c r="BC249" s="361"/>
      <c r="BD249" s="128"/>
      <c r="BE249" s="128"/>
      <c r="BF249" s="361"/>
      <c r="BG249" s="361"/>
      <c r="BH249" s="361"/>
      <c r="BI249" s="361"/>
      <c r="BJ249" s="128"/>
      <c r="BK249" s="128"/>
      <c r="BL249" s="361"/>
      <c r="BM249" s="361"/>
      <c r="BN249" s="361"/>
      <c r="BO249" s="361"/>
      <c r="BP249" s="128"/>
      <c r="BQ249" s="128"/>
      <c r="BR249" s="361"/>
      <c r="BS249" s="361"/>
      <c r="BT249" s="361"/>
      <c r="BU249" s="361"/>
      <c r="BV249" s="128"/>
      <c r="BW249" s="128"/>
      <c r="BX249" s="361"/>
      <c r="BY249" s="361"/>
      <c r="BZ249" s="361"/>
      <c r="CA249" s="361"/>
      <c r="CB249" s="128"/>
      <c r="CC249" s="128"/>
      <c r="CD249" s="361"/>
      <c r="CE249" s="361"/>
    </row>
    <row r="250" spans="1:83" x14ac:dyDescent="0.5">
      <c r="A250" s="481"/>
      <c r="B250" s="256"/>
      <c r="C250" s="434"/>
      <c r="D250" s="483"/>
      <c r="E250" s="484"/>
      <c r="F250" s="569"/>
      <c r="G250" s="170">
        <v>43386</v>
      </c>
      <c r="H250" s="251">
        <v>18361</v>
      </c>
      <c r="I250" s="446"/>
      <c r="J250" s="584"/>
      <c r="K250" s="433"/>
      <c r="L250" s="433"/>
      <c r="M250" s="433"/>
      <c r="N250" s="436"/>
      <c r="O250" s="436"/>
      <c r="P250" s="436"/>
      <c r="Q250" s="486"/>
      <c r="R250" s="487"/>
      <c r="S250" s="488"/>
      <c r="T250" s="440"/>
      <c r="U250" s="489"/>
      <c r="V250" s="490"/>
      <c r="W250" s="491"/>
      <c r="X250" s="491"/>
      <c r="Y250" s="492"/>
      <c r="Z250" s="445"/>
      <c r="AA250" s="456"/>
      <c r="AB250" s="494"/>
      <c r="AC250" s="585"/>
      <c r="AD250" s="585"/>
      <c r="AE250" s="157"/>
      <c r="AF250" s="496"/>
      <c r="AG250" s="497"/>
      <c r="AH250" s="496"/>
      <c r="AI250" s="498"/>
      <c r="AJ250" s="453"/>
      <c r="AK250" s="456"/>
      <c r="AL250" s="454"/>
      <c r="AM250" s="161"/>
      <c r="AN250" s="456"/>
      <c r="AO250" s="455"/>
      <c r="AP250" s="535"/>
      <c r="AQ250" s="535"/>
      <c r="AR250" s="453"/>
      <c r="AS250" s="453"/>
      <c r="AT250" s="535"/>
      <c r="AU250" s="458"/>
      <c r="AV250" s="458"/>
      <c r="AW250" s="458"/>
      <c r="AX250" s="158"/>
      <c r="AY250" s="158"/>
      <c r="AZ250" s="458"/>
      <c r="BA250" s="458"/>
      <c r="BB250" s="458"/>
      <c r="BC250" s="458"/>
      <c r="BD250" s="158"/>
      <c r="BE250" s="158"/>
      <c r="BF250" s="458"/>
      <c r="BG250" s="458"/>
      <c r="BH250" s="458"/>
      <c r="BI250" s="458"/>
      <c r="BJ250" s="158"/>
      <c r="BK250" s="158"/>
      <c r="BL250" s="458"/>
      <c r="BM250" s="458"/>
      <c r="BN250" s="458"/>
      <c r="BO250" s="458"/>
      <c r="BP250" s="158"/>
      <c r="BQ250" s="158"/>
      <c r="BR250" s="458"/>
      <c r="BS250" s="458"/>
      <c r="BT250" s="458"/>
      <c r="BU250" s="458"/>
      <c r="BV250" s="158"/>
      <c r="BW250" s="158"/>
      <c r="BX250" s="458"/>
      <c r="BY250" s="458"/>
      <c r="BZ250" s="458"/>
      <c r="CA250" s="458"/>
      <c r="CB250" s="158"/>
      <c r="CC250" s="158"/>
      <c r="CD250" s="458"/>
      <c r="CE250" s="458"/>
    </row>
    <row r="251" spans="1:83" x14ac:dyDescent="0.5">
      <c r="A251" s="481"/>
      <c r="B251" s="256"/>
      <c r="C251" s="434"/>
      <c r="D251" s="483"/>
      <c r="E251" s="484"/>
      <c r="F251" s="569"/>
      <c r="G251" s="170">
        <v>43386</v>
      </c>
      <c r="H251" s="251">
        <v>18362</v>
      </c>
      <c r="I251" s="446"/>
      <c r="J251" s="584"/>
      <c r="K251" s="433"/>
      <c r="L251" s="433"/>
      <c r="M251" s="433"/>
      <c r="N251" s="436"/>
      <c r="O251" s="436"/>
      <c r="P251" s="436"/>
      <c r="Q251" s="486"/>
      <c r="R251" s="487"/>
      <c r="S251" s="488"/>
      <c r="T251" s="440"/>
      <c r="U251" s="489"/>
      <c r="V251" s="490"/>
      <c r="W251" s="491"/>
      <c r="X251" s="491"/>
      <c r="Y251" s="492"/>
      <c r="Z251" s="445"/>
      <c r="AA251" s="456"/>
      <c r="AB251" s="494"/>
      <c r="AC251" s="585"/>
      <c r="AD251" s="585"/>
      <c r="AE251" s="157"/>
      <c r="AF251" s="496"/>
      <c r="AG251" s="497"/>
      <c r="AH251" s="496"/>
      <c r="AI251" s="498"/>
      <c r="AJ251" s="453"/>
      <c r="AK251" s="456"/>
      <c r="AL251" s="454"/>
      <c r="AM251" s="161"/>
      <c r="AN251" s="456"/>
      <c r="AO251" s="455"/>
      <c r="AP251" s="535"/>
      <c r="AQ251" s="535"/>
      <c r="AR251" s="453"/>
      <c r="AS251" s="453"/>
      <c r="AT251" s="535"/>
      <c r="AU251" s="458"/>
      <c r="AV251" s="458"/>
      <c r="AW251" s="458"/>
      <c r="AX251" s="158"/>
      <c r="AY251" s="158"/>
      <c r="AZ251" s="458"/>
      <c r="BA251" s="458"/>
      <c r="BB251" s="458"/>
      <c r="BC251" s="458"/>
      <c r="BD251" s="158"/>
      <c r="BE251" s="158"/>
      <c r="BF251" s="458"/>
      <c r="BG251" s="458"/>
      <c r="BH251" s="458"/>
      <c r="BI251" s="458"/>
      <c r="BJ251" s="158"/>
      <c r="BK251" s="158"/>
      <c r="BL251" s="458"/>
      <c r="BM251" s="458"/>
      <c r="BN251" s="458"/>
      <c r="BO251" s="458"/>
      <c r="BP251" s="158"/>
      <c r="BQ251" s="158"/>
      <c r="BR251" s="458"/>
      <c r="BS251" s="458"/>
      <c r="BT251" s="458"/>
      <c r="BU251" s="458"/>
      <c r="BV251" s="158"/>
      <c r="BW251" s="158"/>
      <c r="BX251" s="458"/>
      <c r="BY251" s="458"/>
      <c r="BZ251" s="458"/>
      <c r="CA251" s="458"/>
      <c r="CB251" s="158"/>
      <c r="CC251" s="158"/>
      <c r="CD251" s="458"/>
      <c r="CE251" s="458"/>
    </row>
    <row r="252" spans="1:83" x14ac:dyDescent="0.5">
      <c r="A252" s="481"/>
      <c r="B252" s="256"/>
      <c r="C252" s="434"/>
      <c r="D252" s="483"/>
      <c r="E252" s="484"/>
      <c r="F252" s="569"/>
      <c r="G252" s="170">
        <v>43386</v>
      </c>
      <c r="H252" s="251">
        <v>18363</v>
      </c>
      <c r="I252" s="446"/>
      <c r="J252" s="584"/>
      <c r="K252" s="433"/>
      <c r="L252" s="433"/>
      <c r="M252" s="433"/>
      <c r="N252" s="436"/>
      <c r="O252" s="436"/>
      <c r="P252" s="436"/>
      <c r="Q252" s="486"/>
      <c r="R252" s="487"/>
      <c r="S252" s="488"/>
      <c r="T252" s="440"/>
      <c r="U252" s="489"/>
      <c r="V252" s="490"/>
      <c r="W252" s="491"/>
      <c r="X252" s="491"/>
      <c r="Y252" s="492"/>
      <c r="Z252" s="445"/>
      <c r="AA252" s="456"/>
      <c r="AB252" s="494"/>
      <c r="AC252" s="585"/>
      <c r="AD252" s="585"/>
      <c r="AE252" s="157"/>
      <c r="AF252" s="496"/>
      <c r="AG252" s="497"/>
      <c r="AH252" s="496"/>
      <c r="AI252" s="498"/>
      <c r="AJ252" s="453"/>
      <c r="AK252" s="456"/>
      <c r="AL252" s="454"/>
      <c r="AM252" s="161"/>
      <c r="AN252" s="456"/>
      <c r="AO252" s="455"/>
      <c r="AP252" s="535"/>
      <c r="AQ252" s="535"/>
      <c r="AR252" s="453"/>
      <c r="AS252" s="453"/>
      <c r="AT252" s="535"/>
      <c r="AU252" s="458"/>
      <c r="AV252" s="458"/>
      <c r="AW252" s="458"/>
      <c r="AX252" s="158"/>
      <c r="AY252" s="158"/>
      <c r="AZ252" s="458"/>
      <c r="BA252" s="458"/>
      <c r="BB252" s="458"/>
      <c r="BC252" s="458"/>
      <c r="BD252" s="158"/>
      <c r="BE252" s="158"/>
      <c r="BF252" s="458"/>
      <c r="BG252" s="458"/>
      <c r="BH252" s="458"/>
      <c r="BI252" s="458"/>
      <c r="BJ252" s="158"/>
      <c r="BK252" s="158"/>
      <c r="BL252" s="458"/>
      <c r="BM252" s="458"/>
      <c r="BN252" s="458"/>
      <c r="BO252" s="458"/>
      <c r="BP252" s="158"/>
      <c r="BQ252" s="158"/>
      <c r="BR252" s="458"/>
      <c r="BS252" s="458"/>
      <c r="BT252" s="458"/>
      <c r="BU252" s="458"/>
      <c r="BV252" s="158"/>
      <c r="BW252" s="158"/>
      <c r="BX252" s="458"/>
      <c r="BY252" s="458"/>
      <c r="BZ252" s="458"/>
      <c r="CA252" s="458"/>
      <c r="CB252" s="158"/>
      <c r="CC252" s="158"/>
      <c r="CD252" s="458"/>
      <c r="CE252" s="458"/>
    </row>
    <row r="253" spans="1:83" x14ac:dyDescent="0.5">
      <c r="A253" s="481"/>
      <c r="B253" s="256"/>
      <c r="C253" s="434"/>
      <c r="D253" s="483"/>
      <c r="E253" s="484"/>
      <c r="F253" s="569"/>
      <c r="G253" s="170">
        <v>43386</v>
      </c>
      <c r="H253" s="251">
        <v>18364</v>
      </c>
      <c r="I253" s="446"/>
      <c r="J253" s="584"/>
      <c r="K253" s="433"/>
      <c r="L253" s="433"/>
      <c r="M253" s="433"/>
      <c r="N253" s="436"/>
      <c r="O253" s="436"/>
      <c r="P253" s="436"/>
      <c r="Q253" s="486"/>
      <c r="R253" s="487"/>
      <c r="S253" s="488"/>
      <c r="T253" s="440"/>
      <c r="U253" s="489"/>
      <c r="V253" s="490"/>
      <c r="W253" s="491"/>
      <c r="X253" s="491"/>
      <c r="Y253" s="492"/>
      <c r="Z253" s="445"/>
      <c r="AA253" s="456"/>
      <c r="AB253" s="494"/>
      <c r="AC253" s="585"/>
      <c r="AD253" s="585"/>
      <c r="AE253" s="157"/>
      <c r="AF253" s="496"/>
      <c r="AG253" s="497"/>
      <c r="AH253" s="496"/>
      <c r="AI253" s="498"/>
      <c r="AJ253" s="453"/>
      <c r="AK253" s="456"/>
      <c r="AL253" s="454"/>
      <c r="AM253" s="161"/>
      <c r="AN253" s="456"/>
      <c r="AO253" s="455"/>
      <c r="AP253" s="535"/>
      <c r="AQ253" s="535"/>
      <c r="AR253" s="453"/>
      <c r="AS253" s="453"/>
      <c r="AT253" s="535"/>
      <c r="AU253" s="458"/>
      <c r="AV253" s="458"/>
      <c r="AW253" s="458"/>
      <c r="AX253" s="158"/>
      <c r="AY253" s="158"/>
      <c r="AZ253" s="458"/>
      <c r="BA253" s="458"/>
      <c r="BB253" s="458"/>
      <c r="BC253" s="458"/>
      <c r="BD253" s="158"/>
      <c r="BE253" s="158"/>
      <c r="BF253" s="458"/>
      <c r="BG253" s="458"/>
      <c r="BH253" s="458"/>
      <c r="BI253" s="458"/>
      <c r="BJ253" s="158"/>
      <c r="BK253" s="158"/>
      <c r="BL253" s="458"/>
      <c r="BM253" s="458"/>
      <c r="BN253" s="458"/>
      <c r="BO253" s="458"/>
      <c r="BP253" s="158"/>
      <c r="BQ253" s="158"/>
      <c r="BR253" s="458"/>
      <c r="BS253" s="458"/>
      <c r="BT253" s="458"/>
      <c r="BU253" s="458"/>
      <c r="BV253" s="158"/>
      <c r="BW253" s="158"/>
      <c r="BX253" s="458"/>
      <c r="BY253" s="458"/>
      <c r="BZ253" s="458"/>
      <c r="CA253" s="458"/>
      <c r="CB253" s="158"/>
      <c r="CC253" s="158"/>
      <c r="CD253" s="458"/>
      <c r="CE253" s="458"/>
    </row>
    <row r="254" spans="1:83" x14ac:dyDescent="0.5">
      <c r="A254" s="481"/>
      <c r="B254" s="256"/>
      <c r="C254" s="434"/>
      <c r="D254" s="483"/>
      <c r="E254" s="484"/>
      <c r="F254" s="569"/>
      <c r="G254" s="170">
        <v>43386</v>
      </c>
      <c r="H254" s="251">
        <v>18365</v>
      </c>
      <c r="I254" s="446"/>
      <c r="J254" s="584"/>
      <c r="K254" s="433"/>
      <c r="L254" s="433"/>
      <c r="M254" s="433"/>
      <c r="N254" s="436"/>
      <c r="O254" s="436"/>
      <c r="P254" s="436"/>
      <c r="Q254" s="486"/>
      <c r="R254" s="487"/>
      <c r="S254" s="488"/>
      <c r="T254" s="440"/>
      <c r="U254" s="489"/>
      <c r="V254" s="490"/>
      <c r="W254" s="491"/>
      <c r="X254" s="491"/>
      <c r="Y254" s="492"/>
      <c r="Z254" s="445"/>
      <c r="AA254" s="456"/>
      <c r="AB254" s="494"/>
      <c r="AC254" s="585"/>
      <c r="AD254" s="585"/>
      <c r="AE254" s="157"/>
      <c r="AF254" s="496"/>
      <c r="AG254" s="497"/>
      <c r="AH254" s="496"/>
      <c r="AI254" s="498"/>
      <c r="AJ254" s="453"/>
      <c r="AK254" s="456"/>
      <c r="AL254" s="454"/>
      <c r="AM254" s="161"/>
      <c r="AN254" s="456"/>
      <c r="AO254" s="455"/>
      <c r="AP254" s="535"/>
      <c r="AQ254" s="535"/>
      <c r="AR254" s="453"/>
      <c r="AS254" s="453"/>
      <c r="AT254" s="535"/>
      <c r="AU254" s="458"/>
      <c r="AV254" s="458"/>
      <c r="AW254" s="458"/>
      <c r="AX254" s="158"/>
      <c r="AY254" s="158"/>
      <c r="AZ254" s="458"/>
      <c r="BA254" s="458"/>
      <c r="BB254" s="458"/>
      <c r="BC254" s="458"/>
      <c r="BD254" s="158"/>
      <c r="BE254" s="158"/>
      <c r="BF254" s="458"/>
      <c r="BG254" s="458"/>
      <c r="BH254" s="458"/>
      <c r="BI254" s="458"/>
      <c r="BJ254" s="158"/>
      <c r="BK254" s="158"/>
      <c r="BL254" s="458"/>
      <c r="BM254" s="458"/>
      <c r="BN254" s="458"/>
      <c r="BO254" s="458"/>
      <c r="BP254" s="158"/>
      <c r="BQ254" s="158"/>
      <c r="BR254" s="458"/>
      <c r="BS254" s="458"/>
      <c r="BT254" s="458"/>
      <c r="BU254" s="458"/>
      <c r="BV254" s="158"/>
      <c r="BW254" s="158"/>
      <c r="BX254" s="458"/>
      <c r="BY254" s="458"/>
      <c r="BZ254" s="458"/>
      <c r="CA254" s="458"/>
      <c r="CB254" s="158"/>
      <c r="CC254" s="158"/>
      <c r="CD254" s="458"/>
      <c r="CE254" s="458"/>
    </row>
    <row r="255" spans="1:83" x14ac:dyDescent="0.5">
      <c r="A255" s="396"/>
      <c r="B255" s="241"/>
      <c r="C255" s="425"/>
      <c r="D255" s="398"/>
      <c r="E255" s="399"/>
      <c r="F255" s="400"/>
      <c r="G255" s="186">
        <v>43386</v>
      </c>
      <c r="H255" s="187">
        <v>18366</v>
      </c>
      <c r="I255" s="412"/>
      <c r="J255" s="427"/>
      <c r="K255" s="401"/>
      <c r="L255" s="401"/>
      <c r="M255" s="401"/>
      <c r="N255" s="402"/>
      <c r="O255" s="402"/>
      <c r="P255" s="402"/>
      <c r="Q255" s="586"/>
      <c r="R255" s="502"/>
      <c r="S255" s="503"/>
      <c r="T255" s="406"/>
      <c r="U255" s="504"/>
      <c r="V255" s="505"/>
      <c r="W255" s="506"/>
      <c r="X255" s="506"/>
      <c r="Y255" s="507"/>
      <c r="Z255" s="411"/>
      <c r="AA255" s="417"/>
      <c r="AB255" s="509"/>
      <c r="AC255" s="510"/>
      <c r="AD255" s="510"/>
      <c r="AE255" s="203"/>
      <c r="AF255" s="428"/>
      <c r="AG255" s="511"/>
      <c r="AH255" s="428"/>
      <c r="AI255" s="512"/>
      <c r="AJ255" s="420"/>
      <c r="AK255" s="417"/>
      <c r="AL255" s="418"/>
      <c r="AM255" s="207"/>
      <c r="AN255" s="417"/>
      <c r="AO255" s="463"/>
      <c r="AP255" s="416"/>
      <c r="AQ255" s="416"/>
      <c r="AR255" s="420"/>
      <c r="AS255" s="420"/>
      <c r="AT255" s="416"/>
      <c r="AU255" s="365"/>
      <c r="AV255" s="365"/>
      <c r="AW255" s="365"/>
      <c r="AX255" s="204"/>
      <c r="AY255" s="204"/>
      <c r="AZ255" s="365"/>
      <c r="BA255" s="365"/>
      <c r="BB255" s="365"/>
      <c r="BC255" s="365"/>
      <c r="BD255" s="204"/>
      <c r="BE255" s="204"/>
      <c r="BF255" s="365"/>
      <c r="BG255" s="365"/>
      <c r="BH255" s="365"/>
      <c r="BI255" s="365"/>
      <c r="BJ255" s="204"/>
      <c r="BK255" s="204"/>
      <c r="BL255" s="365"/>
      <c r="BM255" s="365"/>
      <c r="BN255" s="365"/>
      <c r="BO255" s="365"/>
      <c r="BP255" s="204"/>
      <c r="BQ255" s="204"/>
      <c r="BR255" s="365"/>
      <c r="BS255" s="365"/>
      <c r="BT255" s="365"/>
      <c r="BU255" s="365"/>
      <c r="BV255" s="204"/>
      <c r="BW255" s="204"/>
      <c r="BX255" s="365"/>
      <c r="BY255" s="365"/>
      <c r="BZ255" s="365"/>
      <c r="CA255" s="365"/>
      <c r="CB255" s="204"/>
      <c r="CC255" s="204"/>
      <c r="CD255" s="365"/>
      <c r="CE255" s="365"/>
    </row>
    <row r="256" spans="1:83" x14ac:dyDescent="0.5">
      <c r="A256" s="227">
        <v>18085933</v>
      </c>
      <c r="B256" s="22">
        <v>18080691</v>
      </c>
      <c r="C256" s="23">
        <v>171</v>
      </c>
      <c r="D256" s="24" t="s">
        <v>184</v>
      </c>
      <c r="E256" s="25" t="s">
        <v>185</v>
      </c>
      <c r="F256" s="26">
        <v>281</v>
      </c>
      <c r="G256" s="62">
        <v>43451</v>
      </c>
      <c r="H256" s="27">
        <v>18458</v>
      </c>
      <c r="I256" s="39" t="s">
        <v>869</v>
      </c>
      <c r="J256" s="62">
        <v>43452</v>
      </c>
      <c r="K256" s="42" t="s">
        <v>72</v>
      </c>
      <c r="L256" s="520" t="s">
        <v>73</v>
      </c>
      <c r="M256" s="22" t="s">
        <v>52</v>
      </c>
      <c r="N256" s="63">
        <v>151500</v>
      </c>
      <c r="O256" s="63">
        <v>10605</v>
      </c>
      <c r="P256" s="63">
        <f t="shared" si="51"/>
        <v>162105</v>
      </c>
      <c r="Q256" s="61"/>
      <c r="R256" s="587" t="s">
        <v>567</v>
      </c>
      <c r="S256" s="32">
        <f>N256</f>
        <v>151500</v>
      </c>
      <c r="T256" s="33">
        <v>5</v>
      </c>
      <c r="U256" s="516">
        <f>S256*T256/100</f>
        <v>7575</v>
      </c>
      <c r="V256" s="517">
        <f>S256-U256</f>
        <v>143925</v>
      </c>
      <c r="W256" s="518">
        <v>0.43</v>
      </c>
      <c r="X256" s="518">
        <f>V256*W256/100</f>
        <v>618.87750000000005</v>
      </c>
      <c r="Y256" s="519">
        <v>0.2</v>
      </c>
      <c r="Z256" s="38">
        <f>V256*Y256/100</f>
        <v>287.85000000000002</v>
      </c>
      <c r="AA256" s="40">
        <v>18120500</v>
      </c>
      <c r="AB256" s="41">
        <v>151500</v>
      </c>
      <c r="AC256" s="52">
        <f>AB256*7/100</f>
        <v>10605</v>
      </c>
      <c r="AD256" s="52">
        <f>AB256+AC256</f>
        <v>162105</v>
      </c>
      <c r="AE256" s="53">
        <v>43446</v>
      </c>
      <c r="AF256" s="39" t="s">
        <v>869</v>
      </c>
      <c r="AI256" s="21" t="s">
        <v>1474</v>
      </c>
      <c r="AJ256" s="44">
        <v>1</v>
      </c>
      <c r="AK256" s="45" t="s">
        <v>631</v>
      </c>
      <c r="AL256" s="46" t="s">
        <v>1205</v>
      </c>
      <c r="AN256" s="47">
        <v>1</v>
      </c>
      <c r="AO256" s="48" t="s">
        <v>636</v>
      </c>
      <c r="AP256" s="356"/>
      <c r="AQ256" s="356"/>
      <c r="AR256" s="44"/>
      <c r="AS256" s="44"/>
      <c r="AT256" s="356"/>
      <c r="AU256" s="54"/>
      <c r="AV256" s="356"/>
      <c r="AW256" s="356"/>
      <c r="AX256" s="44"/>
      <c r="AY256" s="44"/>
      <c r="AZ256" s="356"/>
      <c r="BA256" s="54"/>
      <c r="BB256" s="356"/>
      <c r="BC256" s="356"/>
      <c r="BD256" s="44"/>
      <c r="BE256" s="44"/>
      <c r="BF256" s="356"/>
      <c r="BG256" s="54"/>
      <c r="BH256" s="356"/>
      <c r="BI256" s="356"/>
      <c r="BJ256" s="44"/>
      <c r="BK256" s="44"/>
      <c r="BL256" s="356"/>
      <c r="BM256" s="356"/>
      <c r="BN256" s="356"/>
      <c r="BO256" s="356"/>
      <c r="BP256" s="44"/>
      <c r="BQ256" s="44"/>
      <c r="BR256" s="356"/>
      <c r="BS256" s="356"/>
      <c r="BT256" s="356"/>
      <c r="BU256" s="356"/>
      <c r="BV256" s="44"/>
      <c r="BW256" s="44"/>
      <c r="BX256" s="356"/>
      <c r="BY256" s="356"/>
      <c r="BZ256" s="356"/>
      <c r="CA256" s="356"/>
      <c r="CB256" s="44"/>
      <c r="CC256" s="44"/>
      <c r="CD256" s="44"/>
      <c r="CE256" s="44"/>
    </row>
    <row r="257" spans="1:83" x14ac:dyDescent="0.5">
      <c r="A257" s="227">
        <v>18085932</v>
      </c>
      <c r="B257" s="22">
        <v>18080727</v>
      </c>
      <c r="C257" s="55"/>
      <c r="D257" s="56"/>
      <c r="E257" s="57"/>
      <c r="F257" s="58"/>
      <c r="G257" s="59"/>
      <c r="H257" s="60"/>
      <c r="K257" s="42" t="s">
        <v>74</v>
      </c>
      <c r="L257" s="520" t="s">
        <v>75</v>
      </c>
      <c r="M257" s="22" t="s">
        <v>51</v>
      </c>
      <c r="N257" s="63">
        <v>28400</v>
      </c>
      <c r="O257" s="63">
        <v>1988</v>
      </c>
      <c r="P257" s="63">
        <f t="shared" si="51"/>
        <v>30388</v>
      </c>
      <c r="AA257" s="40">
        <v>18090332</v>
      </c>
      <c r="AB257" s="41">
        <v>28400</v>
      </c>
      <c r="AC257" s="52">
        <f>AB257*7/100</f>
        <v>1988</v>
      </c>
      <c r="AD257" s="52">
        <f>AB257+AC257</f>
        <v>30388</v>
      </c>
      <c r="AE257" s="53">
        <v>43383</v>
      </c>
      <c r="AF257" s="39" t="s">
        <v>869</v>
      </c>
      <c r="AI257" s="21" t="s">
        <v>1664</v>
      </c>
      <c r="AJ257" s="44">
        <v>1</v>
      </c>
      <c r="AK257" s="45" t="s">
        <v>632</v>
      </c>
      <c r="AN257" s="47">
        <v>4</v>
      </c>
      <c r="AO257" s="48" t="s">
        <v>628</v>
      </c>
      <c r="AP257" s="356"/>
      <c r="AQ257" s="356"/>
      <c r="AR257" s="44"/>
      <c r="AS257" s="44"/>
      <c r="AT257" s="356"/>
      <c r="AU257" s="54"/>
      <c r="AV257" s="356"/>
      <c r="AW257" s="356"/>
      <c r="AX257" s="44"/>
      <c r="AY257" s="44"/>
      <c r="AZ257" s="356"/>
      <c r="BA257" s="54"/>
      <c r="BB257" s="356"/>
      <c r="BC257" s="356"/>
      <c r="BD257" s="44"/>
      <c r="BE257" s="44"/>
      <c r="BF257" s="356"/>
      <c r="BG257" s="54"/>
      <c r="BH257" s="356"/>
      <c r="BI257" s="356"/>
      <c r="BJ257" s="44"/>
      <c r="BK257" s="44"/>
      <c r="BL257" s="356"/>
      <c r="BM257" s="356"/>
      <c r="BN257" s="356"/>
      <c r="BO257" s="356"/>
      <c r="BP257" s="44"/>
      <c r="BQ257" s="44"/>
      <c r="BR257" s="356"/>
      <c r="BS257" s="356"/>
      <c r="BT257" s="356"/>
      <c r="BU257" s="356"/>
      <c r="BV257" s="44"/>
      <c r="BW257" s="44"/>
      <c r="BX257" s="356"/>
      <c r="BY257" s="356"/>
      <c r="BZ257" s="356"/>
      <c r="CA257" s="356"/>
      <c r="CB257" s="44"/>
      <c r="CC257" s="44"/>
      <c r="CD257" s="44"/>
      <c r="CE257" s="44"/>
    </row>
    <row r="258" spans="1:83" x14ac:dyDescent="0.5">
      <c r="A258" s="227">
        <v>18085931</v>
      </c>
      <c r="B258" s="22" t="s">
        <v>76</v>
      </c>
      <c r="C258" s="23">
        <v>170</v>
      </c>
      <c r="D258" s="24" t="s">
        <v>184</v>
      </c>
      <c r="E258" s="25" t="s">
        <v>185</v>
      </c>
      <c r="F258" s="26">
        <v>188</v>
      </c>
      <c r="I258" s="39" t="s">
        <v>869</v>
      </c>
      <c r="J258" s="62">
        <v>43343</v>
      </c>
      <c r="K258" s="42" t="s">
        <v>77</v>
      </c>
      <c r="L258" s="520" t="s">
        <v>78</v>
      </c>
      <c r="M258" s="22" t="s">
        <v>52</v>
      </c>
      <c r="N258" s="63">
        <v>84112.15</v>
      </c>
      <c r="O258" s="63">
        <v>5887.85</v>
      </c>
      <c r="P258" s="63">
        <f t="shared" si="51"/>
        <v>90000</v>
      </c>
      <c r="U258" s="516">
        <v>4205.6000000000004</v>
      </c>
      <c r="X258" s="518">
        <v>215.74</v>
      </c>
      <c r="AA258" s="40">
        <v>18090320</v>
      </c>
      <c r="AB258" s="41">
        <v>84112.15</v>
      </c>
      <c r="AC258" s="64">
        <f>AB258*7/100</f>
        <v>5887.8504999999996</v>
      </c>
      <c r="AD258" s="64">
        <f>AB258+AC258</f>
        <v>90000.000499999995</v>
      </c>
      <c r="AE258" s="53">
        <v>43346</v>
      </c>
      <c r="AF258" s="39" t="s">
        <v>869</v>
      </c>
      <c r="AI258" s="21" t="s">
        <v>1059</v>
      </c>
      <c r="AJ258" s="44">
        <v>1</v>
      </c>
      <c r="AK258" s="45" t="s">
        <v>658</v>
      </c>
      <c r="AM258" s="46" t="s">
        <v>1205</v>
      </c>
      <c r="AN258" s="47">
        <v>1</v>
      </c>
      <c r="AO258" s="48" t="s">
        <v>634</v>
      </c>
      <c r="AP258" s="44">
        <v>2</v>
      </c>
      <c r="AQ258" s="40" t="s">
        <v>657</v>
      </c>
      <c r="AS258" s="47" t="s">
        <v>1205</v>
      </c>
      <c r="AT258" s="47">
        <v>1</v>
      </c>
      <c r="AU258" s="49" t="s">
        <v>634</v>
      </c>
      <c r="AV258" s="356"/>
      <c r="AW258" s="356"/>
      <c r="AX258" s="44"/>
      <c r="AY258" s="44"/>
      <c r="AZ258" s="356"/>
      <c r="BA258" s="54"/>
      <c r="BB258" s="356"/>
      <c r="BC258" s="356"/>
      <c r="BD258" s="44"/>
      <c r="BE258" s="44"/>
      <c r="BF258" s="356"/>
      <c r="BG258" s="54"/>
      <c r="BH258" s="356"/>
      <c r="BI258" s="356"/>
      <c r="BJ258" s="44"/>
      <c r="BK258" s="44"/>
      <c r="BL258" s="356"/>
      <c r="BM258" s="356"/>
      <c r="BN258" s="356"/>
      <c r="BO258" s="356"/>
      <c r="BP258" s="44"/>
      <c r="BQ258" s="44"/>
      <c r="BR258" s="356"/>
      <c r="BS258" s="356"/>
      <c r="BT258" s="356"/>
      <c r="BU258" s="356"/>
      <c r="BV258" s="44"/>
      <c r="BW258" s="44"/>
      <c r="BX258" s="356"/>
      <c r="BY258" s="356"/>
      <c r="BZ258" s="356"/>
      <c r="CA258" s="356"/>
      <c r="CB258" s="44"/>
      <c r="CC258" s="44"/>
      <c r="CD258" s="44"/>
      <c r="CE258" s="44"/>
    </row>
    <row r="259" spans="1:83" x14ac:dyDescent="0.5">
      <c r="A259" s="369">
        <v>18085930</v>
      </c>
      <c r="B259" s="370" t="s">
        <v>79</v>
      </c>
      <c r="C259" s="371">
        <v>169</v>
      </c>
      <c r="D259" s="372" t="s">
        <v>184</v>
      </c>
      <c r="E259" s="373" t="s">
        <v>185</v>
      </c>
      <c r="F259" s="374">
        <v>208</v>
      </c>
      <c r="G259" s="211">
        <v>43364</v>
      </c>
      <c r="H259" s="164">
        <v>18323</v>
      </c>
      <c r="I259" s="368" t="s">
        <v>869</v>
      </c>
      <c r="J259" s="126">
        <v>43365</v>
      </c>
      <c r="K259" s="370" t="s">
        <v>80</v>
      </c>
      <c r="L259" s="370" t="s">
        <v>81</v>
      </c>
      <c r="M259" s="370" t="s">
        <v>52</v>
      </c>
      <c r="N259" s="376">
        <v>93457.95</v>
      </c>
      <c r="O259" s="376">
        <v>6542.06</v>
      </c>
      <c r="P259" s="376">
        <f t="shared" ref="P259:P277" si="52">SUM(N259:O259)</f>
        <v>100000.01</v>
      </c>
      <c r="Q259" s="470"/>
      <c r="R259" s="471"/>
      <c r="S259" s="472"/>
      <c r="T259" s="380"/>
      <c r="U259" s="381">
        <v>4672.8900000000003</v>
      </c>
      <c r="V259" s="382"/>
      <c r="W259" s="383"/>
      <c r="X259" s="383">
        <v>275.23</v>
      </c>
      <c r="Y259" s="384"/>
      <c r="Z259" s="385"/>
      <c r="AA259" s="123">
        <v>18080317</v>
      </c>
      <c r="AB259" s="478">
        <v>93457.95</v>
      </c>
      <c r="AC259" s="479">
        <f>AB259*7/100</f>
        <v>6542.0565000000006</v>
      </c>
      <c r="AD259" s="479">
        <f>AB259+AC259</f>
        <v>100000.0065</v>
      </c>
      <c r="AE259" s="126">
        <v>43342</v>
      </c>
      <c r="AF259" s="368" t="s">
        <v>869</v>
      </c>
      <c r="AG259" s="573"/>
      <c r="AH259" s="368"/>
      <c r="AI259" s="429" t="s">
        <v>1034</v>
      </c>
      <c r="AJ259" s="390">
        <v>1</v>
      </c>
      <c r="AK259" s="391" t="s">
        <v>593</v>
      </c>
      <c r="AL259" s="392"/>
      <c r="AM259" s="392" t="s">
        <v>1205</v>
      </c>
      <c r="AN259" s="392">
        <v>4</v>
      </c>
      <c r="AO259" s="393" t="s">
        <v>634</v>
      </c>
      <c r="AP259" s="390"/>
      <c r="AQ259" s="361"/>
      <c r="AR259" s="128"/>
      <c r="AS259" s="128"/>
      <c r="AT259" s="361"/>
      <c r="AU259" s="361"/>
      <c r="AV259" s="361"/>
      <c r="AW259" s="361"/>
      <c r="AX259" s="128"/>
      <c r="AY259" s="128"/>
      <c r="AZ259" s="361"/>
      <c r="BA259" s="361"/>
      <c r="BB259" s="361"/>
      <c r="BC259" s="361"/>
      <c r="BD259" s="128"/>
      <c r="BE259" s="128"/>
      <c r="BF259" s="361"/>
      <c r="BG259" s="361"/>
      <c r="BH259" s="361"/>
      <c r="BI259" s="361"/>
      <c r="BJ259" s="128"/>
      <c r="BK259" s="128"/>
      <c r="BL259" s="361"/>
      <c r="BM259" s="361"/>
      <c r="BN259" s="361"/>
      <c r="BO259" s="361"/>
      <c r="BP259" s="128"/>
      <c r="BQ259" s="128"/>
      <c r="BR259" s="361"/>
      <c r="BS259" s="361"/>
      <c r="BT259" s="361"/>
      <c r="BU259" s="361"/>
      <c r="BV259" s="128"/>
      <c r="BW259" s="128"/>
      <c r="BX259" s="361"/>
      <c r="BY259" s="361"/>
      <c r="BZ259" s="361"/>
      <c r="CA259" s="361"/>
      <c r="CB259" s="128"/>
      <c r="CC259" s="128"/>
      <c r="CD259" s="361"/>
      <c r="CE259" s="361"/>
    </row>
    <row r="260" spans="1:83" x14ac:dyDescent="0.5">
      <c r="A260" s="396"/>
      <c r="B260" s="241"/>
      <c r="C260" s="397"/>
      <c r="D260" s="398"/>
      <c r="E260" s="399"/>
      <c r="F260" s="400"/>
      <c r="G260" s="186">
        <v>43364</v>
      </c>
      <c r="H260" s="187">
        <v>18324</v>
      </c>
      <c r="I260" s="412"/>
      <c r="J260" s="203"/>
      <c r="K260" s="241"/>
      <c r="L260" s="241"/>
      <c r="M260" s="241"/>
      <c r="N260" s="402"/>
      <c r="O260" s="402"/>
      <c r="P260" s="402"/>
      <c r="Q260" s="586"/>
      <c r="R260" s="502"/>
      <c r="S260" s="503"/>
      <c r="T260" s="406"/>
      <c r="U260" s="407"/>
      <c r="V260" s="408"/>
      <c r="W260" s="409"/>
      <c r="X260" s="409"/>
      <c r="Y260" s="410"/>
      <c r="Z260" s="411"/>
      <c r="AA260" s="588"/>
      <c r="AB260" s="509"/>
      <c r="AC260" s="510"/>
      <c r="AD260" s="510"/>
      <c r="AE260" s="241"/>
      <c r="AF260" s="412"/>
      <c r="AG260" s="460"/>
      <c r="AH260" s="412"/>
      <c r="AI260" s="580"/>
      <c r="AJ260" s="420"/>
      <c r="AK260" s="417"/>
      <c r="AL260" s="418"/>
      <c r="AM260" s="418"/>
      <c r="AN260" s="418"/>
      <c r="AO260" s="419"/>
      <c r="AP260" s="420"/>
      <c r="AQ260" s="365"/>
      <c r="AR260" s="204"/>
      <c r="AS260" s="204"/>
      <c r="AT260" s="365"/>
      <c r="AU260" s="365"/>
      <c r="AV260" s="365"/>
      <c r="AW260" s="365"/>
      <c r="AX260" s="204"/>
      <c r="AY260" s="204"/>
      <c r="AZ260" s="365"/>
      <c r="BA260" s="365"/>
      <c r="BB260" s="365"/>
      <c r="BC260" s="365"/>
      <c r="BD260" s="204"/>
      <c r="BE260" s="204"/>
      <c r="BF260" s="365"/>
      <c r="BG260" s="365"/>
      <c r="BH260" s="365"/>
      <c r="BI260" s="365"/>
      <c r="BJ260" s="204"/>
      <c r="BK260" s="204"/>
      <c r="BL260" s="365"/>
      <c r="BM260" s="365"/>
      <c r="BN260" s="365"/>
      <c r="BO260" s="365"/>
      <c r="BP260" s="204"/>
      <c r="BQ260" s="204"/>
      <c r="BR260" s="365"/>
      <c r="BS260" s="365"/>
      <c r="BT260" s="365"/>
      <c r="BU260" s="365"/>
      <c r="BV260" s="204"/>
      <c r="BW260" s="204"/>
      <c r="BX260" s="365"/>
      <c r="BY260" s="365"/>
      <c r="BZ260" s="365"/>
      <c r="CA260" s="365"/>
      <c r="CB260" s="204"/>
      <c r="CC260" s="204"/>
      <c r="CD260" s="365"/>
      <c r="CE260" s="365"/>
    </row>
    <row r="261" spans="1:83" x14ac:dyDescent="0.5">
      <c r="A261" s="227">
        <v>18085929</v>
      </c>
      <c r="B261" s="22">
        <v>18080720</v>
      </c>
      <c r="C261" s="23">
        <v>175</v>
      </c>
      <c r="D261" s="24" t="s">
        <v>184</v>
      </c>
      <c r="E261" s="25" t="s">
        <v>185</v>
      </c>
      <c r="F261" s="26">
        <v>187</v>
      </c>
      <c r="I261" s="39" t="s">
        <v>869</v>
      </c>
      <c r="J261" s="62">
        <v>43342</v>
      </c>
      <c r="K261" s="42" t="s">
        <v>82</v>
      </c>
      <c r="L261" s="520" t="s">
        <v>83</v>
      </c>
      <c r="M261" s="22" t="s">
        <v>52</v>
      </c>
      <c r="N261" s="63">
        <v>6000</v>
      </c>
      <c r="O261" s="63">
        <v>420</v>
      </c>
      <c r="P261" s="63">
        <f t="shared" si="52"/>
        <v>6420</v>
      </c>
      <c r="X261" s="518">
        <v>60</v>
      </c>
      <c r="AA261" s="40">
        <v>18090321</v>
      </c>
      <c r="AB261" s="41">
        <v>6000</v>
      </c>
      <c r="AC261" s="64">
        <f>AB261*7/100</f>
        <v>420</v>
      </c>
      <c r="AD261" s="64">
        <f>AB261+AC261</f>
        <v>6420</v>
      </c>
      <c r="AE261" s="53">
        <v>43346</v>
      </c>
      <c r="AF261" s="39" t="s">
        <v>869</v>
      </c>
      <c r="AI261" s="21" t="s">
        <v>1063</v>
      </c>
      <c r="AJ261" s="44">
        <v>1</v>
      </c>
      <c r="AK261" s="45" t="s">
        <v>548</v>
      </c>
      <c r="AN261" s="47">
        <v>5</v>
      </c>
      <c r="AO261" s="48" t="s">
        <v>628</v>
      </c>
      <c r="AP261" s="356"/>
      <c r="AQ261" s="356"/>
      <c r="AR261" s="44"/>
      <c r="AS261" s="44"/>
      <c r="AT261" s="356"/>
      <c r="AU261" s="54"/>
      <c r="AV261" s="356"/>
      <c r="AW261" s="356"/>
      <c r="AX261" s="44"/>
      <c r="AY261" s="44"/>
      <c r="AZ261" s="356"/>
      <c r="BA261" s="54"/>
      <c r="BB261" s="356"/>
      <c r="BC261" s="356"/>
      <c r="BD261" s="44"/>
      <c r="BE261" s="44"/>
      <c r="BF261" s="356"/>
      <c r="BG261" s="54"/>
      <c r="BH261" s="356"/>
      <c r="BI261" s="356"/>
      <c r="BJ261" s="44"/>
      <c r="BK261" s="44"/>
      <c r="BL261" s="356"/>
      <c r="BM261" s="356"/>
      <c r="BN261" s="356"/>
      <c r="BO261" s="356"/>
      <c r="BP261" s="44"/>
      <c r="BQ261" s="44"/>
      <c r="BR261" s="356"/>
      <c r="BS261" s="356"/>
      <c r="BT261" s="356"/>
      <c r="BU261" s="356"/>
      <c r="BV261" s="44"/>
      <c r="BW261" s="44"/>
      <c r="BX261" s="356"/>
      <c r="BY261" s="356"/>
      <c r="BZ261" s="356"/>
      <c r="CA261" s="356"/>
      <c r="CB261" s="44"/>
      <c r="CC261" s="44"/>
      <c r="CD261" s="356"/>
      <c r="CE261" s="356"/>
    </row>
    <row r="262" spans="1:83" x14ac:dyDescent="0.5">
      <c r="A262" s="227">
        <v>18085928</v>
      </c>
      <c r="B262" s="22">
        <v>18080722</v>
      </c>
      <c r="C262" s="55"/>
      <c r="D262" s="56"/>
      <c r="K262" s="42" t="s">
        <v>84</v>
      </c>
      <c r="L262" s="520" t="s">
        <v>85</v>
      </c>
      <c r="M262" s="22" t="s">
        <v>51</v>
      </c>
      <c r="N262" s="63">
        <v>16000</v>
      </c>
      <c r="O262" s="63">
        <v>1120</v>
      </c>
      <c r="P262" s="63">
        <f t="shared" si="52"/>
        <v>17120</v>
      </c>
      <c r="AA262" s="40">
        <v>18090348</v>
      </c>
      <c r="AB262" s="41">
        <v>16000</v>
      </c>
      <c r="AC262" s="52">
        <f>AB262*7/100</f>
        <v>1120</v>
      </c>
      <c r="AD262" s="52">
        <f>AB262+AC262</f>
        <v>17120</v>
      </c>
      <c r="AE262" s="53">
        <v>43390</v>
      </c>
      <c r="AF262" s="39" t="s">
        <v>869</v>
      </c>
      <c r="AI262" s="21" t="s">
        <v>1167</v>
      </c>
      <c r="AJ262" s="44">
        <v>1</v>
      </c>
      <c r="AK262" s="45" t="s">
        <v>637</v>
      </c>
      <c r="AN262" s="47">
        <v>1</v>
      </c>
      <c r="AO262" s="48" t="s">
        <v>628</v>
      </c>
      <c r="AP262" s="356"/>
      <c r="AQ262" s="356"/>
      <c r="AR262" s="44"/>
      <c r="AS262" s="44"/>
      <c r="AT262" s="356"/>
      <c r="AU262" s="54"/>
      <c r="AV262" s="356"/>
      <c r="AW262" s="356"/>
      <c r="AX262" s="44"/>
      <c r="AY262" s="44"/>
      <c r="AZ262" s="356"/>
      <c r="BA262" s="54"/>
      <c r="BB262" s="356"/>
      <c r="BC262" s="356"/>
      <c r="BD262" s="44"/>
      <c r="BE262" s="44"/>
      <c r="BF262" s="356"/>
      <c r="BG262" s="54"/>
      <c r="BH262" s="356"/>
      <c r="BI262" s="356"/>
      <c r="BJ262" s="44"/>
      <c r="BK262" s="44"/>
      <c r="BL262" s="356"/>
      <c r="BM262" s="356"/>
      <c r="BN262" s="356"/>
      <c r="BO262" s="356"/>
      <c r="BP262" s="44"/>
      <c r="BQ262" s="44"/>
      <c r="BR262" s="356"/>
      <c r="BS262" s="356"/>
      <c r="BT262" s="356"/>
      <c r="BU262" s="356"/>
      <c r="BV262" s="44"/>
      <c r="BW262" s="44"/>
      <c r="BX262" s="356"/>
      <c r="BY262" s="356"/>
      <c r="BZ262" s="356"/>
      <c r="CA262" s="356"/>
      <c r="CB262" s="44"/>
      <c r="CC262" s="44"/>
      <c r="CD262" s="356"/>
      <c r="CE262" s="356"/>
    </row>
    <row r="263" spans="1:83" x14ac:dyDescent="0.5">
      <c r="A263" s="227">
        <v>18085927</v>
      </c>
      <c r="B263" s="22">
        <v>18080721</v>
      </c>
      <c r="C263" s="55"/>
      <c r="D263" s="56"/>
      <c r="K263" s="42" t="s">
        <v>84</v>
      </c>
      <c r="L263" s="520" t="s">
        <v>86</v>
      </c>
      <c r="M263" s="22" t="s">
        <v>51</v>
      </c>
      <c r="N263" s="63">
        <v>38600</v>
      </c>
      <c r="O263" s="63">
        <v>2702</v>
      </c>
      <c r="P263" s="63">
        <f t="shared" si="52"/>
        <v>41302</v>
      </c>
      <c r="AA263" s="40">
        <v>18090347</v>
      </c>
      <c r="AB263" s="41">
        <v>38600</v>
      </c>
      <c r="AC263" s="64">
        <f>AB263*7/100</f>
        <v>2702</v>
      </c>
      <c r="AD263" s="64">
        <f>AB263+AC263</f>
        <v>41302</v>
      </c>
      <c r="AE263" s="53">
        <v>43390</v>
      </c>
      <c r="AF263" s="39" t="s">
        <v>869</v>
      </c>
      <c r="AI263" s="21" t="s">
        <v>1167</v>
      </c>
      <c r="AJ263" s="44">
        <v>1</v>
      </c>
      <c r="AK263" s="45" t="s">
        <v>637</v>
      </c>
      <c r="AN263" s="47">
        <v>1</v>
      </c>
      <c r="AO263" s="48" t="s">
        <v>628</v>
      </c>
      <c r="AP263" s="44">
        <v>2</v>
      </c>
      <c r="AQ263" s="40" t="s">
        <v>637</v>
      </c>
      <c r="AT263" s="47">
        <v>1</v>
      </c>
      <c r="AU263" s="49" t="s">
        <v>628</v>
      </c>
      <c r="AV263" s="356"/>
      <c r="AW263" s="356"/>
      <c r="AX263" s="44"/>
      <c r="AY263" s="44"/>
      <c r="AZ263" s="356"/>
      <c r="BA263" s="54"/>
      <c r="BB263" s="356"/>
      <c r="BC263" s="356"/>
      <c r="BD263" s="44"/>
      <c r="BE263" s="44"/>
      <c r="BF263" s="356"/>
      <c r="BG263" s="54"/>
      <c r="BH263" s="356"/>
      <c r="BI263" s="356"/>
      <c r="BJ263" s="44"/>
      <c r="BK263" s="44"/>
      <c r="BL263" s="356"/>
      <c r="BM263" s="356"/>
      <c r="BN263" s="356"/>
      <c r="BO263" s="356"/>
      <c r="BP263" s="44"/>
      <c r="BQ263" s="44"/>
      <c r="BR263" s="356"/>
      <c r="BS263" s="356"/>
      <c r="BT263" s="356"/>
      <c r="BU263" s="356"/>
      <c r="BV263" s="44"/>
      <c r="BW263" s="44"/>
      <c r="BX263" s="356"/>
      <c r="BY263" s="356"/>
      <c r="BZ263" s="356"/>
      <c r="CA263" s="356"/>
      <c r="CB263" s="44"/>
      <c r="CC263" s="44"/>
      <c r="CD263" s="44"/>
      <c r="CE263" s="44"/>
    </row>
    <row r="264" spans="1:83" x14ac:dyDescent="0.5">
      <c r="A264" s="227">
        <v>18085926</v>
      </c>
      <c r="B264" s="22">
        <v>18080711</v>
      </c>
      <c r="C264" s="23">
        <v>168</v>
      </c>
      <c r="D264" s="24" t="s">
        <v>184</v>
      </c>
      <c r="E264" s="25" t="s">
        <v>185</v>
      </c>
      <c r="F264" s="26">
        <v>186</v>
      </c>
      <c r="I264" s="39" t="s">
        <v>869</v>
      </c>
      <c r="J264" s="62">
        <v>43343</v>
      </c>
      <c r="K264" s="42" t="s">
        <v>20</v>
      </c>
      <c r="L264" s="520" t="s">
        <v>87</v>
      </c>
      <c r="M264" s="22" t="s">
        <v>51</v>
      </c>
      <c r="N264" s="63">
        <v>172000</v>
      </c>
      <c r="O264" s="63">
        <v>12040</v>
      </c>
      <c r="P264" s="63">
        <f t="shared" si="52"/>
        <v>184040</v>
      </c>
      <c r="AA264" s="40">
        <v>18090329</v>
      </c>
      <c r="AB264" s="41">
        <v>172000</v>
      </c>
      <c r="AC264" s="64">
        <f>AB264*7/100</f>
        <v>12040</v>
      </c>
      <c r="AD264" s="64">
        <f>AB264+AC264</f>
        <v>184040</v>
      </c>
      <c r="AE264" s="53">
        <v>43380</v>
      </c>
      <c r="AF264" s="39" t="s">
        <v>869</v>
      </c>
      <c r="AI264" s="21" t="s">
        <v>1172</v>
      </c>
      <c r="AJ264" s="44">
        <v>1</v>
      </c>
      <c r="AK264" s="45" t="s">
        <v>770</v>
      </c>
      <c r="AM264" s="46" t="s">
        <v>1205</v>
      </c>
      <c r="AN264" s="47">
        <v>1</v>
      </c>
      <c r="AO264" s="48" t="s">
        <v>633</v>
      </c>
      <c r="AP264" s="356"/>
      <c r="AQ264" s="356"/>
      <c r="AR264" s="44"/>
      <c r="AS264" s="44"/>
      <c r="AT264" s="356"/>
      <c r="AU264" s="54"/>
      <c r="AV264" s="356"/>
      <c r="AW264" s="356"/>
      <c r="AX264" s="44"/>
      <c r="AY264" s="44"/>
      <c r="AZ264" s="356"/>
      <c r="BA264" s="54"/>
      <c r="BB264" s="356"/>
      <c r="BC264" s="356"/>
      <c r="BD264" s="44"/>
      <c r="BE264" s="44"/>
      <c r="BF264" s="356"/>
      <c r="BG264" s="54"/>
      <c r="BH264" s="356"/>
      <c r="BI264" s="356"/>
      <c r="BJ264" s="44"/>
      <c r="BK264" s="44"/>
      <c r="BL264" s="356"/>
      <c r="BM264" s="356"/>
      <c r="BN264" s="356"/>
      <c r="BO264" s="356"/>
      <c r="BP264" s="44"/>
      <c r="BQ264" s="44"/>
      <c r="BR264" s="356"/>
      <c r="BS264" s="356"/>
      <c r="BT264" s="356"/>
      <c r="BU264" s="356"/>
      <c r="BV264" s="44"/>
      <c r="BW264" s="44"/>
      <c r="BX264" s="356"/>
      <c r="BY264" s="356"/>
      <c r="BZ264" s="356"/>
      <c r="CA264" s="356"/>
      <c r="CB264" s="44"/>
      <c r="CC264" s="44"/>
      <c r="CD264" s="44"/>
      <c r="CE264" s="44"/>
    </row>
    <row r="265" spans="1:83" s="95" customFormat="1" x14ac:dyDescent="0.5">
      <c r="A265" s="65">
        <v>18085925</v>
      </c>
      <c r="B265" s="66">
        <v>18080694</v>
      </c>
      <c r="C265" s="67">
        <v>167</v>
      </c>
      <c r="D265" s="68" t="s">
        <v>184</v>
      </c>
      <c r="E265" s="69"/>
      <c r="F265" s="70"/>
      <c r="G265" s="66"/>
      <c r="H265" s="71"/>
      <c r="I265" s="83"/>
      <c r="J265" s="66"/>
      <c r="K265" s="86" t="s">
        <v>19</v>
      </c>
      <c r="L265" s="589" t="s">
        <v>88</v>
      </c>
      <c r="M265" s="66" t="s">
        <v>51</v>
      </c>
      <c r="N265" s="590">
        <v>1554000</v>
      </c>
      <c r="O265" s="590">
        <v>108780</v>
      </c>
      <c r="P265" s="590">
        <f t="shared" si="52"/>
        <v>1662780</v>
      </c>
      <c r="Q265" s="74"/>
      <c r="R265" s="75"/>
      <c r="S265" s="76"/>
      <c r="T265" s="77"/>
      <c r="U265" s="591"/>
      <c r="V265" s="592"/>
      <c r="W265" s="593"/>
      <c r="X265" s="593"/>
      <c r="Y265" s="594"/>
      <c r="Z265" s="82"/>
      <c r="AA265" s="84"/>
      <c r="AB265" s="85"/>
      <c r="AC265" s="86"/>
      <c r="AD265" s="86"/>
      <c r="AE265" s="87"/>
      <c r="AF265" s="83"/>
      <c r="AG265" s="83"/>
      <c r="AH265" s="83"/>
      <c r="AI265" s="65"/>
      <c r="AJ265" s="44">
        <v>1</v>
      </c>
      <c r="AK265" s="45" t="s">
        <v>638</v>
      </c>
      <c r="AL265" s="46"/>
      <c r="AM265" s="46" t="s">
        <v>1205</v>
      </c>
      <c r="AN265" s="47">
        <v>2</v>
      </c>
      <c r="AO265" s="48" t="s">
        <v>633</v>
      </c>
      <c r="AP265" s="44">
        <v>2</v>
      </c>
      <c r="AQ265" s="40" t="s">
        <v>639</v>
      </c>
      <c r="AR265" s="47"/>
      <c r="AS265" s="47" t="s">
        <v>1205</v>
      </c>
      <c r="AT265" s="47">
        <v>1</v>
      </c>
      <c r="AU265" s="49" t="s">
        <v>633</v>
      </c>
      <c r="AV265" s="44">
        <v>3</v>
      </c>
      <c r="AW265" s="40" t="s">
        <v>640</v>
      </c>
      <c r="AX265" s="47"/>
      <c r="AY265" s="47" t="s">
        <v>1205</v>
      </c>
      <c r="AZ265" s="47">
        <v>1</v>
      </c>
      <c r="BA265" s="49" t="s">
        <v>633</v>
      </c>
      <c r="BB265" s="44">
        <v>4</v>
      </c>
      <c r="BC265" s="40" t="s">
        <v>641</v>
      </c>
      <c r="BD265" s="47"/>
      <c r="BE265" s="47" t="s">
        <v>1205</v>
      </c>
      <c r="BF265" s="47">
        <v>1</v>
      </c>
      <c r="BG265" s="49" t="s">
        <v>633</v>
      </c>
      <c r="BH265" s="44">
        <v>5</v>
      </c>
      <c r="BI265" s="40" t="s">
        <v>642</v>
      </c>
      <c r="BJ265" s="47"/>
      <c r="BK265" s="47" t="s">
        <v>1205</v>
      </c>
      <c r="BL265" s="47">
        <v>1</v>
      </c>
      <c r="BM265" s="50" t="s">
        <v>633</v>
      </c>
      <c r="BN265" s="44">
        <v>6</v>
      </c>
      <c r="BO265" s="40" t="s">
        <v>643</v>
      </c>
      <c r="BP265" s="47"/>
      <c r="BQ265" s="47" t="s">
        <v>1205</v>
      </c>
      <c r="BR265" s="47">
        <v>1</v>
      </c>
      <c r="BS265" s="50" t="s">
        <v>633</v>
      </c>
      <c r="BT265" s="44">
        <v>7</v>
      </c>
      <c r="BU265" s="40" t="s">
        <v>644</v>
      </c>
      <c r="BV265" s="47"/>
      <c r="BW265" s="47" t="s">
        <v>1205</v>
      </c>
      <c r="BX265" s="47">
        <v>1</v>
      </c>
      <c r="BY265" s="50" t="s">
        <v>633</v>
      </c>
      <c r="BZ265" s="44">
        <v>8</v>
      </c>
      <c r="CA265" s="40" t="s">
        <v>644</v>
      </c>
      <c r="CB265" s="47"/>
      <c r="CC265" s="47" t="s">
        <v>1205</v>
      </c>
      <c r="CD265" s="47">
        <v>1</v>
      </c>
      <c r="CE265" s="50" t="s">
        <v>633</v>
      </c>
    </row>
    <row r="266" spans="1:83" x14ac:dyDescent="0.5">
      <c r="A266" s="259">
        <v>18085924</v>
      </c>
      <c r="B266" s="104">
        <v>18080706</v>
      </c>
      <c r="C266" s="105">
        <v>166</v>
      </c>
      <c r="D266" s="106" t="s">
        <v>184</v>
      </c>
      <c r="E266" s="107" t="s">
        <v>185</v>
      </c>
      <c r="F266" s="108">
        <v>191</v>
      </c>
      <c r="G266" s="104"/>
      <c r="H266" s="109"/>
      <c r="I266" s="127" t="s">
        <v>869</v>
      </c>
      <c r="J266" s="122">
        <v>43351</v>
      </c>
      <c r="K266" s="547" t="s">
        <v>89</v>
      </c>
      <c r="L266" s="547" t="s">
        <v>90</v>
      </c>
      <c r="M266" s="104" t="s">
        <v>51</v>
      </c>
      <c r="N266" s="260">
        <v>401000</v>
      </c>
      <c r="O266" s="260">
        <v>28070</v>
      </c>
      <c r="P266" s="260">
        <f t="shared" si="52"/>
        <v>429070</v>
      </c>
      <c r="Q266" s="311"/>
      <c r="R266" s="113"/>
      <c r="S266" s="114"/>
      <c r="T266" s="115"/>
      <c r="U266" s="550"/>
      <c r="V266" s="551"/>
      <c r="W266" s="552"/>
      <c r="X266" s="552"/>
      <c r="Y266" s="553"/>
      <c r="Z266" s="120"/>
      <c r="AA266" s="229">
        <v>18080313</v>
      </c>
      <c r="AB266" s="230">
        <v>380950</v>
      </c>
      <c r="AC266" s="234">
        <f t="shared" ref="AC266:AC271" si="53">AB266*7/100</f>
        <v>26666.5</v>
      </c>
      <c r="AD266" s="234">
        <f t="shared" ref="AD266:AD271" si="54">AB266+AC266</f>
        <v>407616.5</v>
      </c>
      <c r="AE266" s="221">
        <v>43332</v>
      </c>
      <c r="AF266" s="121" t="s">
        <v>869</v>
      </c>
      <c r="AG266" s="121"/>
      <c r="AH266" s="121"/>
      <c r="AI266" s="222" t="s">
        <v>1035</v>
      </c>
      <c r="AJ266" s="128">
        <v>1</v>
      </c>
      <c r="AK266" s="129" t="s">
        <v>735</v>
      </c>
      <c r="AL266" s="130" t="s">
        <v>1205</v>
      </c>
      <c r="AM266" s="130"/>
      <c r="AN266" s="131">
        <v>1</v>
      </c>
      <c r="AO266" s="132" t="s">
        <v>634</v>
      </c>
      <c r="AP266" s="361"/>
      <c r="AQ266" s="361"/>
      <c r="AR266" s="128"/>
      <c r="AS266" s="128"/>
      <c r="AT266" s="361"/>
      <c r="AU266" s="133"/>
      <c r="AV266" s="361"/>
      <c r="AW266" s="361"/>
      <c r="AX266" s="128"/>
      <c r="AY266" s="128"/>
      <c r="AZ266" s="361"/>
      <c r="BA266" s="133"/>
      <c r="BB266" s="361"/>
      <c r="BC266" s="361"/>
      <c r="BD266" s="128"/>
      <c r="BE266" s="128"/>
      <c r="BF266" s="361"/>
      <c r="BG266" s="133"/>
      <c r="BH266" s="361"/>
      <c r="BI266" s="361"/>
      <c r="BJ266" s="128"/>
      <c r="BK266" s="128"/>
      <c r="BL266" s="361"/>
      <c r="BM266" s="361"/>
      <c r="BN266" s="361"/>
      <c r="BO266" s="361"/>
      <c r="BP266" s="128"/>
      <c r="BQ266" s="128"/>
      <c r="BR266" s="361"/>
      <c r="BS266" s="361"/>
      <c r="BT266" s="361"/>
      <c r="BU266" s="361"/>
      <c r="BV266" s="128"/>
      <c r="BW266" s="128"/>
      <c r="BX266" s="361"/>
      <c r="BY266" s="361"/>
      <c r="BZ266" s="361"/>
      <c r="CA266" s="361"/>
      <c r="CB266" s="128"/>
      <c r="CC266" s="128"/>
      <c r="CD266" s="361"/>
      <c r="CE266" s="361"/>
    </row>
    <row r="267" spans="1:83" x14ac:dyDescent="0.5">
      <c r="A267" s="268"/>
      <c r="B267" s="181"/>
      <c r="C267" s="182"/>
      <c r="D267" s="183"/>
      <c r="E267" s="184"/>
      <c r="F267" s="185"/>
      <c r="G267" s="181"/>
      <c r="H267" s="187"/>
      <c r="I267" s="199"/>
      <c r="J267" s="186"/>
      <c r="K267" s="240"/>
      <c r="L267" s="558"/>
      <c r="M267" s="181"/>
      <c r="N267" s="237"/>
      <c r="O267" s="237"/>
      <c r="P267" s="237"/>
      <c r="Q267" s="190"/>
      <c r="R267" s="215"/>
      <c r="S267" s="216"/>
      <c r="T267" s="217"/>
      <c r="U267" s="544"/>
      <c r="V267" s="560"/>
      <c r="W267" s="561"/>
      <c r="X267" s="561"/>
      <c r="Y267" s="562"/>
      <c r="Z267" s="198"/>
      <c r="AA267" s="200">
        <v>18110419</v>
      </c>
      <c r="AB267" s="201">
        <v>20050</v>
      </c>
      <c r="AC267" s="238">
        <f t="shared" si="53"/>
        <v>1403.5</v>
      </c>
      <c r="AD267" s="238">
        <f t="shared" si="54"/>
        <v>21453.5</v>
      </c>
      <c r="AE267" s="203">
        <v>43411</v>
      </c>
      <c r="AF267" s="199" t="s">
        <v>869</v>
      </c>
      <c r="AG267" s="199"/>
      <c r="AH267" s="199"/>
      <c r="AI267" s="180" t="s">
        <v>1657</v>
      </c>
      <c r="AJ267" s="204"/>
      <c r="AK267" s="205"/>
      <c r="AL267" s="206"/>
      <c r="AM267" s="206"/>
      <c r="AN267" s="207"/>
      <c r="AO267" s="208"/>
      <c r="AP267" s="365"/>
      <c r="AQ267" s="365"/>
      <c r="AR267" s="204"/>
      <c r="AS267" s="204"/>
      <c r="AT267" s="365"/>
      <c r="AU267" s="210"/>
      <c r="AV267" s="365"/>
      <c r="AW267" s="365"/>
      <c r="AX267" s="204"/>
      <c r="AY267" s="204"/>
      <c r="AZ267" s="365"/>
      <c r="BA267" s="210"/>
      <c r="BB267" s="365"/>
      <c r="BC267" s="365"/>
      <c r="BD267" s="204"/>
      <c r="BE267" s="204"/>
      <c r="BF267" s="365"/>
      <c r="BG267" s="210"/>
      <c r="BH267" s="365"/>
      <c r="BI267" s="365"/>
      <c r="BJ267" s="204"/>
      <c r="BK267" s="204"/>
      <c r="BL267" s="365"/>
      <c r="BM267" s="365"/>
      <c r="BN267" s="365"/>
      <c r="BO267" s="365"/>
      <c r="BP267" s="204"/>
      <c r="BQ267" s="204"/>
      <c r="BR267" s="365"/>
      <c r="BS267" s="365"/>
      <c r="BT267" s="365"/>
      <c r="BU267" s="365"/>
      <c r="BV267" s="204"/>
      <c r="BW267" s="204"/>
      <c r="BX267" s="365"/>
      <c r="BY267" s="365"/>
      <c r="BZ267" s="365"/>
      <c r="CA267" s="365"/>
      <c r="CB267" s="204"/>
      <c r="CC267" s="204"/>
      <c r="CD267" s="365"/>
      <c r="CE267" s="365"/>
    </row>
    <row r="268" spans="1:83" x14ac:dyDescent="0.5">
      <c r="A268" s="227">
        <v>18085923</v>
      </c>
      <c r="B268" s="22">
        <v>18080688</v>
      </c>
      <c r="C268" s="23">
        <v>165</v>
      </c>
      <c r="D268" s="24" t="s">
        <v>184</v>
      </c>
      <c r="E268" s="25" t="s">
        <v>185</v>
      </c>
      <c r="F268" s="26">
        <v>185</v>
      </c>
      <c r="I268" s="39" t="s">
        <v>869</v>
      </c>
      <c r="J268" s="62">
        <v>43343</v>
      </c>
      <c r="K268" s="42" t="s">
        <v>91</v>
      </c>
      <c r="L268" s="520" t="s">
        <v>92</v>
      </c>
      <c r="M268" s="22" t="s">
        <v>52</v>
      </c>
      <c r="N268" s="63">
        <v>40000</v>
      </c>
      <c r="O268" s="63">
        <v>2800</v>
      </c>
      <c r="P268" s="63">
        <f t="shared" si="52"/>
        <v>42800</v>
      </c>
      <c r="U268" s="516">
        <v>2000</v>
      </c>
      <c r="X268" s="518">
        <v>102.6</v>
      </c>
      <c r="AA268" s="40">
        <v>18090327</v>
      </c>
      <c r="AB268" s="41">
        <v>40000</v>
      </c>
      <c r="AC268" s="64">
        <f t="shared" si="53"/>
        <v>2800</v>
      </c>
      <c r="AD268" s="64">
        <f t="shared" si="54"/>
        <v>42800</v>
      </c>
      <c r="AE268" s="53">
        <v>43350</v>
      </c>
      <c r="AF268" s="39" t="s">
        <v>869</v>
      </c>
      <c r="AI268" s="21" t="s">
        <v>1060</v>
      </c>
      <c r="AJ268" s="44">
        <v>1</v>
      </c>
      <c r="AK268" s="45" t="s">
        <v>595</v>
      </c>
      <c r="AM268" s="46" t="s">
        <v>1205</v>
      </c>
      <c r="AN268" s="47">
        <v>1</v>
      </c>
      <c r="AO268" s="48" t="s">
        <v>634</v>
      </c>
      <c r="AP268" s="356"/>
      <c r="AQ268" s="356"/>
      <c r="AR268" s="44"/>
      <c r="AS268" s="44"/>
      <c r="AT268" s="356"/>
      <c r="AU268" s="54"/>
      <c r="AV268" s="356"/>
      <c r="AW268" s="356"/>
      <c r="AX268" s="44"/>
      <c r="AY268" s="44"/>
      <c r="AZ268" s="356"/>
      <c r="BA268" s="54"/>
      <c r="BB268" s="356"/>
      <c r="BC268" s="356"/>
      <c r="BD268" s="44"/>
      <c r="BE268" s="44"/>
      <c r="BF268" s="356"/>
      <c r="BG268" s="54"/>
      <c r="BH268" s="356"/>
      <c r="BI268" s="356"/>
      <c r="BJ268" s="44"/>
      <c r="BK268" s="44"/>
      <c r="BL268" s="356"/>
      <c r="BM268" s="356"/>
      <c r="BN268" s="356"/>
      <c r="BO268" s="356"/>
      <c r="BP268" s="44"/>
      <c r="BQ268" s="44"/>
      <c r="BR268" s="356"/>
      <c r="BS268" s="356"/>
      <c r="BT268" s="356"/>
      <c r="BU268" s="356"/>
      <c r="BV268" s="44"/>
      <c r="BW268" s="44"/>
      <c r="BX268" s="356"/>
      <c r="BY268" s="356"/>
      <c r="BZ268" s="356"/>
      <c r="CA268" s="356"/>
      <c r="CB268" s="44"/>
      <c r="CC268" s="44"/>
      <c r="CD268" s="356"/>
      <c r="CE268" s="356"/>
    </row>
    <row r="269" spans="1:83" x14ac:dyDescent="0.5">
      <c r="A269" s="227">
        <v>18085922</v>
      </c>
      <c r="B269" s="22">
        <v>18080693</v>
      </c>
      <c r="C269" s="23">
        <v>164</v>
      </c>
      <c r="D269" s="24" t="s">
        <v>184</v>
      </c>
      <c r="E269" s="25" t="s">
        <v>185</v>
      </c>
      <c r="F269" s="26">
        <v>192</v>
      </c>
      <c r="I269" s="39" t="s">
        <v>869</v>
      </c>
      <c r="J269" s="62">
        <v>43350</v>
      </c>
      <c r="K269" s="42" t="s">
        <v>93</v>
      </c>
      <c r="L269" s="520" t="s">
        <v>94</v>
      </c>
      <c r="M269" s="22" t="s">
        <v>51</v>
      </c>
      <c r="N269" s="63">
        <v>123668</v>
      </c>
      <c r="O269" s="63">
        <v>8656.76</v>
      </c>
      <c r="P269" s="63">
        <f t="shared" si="52"/>
        <v>132324.76</v>
      </c>
      <c r="AA269" s="40">
        <v>18090322</v>
      </c>
      <c r="AB269" s="41">
        <v>123668</v>
      </c>
      <c r="AC269" s="64">
        <f t="shared" si="53"/>
        <v>8656.76</v>
      </c>
      <c r="AD269" s="64">
        <f t="shared" si="54"/>
        <v>132324.76</v>
      </c>
      <c r="AE269" s="53">
        <v>43409</v>
      </c>
      <c r="AF269" s="39" t="s">
        <v>869</v>
      </c>
      <c r="AI269" s="21" t="s">
        <v>1056</v>
      </c>
      <c r="AJ269" s="44">
        <v>1</v>
      </c>
      <c r="AK269" s="45" t="s">
        <v>736</v>
      </c>
      <c r="AL269" s="46" t="s">
        <v>1205</v>
      </c>
      <c r="AN269" s="47">
        <v>1</v>
      </c>
      <c r="AO269" s="48" t="s">
        <v>635</v>
      </c>
      <c r="AP269" s="356"/>
      <c r="AQ269" s="356"/>
      <c r="AR269" s="44"/>
      <c r="AS269" s="44"/>
      <c r="AT269" s="356"/>
      <c r="AU269" s="54"/>
      <c r="AV269" s="356"/>
      <c r="AW269" s="356"/>
      <c r="AX269" s="44"/>
      <c r="AY269" s="44"/>
      <c r="AZ269" s="356"/>
      <c r="BA269" s="54"/>
      <c r="BB269" s="356"/>
      <c r="BC269" s="356"/>
      <c r="BD269" s="44"/>
      <c r="BE269" s="44"/>
      <c r="BF269" s="356"/>
      <c r="BG269" s="54"/>
      <c r="BH269" s="356"/>
      <c r="BI269" s="356"/>
      <c r="BJ269" s="44"/>
      <c r="BK269" s="44"/>
      <c r="BL269" s="356"/>
      <c r="BM269" s="356"/>
      <c r="BN269" s="356"/>
      <c r="BO269" s="356"/>
      <c r="BP269" s="44"/>
      <c r="BQ269" s="44"/>
      <c r="BR269" s="356"/>
      <c r="BS269" s="356"/>
      <c r="BT269" s="356"/>
      <c r="BU269" s="356"/>
      <c r="BV269" s="44"/>
      <c r="BW269" s="44"/>
      <c r="BX269" s="356"/>
      <c r="BY269" s="356"/>
      <c r="BZ269" s="356"/>
      <c r="CA269" s="356"/>
      <c r="CB269" s="44"/>
      <c r="CC269" s="44"/>
      <c r="CD269" s="356"/>
      <c r="CE269" s="356"/>
    </row>
    <row r="270" spans="1:83" x14ac:dyDescent="0.5">
      <c r="A270" s="227">
        <v>18085921</v>
      </c>
      <c r="B270" s="22">
        <v>18080690</v>
      </c>
      <c r="C270" s="23">
        <v>163</v>
      </c>
      <c r="D270" s="24" t="s">
        <v>184</v>
      </c>
      <c r="E270" s="25" t="s">
        <v>185</v>
      </c>
      <c r="F270" s="26">
        <v>214</v>
      </c>
      <c r="G270" s="62">
        <v>43370</v>
      </c>
      <c r="H270" s="27">
        <v>18334</v>
      </c>
      <c r="I270" s="39" t="s">
        <v>869</v>
      </c>
      <c r="J270" s="62">
        <v>43371</v>
      </c>
      <c r="K270" s="42" t="s">
        <v>16</v>
      </c>
      <c r="L270" s="520" t="s">
        <v>95</v>
      </c>
      <c r="M270" s="22" t="s">
        <v>50</v>
      </c>
      <c r="N270" s="63">
        <v>42075</v>
      </c>
      <c r="O270" s="63">
        <v>2945.25</v>
      </c>
      <c r="P270" s="63">
        <f t="shared" si="52"/>
        <v>45020.25</v>
      </c>
      <c r="Q270" s="61"/>
      <c r="R270" s="595"/>
      <c r="S270" s="97"/>
      <c r="T270" s="98"/>
      <c r="U270" s="546"/>
      <c r="V270" s="517">
        <f>N270</f>
        <v>42075</v>
      </c>
      <c r="W270" s="518">
        <v>0.38</v>
      </c>
      <c r="X270" s="518">
        <f>V270*W270/100</f>
        <v>159.88499999999999</v>
      </c>
      <c r="Y270" s="519">
        <v>0.2</v>
      </c>
      <c r="Z270" s="38">
        <f>V270*Y270/100</f>
        <v>84.15</v>
      </c>
      <c r="AA270" s="40">
        <v>18090367</v>
      </c>
      <c r="AB270" s="41">
        <v>42075</v>
      </c>
      <c r="AC270" s="64">
        <f t="shared" si="53"/>
        <v>2945.25</v>
      </c>
      <c r="AD270" s="64">
        <f t="shared" si="54"/>
        <v>45020.25</v>
      </c>
      <c r="AE270" s="53">
        <v>43399</v>
      </c>
      <c r="AF270" s="345" t="s">
        <v>869</v>
      </c>
      <c r="AG270" s="345"/>
      <c r="AH270" s="345"/>
      <c r="AI270" s="346" t="s">
        <v>1465</v>
      </c>
      <c r="AJ270" s="44">
        <v>1</v>
      </c>
      <c r="AK270" s="45" t="s">
        <v>650</v>
      </c>
      <c r="AM270" s="46" t="s">
        <v>1205</v>
      </c>
      <c r="AN270" s="47">
        <v>2</v>
      </c>
      <c r="AO270" s="48" t="s">
        <v>634</v>
      </c>
      <c r="AP270" s="44">
        <v>2</v>
      </c>
      <c r="AQ270" s="40" t="s">
        <v>759</v>
      </c>
      <c r="AS270" s="47" t="s">
        <v>1205</v>
      </c>
      <c r="AT270" s="47">
        <v>1</v>
      </c>
      <c r="AU270" s="49" t="s">
        <v>634</v>
      </c>
      <c r="AV270" s="356"/>
      <c r="AW270" s="356"/>
      <c r="AX270" s="44"/>
      <c r="AY270" s="44"/>
      <c r="AZ270" s="356"/>
      <c r="BA270" s="54"/>
      <c r="BB270" s="356"/>
      <c r="BC270" s="356"/>
      <c r="BD270" s="44"/>
      <c r="BE270" s="44"/>
      <c r="BF270" s="356"/>
      <c r="BG270" s="54"/>
      <c r="BH270" s="356"/>
      <c r="BI270" s="356"/>
      <c r="BJ270" s="44"/>
      <c r="BK270" s="44"/>
      <c r="BL270" s="356"/>
      <c r="BM270" s="356"/>
      <c r="BN270" s="356"/>
      <c r="BO270" s="356"/>
      <c r="BP270" s="44"/>
      <c r="BQ270" s="44"/>
      <c r="BR270" s="356"/>
      <c r="BS270" s="356"/>
      <c r="BT270" s="356"/>
      <c r="BU270" s="356"/>
      <c r="BV270" s="44"/>
      <c r="BW270" s="44"/>
      <c r="BX270" s="356"/>
      <c r="BY270" s="356"/>
      <c r="BZ270" s="356"/>
      <c r="CA270" s="356"/>
      <c r="CB270" s="44"/>
      <c r="CC270" s="44"/>
      <c r="CD270" s="356"/>
      <c r="CE270" s="356"/>
    </row>
    <row r="271" spans="1:83" x14ac:dyDescent="0.5">
      <c r="A271" s="227">
        <v>18085920</v>
      </c>
      <c r="B271" s="22">
        <v>18080686</v>
      </c>
      <c r="C271" s="23">
        <v>162</v>
      </c>
      <c r="D271" s="24" t="s">
        <v>184</v>
      </c>
      <c r="E271" s="25" t="s">
        <v>185</v>
      </c>
      <c r="F271" s="26">
        <v>182</v>
      </c>
      <c r="I271" s="39" t="s">
        <v>869</v>
      </c>
      <c r="J271" s="62">
        <v>43340</v>
      </c>
      <c r="K271" s="42" t="s">
        <v>23</v>
      </c>
      <c r="L271" s="520" t="s">
        <v>96</v>
      </c>
      <c r="M271" s="22" t="s">
        <v>51</v>
      </c>
      <c r="N271" s="63">
        <v>338661</v>
      </c>
      <c r="O271" s="63">
        <v>23706.27</v>
      </c>
      <c r="P271" s="63">
        <f t="shared" si="52"/>
        <v>362367.27</v>
      </c>
      <c r="AA271" s="40">
        <v>18090324</v>
      </c>
      <c r="AB271" s="41">
        <v>338661</v>
      </c>
      <c r="AC271" s="63">
        <f t="shared" si="53"/>
        <v>23706.27</v>
      </c>
      <c r="AD271" s="63">
        <f t="shared" si="54"/>
        <v>362367.27</v>
      </c>
      <c r="AE271" s="53">
        <v>43350</v>
      </c>
      <c r="AF271" s="39" t="s">
        <v>869</v>
      </c>
      <c r="AI271" s="21" t="s">
        <v>1066</v>
      </c>
      <c r="AJ271" s="44">
        <v>1</v>
      </c>
      <c r="AK271" s="45" t="s">
        <v>768</v>
      </c>
      <c r="AL271" s="46" t="s">
        <v>1205</v>
      </c>
      <c r="AN271" s="47">
        <v>1</v>
      </c>
      <c r="AO271" s="48" t="s">
        <v>633</v>
      </c>
      <c r="AP271" s="44">
        <v>2</v>
      </c>
      <c r="AQ271" s="40" t="s">
        <v>768</v>
      </c>
      <c r="AR271" s="47" t="s">
        <v>1205</v>
      </c>
      <c r="AT271" s="47">
        <v>1</v>
      </c>
      <c r="AU271" s="49" t="s">
        <v>633</v>
      </c>
      <c r="AV271" s="356"/>
      <c r="AW271" s="356"/>
      <c r="AX271" s="44"/>
      <c r="AY271" s="44"/>
      <c r="AZ271" s="356"/>
      <c r="BA271" s="54"/>
      <c r="BB271" s="356"/>
      <c r="BC271" s="356"/>
      <c r="BD271" s="44"/>
      <c r="BE271" s="44"/>
      <c r="BF271" s="356"/>
      <c r="BG271" s="54"/>
      <c r="BH271" s="356"/>
      <c r="BI271" s="356"/>
      <c r="BJ271" s="44"/>
      <c r="BK271" s="44"/>
      <c r="BL271" s="356"/>
      <c r="BM271" s="356"/>
      <c r="BN271" s="356"/>
      <c r="BO271" s="356"/>
      <c r="BP271" s="44"/>
      <c r="BQ271" s="44"/>
      <c r="BR271" s="356"/>
      <c r="BS271" s="356"/>
      <c r="BT271" s="356"/>
      <c r="BU271" s="356"/>
      <c r="BV271" s="44"/>
      <c r="BW271" s="44"/>
      <c r="BX271" s="356"/>
      <c r="BY271" s="356"/>
      <c r="BZ271" s="356"/>
      <c r="CA271" s="356"/>
      <c r="CB271" s="44"/>
      <c r="CC271" s="44"/>
      <c r="CD271" s="356"/>
      <c r="CE271" s="356"/>
    </row>
    <row r="272" spans="1:83" s="608" customFormat="1" x14ac:dyDescent="0.5">
      <c r="A272" s="65">
        <v>18085919</v>
      </c>
      <c r="B272" s="66">
        <v>18080685</v>
      </c>
      <c r="C272" s="67">
        <v>161</v>
      </c>
      <c r="D272" s="68" t="s">
        <v>184</v>
      </c>
      <c r="E272" s="69"/>
      <c r="F272" s="70"/>
      <c r="G272" s="66"/>
      <c r="H272" s="71"/>
      <c r="I272" s="83"/>
      <c r="J272" s="66"/>
      <c r="K272" s="596" t="s">
        <v>97</v>
      </c>
      <c r="L272" s="597" t="s">
        <v>3</v>
      </c>
      <c r="M272" s="66" t="s">
        <v>51</v>
      </c>
      <c r="N272" s="598">
        <v>168000</v>
      </c>
      <c r="O272" s="598">
        <v>11760</v>
      </c>
      <c r="P272" s="598">
        <f t="shared" si="52"/>
        <v>179760</v>
      </c>
      <c r="Q272" s="599"/>
      <c r="R272" s="600"/>
      <c r="S272" s="601"/>
      <c r="T272" s="77"/>
      <c r="U272" s="602"/>
      <c r="V272" s="603"/>
      <c r="W272" s="604"/>
      <c r="X272" s="604"/>
      <c r="Y272" s="605"/>
      <c r="Z272" s="606"/>
      <c r="AA272" s="84"/>
      <c r="AB272" s="85"/>
      <c r="AC272" s="596"/>
      <c r="AD272" s="596"/>
      <c r="AE272" s="87"/>
      <c r="AF272" s="83"/>
      <c r="AG272" s="83"/>
      <c r="AH272" s="83"/>
      <c r="AI272" s="65"/>
      <c r="AJ272" s="88">
        <v>1</v>
      </c>
      <c r="AK272" s="89" t="s">
        <v>645</v>
      </c>
      <c r="AL272" s="90"/>
      <c r="AM272" s="90" t="s">
        <v>1205</v>
      </c>
      <c r="AN272" s="91">
        <v>4</v>
      </c>
      <c r="AO272" s="92" t="s">
        <v>633</v>
      </c>
      <c r="AP272" s="607"/>
      <c r="AQ272" s="607"/>
      <c r="AR272" s="88"/>
      <c r="AS272" s="88"/>
      <c r="AT272" s="607"/>
      <c r="AU272" s="94"/>
      <c r="AV272" s="607"/>
      <c r="AW272" s="607"/>
      <c r="AX272" s="88"/>
      <c r="AY272" s="88"/>
      <c r="AZ272" s="607"/>
      <c r="BA272" s="94"/>
      <c r="BB272" s="607"/>
      <c r="BC272" s="607"/>
      <c r="BD272" s="88"/>
      <c r="BE272" s="88"/>
      <c r="BF272" s="607"/>
      <c r="BG272" s="94"/>
      <c r="BH272" s="607"/>
      <c r="BI272" s="607"/>
      <c r="BJ272" s="88"/>
      <c r="BK272" s="88"/>
      <c r="BL272" s="607"/>
      <c r="BM272" s="607"/>
      <c r="BN272" s="607"/>
      <c r="BO272" s="607"/>
      <c r="BP272" s="88"/>
      <c r="BQ272" s="88"/>
      <c r="BR272" s="607"/>
      <c r="BS272" s="607"/>
      <c r="BT272" s="607"/>
      <c r="BU272" s="607"/>
      <c r="BV272" s="88"/>
      <c r="BW272" s="88"/>
      <c r="BX272" s="607"/>
      <c r="BY272" s="607"/>
      <c r="BZ272" s="607"/>
      <c r="CA272" s="607"/>
      <c r="CB272" s="88"/>
      <c r="CC272" s="88"/>
      <c r="CD272" s="607"/>
      <c r="CE272" s="607"/>
    </row>
    <row r="273" spans="1:83" x14ac:dyDescent="0.5">
      <c r="A273" s="259">
        <v>18085918</v>
      </c>
      <c r="B273" s="104" t="s">
        <v>98</v>
      </c>
      <c r="C273" s="105">
        <v>160</v>
      </c>
      <c r="D273" s="106" t="s">
        <v>184</v>
      </c>
      <c r="E273" s="107" t="s">
        <v>185</v>
      </c>
      <c r="F273" s="108">
        <v>179</v>
      </c>
      <c r="G273" s="122">
        <v>43329</v>
      </c>
      <c r="H273" s="109">
        <v>18266</v>
      </c>
      <c r="I273" s="127" t="s">
        <v>869</v>
      </c>
      <c r="J273" s="122">
        <v>43329</v>
      </c>
      <c r="K273" s="547" t="s">
        <v>99</v>
      </c>
      <c r="L273" s="548" t="s">
        <v>100</v>
      </c>
      <c r="M273" s="104" t="s">
        <v>50</v>
      </c>
      <c r="N273" s="260">
        <v>85800</v>
      </c>
      <c r="O273" s="260">
        <v>6006</v>
      </c>
      <c r="P273" s="260">
        <f t="shared" si="52"/>
        <v>91806</v>
      </c>
      <c r="Q273" s="311"/>
      <c r="R273" s="113"/>
      <c r="S273" s="114"/>
      <c r="T273" s="115"/>
      <c r="U273" s="550">
        <v>6864</v>
      </c>
      <c r="V273" s="551"/>
      <c r="W273" s="552"/>
      <c r="X273" s="552">
        <v>394.68</v>
      </c>
      <c r="Y273" s="553"/>
      <c r="Z273" s="120"/>
      <c r="AA273" s="229">
        <v>18080310</v>
      </c>
      <c r="AB273" s="230">
        <v>60060</v>
      </c>
      <c r="AC273" s="234">
        <f t="shared" ref="AC273:AC279" si="55">AB273*7/100</f>
        <v>4204.2</v>
      </c>
      <c r="AD273" s="234">
        <f t="shared" ref="AD273:AD279" si="56">AB273+AC273</f>
        <v>64264.2</v>
      </c>
      <c r="AE273" s="221">
        <v>43323</v>
      </c>
      <c r="AF273" s="121" t="s">
        <v>869</v>
      </c>
      <c r="AG273" s="121"/>
      <c r="AH273" s="121"/>
      <c r="AI273" s="222" t="s">
        <v>1068</v>
      </c>
      <c r="AJ273" s="128">
        <v>1</v>
      </c>
      <c r="AK273" s="129" t="s">
        <v>764</v>
      </c>
      <c r="AL273" s="130"/>
      <c r="AM273" s="130" t="s">
        <v>1205</v>
      </c>
      <c r="AN273" s="131">
        <v>6</v>
      </c>
      <c r="AO273" s="132" t="s">
        <v>634</v>
      </c>
      <c r="AP273" s="361"/>
      <c r="AQ273" s="361"/>
      <c r="AR273" s="128"/>
      <c r="AS273" s="128"/>
      <c r="AT273" s="361"/>
      <c r="AU273" s="133"/>
      <c r="AV273" s="361"/>
      <c r="AW273" s="361"/>
      <c r="AX273" s="128"/>
      <c r="AY273" s="128"/>
      <c r="AZ273" s="361"/>
      <c r="BA273" s="133"/>
      <c r="BB273" s="361"/>
      <c r="BC273" s="361"/>
      <c r="BD273" s="128"/>
      <c r="BE273" s="128"/>
      <c r="BF273" s="361"/>
      <c r="BG273" s="133"/>
      <c r="BH273" s="361"/>
      <c r="BI273" s="361"/>
      <c r="BJ273" s="128"/>
      <c r="BK273" s="128"/>
      <c r="BL273" s="361"/>
      <c r="BM273" s="361"/>
      <c r="BN273" s="361"/>
      <c r="BO273" s="361"/>
      <c r="BP273" s="128"/>
      <c r="BQ273" s="128"/>
      <c r="BR273" s="361"/>
      <c r="BS273" s="361"/>
      <c r="BT273" s="361"/>
      <c r="BU273" s="361"/>
      <c r="BV273" s="128"/>
      <c r="BW273" s="128"/>
      <c r="BX273" s="361"/>
      <c r="BY273" s="361"/>
      <c r="BZ273" s="361"/>
      <c r="CA273" s="361"/>
      <c r="CB273" s="128"/>
      <c r="CC273" s="128"/>
      <c r="CD273" s="361"/>
      <c r="CE273" s="361"/>
    </row>
    <row r="274" spans="1:83" x14ac:dyDescent="0.5">
      <c r="A274" s="268"/>
      <c r="B274" s="181"/>
      <c r="C274" s="182"/>
      <c r="D274" s="183"/>
      <c r="E274" s="184"/>
      <c r="F274" s="185"/>
      <c r="G274" s="181"/>
      <c r="H274" s="187"/>
      <c r="I274" s="199"/>
      <c r="J274" s="186"/>
      <c r="K274" s="240"/>
      <c r="L274" s="558"/>
      <c r="M274" s="181"/>
      <c r="N274" s="237"/>
      <c r="O274" s="237"/>
      <c r="P274" s="237"/>
      <c r="Q274" s="190"/>
      <c r="R274" s="215"/>
      <c r="S274" s="216"/>
      <c r="T274" s="217"/>
      <c r="U274" s="544"/>
      <c r="V274" s="560"/>
      <c r="W274" s="561"/>
      <c r="X274" s="561"/>
      <c r="Y274" s="562"/>
      <c r="Z274" s="198"/>
      <c r="AA274" s="200">
        <v>18080309</v>
      </c>
      <c r="AB274" s="201">
        <v>25740</v>
      </c>
      <c r="AC274" s="238">
        <f t="shared" si="55"/>
        <v>1801.8</v>
      </c>
      <c r="AD274" s="238">
        <f t="shared" si="56"/>
        <v>27541.8</v>
      </c>
      <c r="AE274" s="203">
        <v>43323</v>
      </c>
      <c r="AF274" s="199" t="s">
        <v>869</v>
      </c>
      <c r="AG274" s="199"/>
      <c r="AH274" s="199"/>
      <c r="AI274" s="180" t="s">
        <v>1071</v>
      </c>
      <c r="AJ274" s="204"/>
      <c r="AK274" s="205"/>
      <c r="AL274" s="206"/>
      <c r="AM274" s="206"/>
      <c r="AN274" s="207"/>
      <c r="AO274" s="208"/>
      <c r="AP274" s="365"/>
      <c r="AQ274" s="365"/>
      <c r="AR274" s="204"/>
      <c r="AS274" s="204"/>
      <c r="AT274" s="365"/>
      <c r="AU274" s="210"/>
      <c r="AV274" s="365"/>
      <c r="AW274" s="365"/>
      <c r="AX274" s="204"/>
      <c r="AY274" s="204"/>
      <c r="AZ274" s="365"/>
      <c r="BA274" s="210"/>
      <c r="BB274" s="365"/>
      <c r="BC274" s="365"/>
      <c r="BD274" s="204"/>
      <c r="BE274" s="204"/>
      <c r="BF274" s="365"/>
      <c r="BG274" s="210"/>
      <c r="BH274" s="365"/>
      <c r="BI274" s="365"/>
      <c r="BJ274" s="204"/>
      <c r="BK274" s="204"/>
      <c r="BL274" s="365"/>
      <c r="BM274" s="365"/>
      <c r="BN274" s="365"/>
      <c r="BO274" s="365"/>
      <c r="BP274" s="204"/>
      <c r="BQ274" s="204"/>
      <c r="BR274" s="365"/>
      <c r="BS274" s="365"/>
      <c r="BT274" s="365"/>
      <c r="BU274" s="365"/>
      <c r="BV274" s="204"/>
      <c r="BW274" s="204"/>
      <c r="BX274" s="365"/>
      <c r="BY274" s="365"/>
      <c r="BZ274" s="365"/>
      <c r="CA274" s="365"/>
      <c r="CB274" s="204"/>
      <c r="CC274" s="204"/>
      <c r="CD274" s="365"/>
      <c r="CE274" s="365"/>
    </row>
    <row r="275" spans="1:83" x14ac:dyDescent="0.5">
      <c r="A275" s="227">
        <v>18085917</v>
      </c>
      <c r="B275" s="22">
        <v>18080675</v>
      </c>
      <c r="C275" s="55"/>
      <c r="D275" s="56"/>
      <c r="I275" s="39" t="s">
        <v>869</v>
      </c>
      <c r="K275" s="42" t="s">
        <v>101</v>
      </c>
      <c r="L275" s="520" t="s">
        <v>102</v>
      </c>
      <c r="M275" s="22" t="s">
        <v>68</v>
      </c>
      <c r="N275" s="63">
        <v>10108.799999999999</v>
      </c>
      <c r="O275" s="63">
        <v>707.62</v>
      </c>
      <c r="P275" s="63">
        <f t="shared" si="52"/>
        <v>10816.42</v>
      </c>
      <c r="X275" s="518">
        <v>101.08</v>
      </c>
      <c r="AA275" s="40">
        <v>18080319</v>
      </c>
      <c r="AB275" s="41">
        <v>10108.799999999999</v>
      </c>
      <c r="AC275" s="64">
        <f t="shared" si="55"/>
        <v>707.61599999999987</v>
      </c>
      <c r="AD275" s="64">
        <f t="shared" si="56"/>
        <v>10816.415999999999</v>
      </c>
      <c r="AE275" s="53">
        <v>43343</v>
      </c>
      <c r="AF275" s="39" t="s">
        <v>869</v>
      </c>
      <c r="AI275" s="21" t="s">
        <v>1051</v>
      </c>
      <c r="AJ275" s="44">
        <v>1</v>
      </c>
      <c r="AK275" s="45" t="s">
        <v>646</v>
      </c>
      <c r="AO275" s="48" t="s">
        <v>628</v>
      </c>
      <c r="AP275" s="356"/>
      <c r="AQ275" s="356"/>
      <c r="AR275" s="44"/>
      <c r="AS275" s="44"/>
      <c r="AT275" s="356"/>
      <c r="AU275" s="54"/>
      <c r="AV275" s="356"/>
      <c r="AW275" s="356"/>
      <c r="AX275" s="44"/>
      <c r="AY275" s="44"/>
      <c r="AZ275" s="356"/>
      <c r="BA275" s="54"/>
      <c r="BB275" s="356"/>
      <c r="BC275" s="356"/>
      <c r="BD275" s="44"/>
      <c r="BE275" s="44"/>
      <c r="BF275" s="356"/>
      <c r="BG275" s="54"/>
      <c r="BH275" s="356"/>
      <c r="BI275" s="356"/>
      <c r="BJ275" s="44"/>
      <c r="BK275" s="44"/>
      <c r="BL275" s="356"/>
      <c r="BM275" s="356"/>
      <c r="BN275" s="356"/>
      <c r="BO275" s="356"/>
      <c r="BP275" s="44"/>
      <c r="BQ275" s="44"/>
      <c r="BR275" s="356"/>
      <c r="BS275" s="356"/>
      <c r="BT275" s="356"/>
      <c r="BU275" s="356"/>
      <c r="BV275" s="44"/>
      <c r="BW275" s="44"/>
      <c r="BX275" s="356"/>
      <c r="BY275" s="356"/>
      <c r="BZ275" s="356"/>
      <c r="CA275" s="356"/>
      <c r="CB275" s="44"/>
      <c r="CC275" s="44"/>
      <c r="CD275" s="356"/>
      <c r="CE275" s="356"/>
    </row>
    <row r="276" spans="1:83" x14ac:dyDescent="0.5">
      <c r="A276" s="227">
        <v>18085916</v>
      </c>
      <c r="B276" s="22">
        <v>18080674</v>
      </c>
      <c r="C276" s="23">
        <v>159</v>
      </c>
      <c r="D276" s="24" t="s">
        <v>184</v>
      </c>
      <c r="E276" s="25" t="s">
        <v>185</v>
      </c>
      <c r="F276" s="26">
        <v>280</v>
      </c>
      <c r="G276" s="62">
        <v>43449</v>
      </c>
      <c r="H276" s="27">
        <v>18453</v>
      </c>
      <c r="I276" s="39" t="s">
        <v>869</v>
      </c>
      <c r="J276" s="62">
        <v>43451</v>
      </c>
      <c r="K276" s="42" t="s">
        <v>103</v>
      </c>
      <c r="L276" s="520" t="s">
        <v>104</v>
      </c>
      <c r="M276" s="22" t="s">
        <v>51</v>
      </c>
      <c r="N276" s="63">
        <v>300000</v>
      </c>
      <c r="O276" s="63">
        <v>21000</v>
      </c>
      <c r="P276" s="63">
        <f t="shared" si="52"/>
        <v>321000</v>
      </c>
      <c r="Q276" s="61"/>
      <c r="R276" s="96"/>
      <c r="S276" s="97"/>
      <c r="T276" s="98"/>
      <c r="U276" s="546"/>
      <c r="V276" s="97"/>
      <c r="W276" s="546"/>
      <c r="X276" s="546"/>
      <c r="Y276" s="97"/>
      <c r="Z276" s="101"/>
      <c r="AA276" s="40">
        <v>18080299</v>
      </c>
      <c r="AB276" s="41">
        <v>300000</v>
      </c>
      <c r="AC276" s="64">
        <f t="shared" si="55"/>
        <v>21000</v>
      </c>
      <c r="AD276" s="64">
        <f t="shared" si="56"/>
        <v>321000</v>
      </c>
      <c r="AE276" s="53">
        <v>43318</v>
      </c>
      <c r="AF276" s="39" t="s">
        <v>869</v>
      </c>
      <c r="AI276" s="21" t="s">
        <v>1067</v>
      </c>
      <c r="AJ276" s="44">
        <v>1</v>
      </c>
      <c r="AK276" s="45" t="s">
        <v>647</v>
      </c>
      <c r="AL276" s="46" t="s">
        <v>1205</v>
      </c>
      <c r="AN276" s="47">
        <v>1</v>
      </c>
      <c r="AO276" s="48" t="s">
        <v>634</v>
      </c>
      <c r="AP276" s="356"/>
      <c r="AQ276" s="356"/>
      <c r="AR276" s="44"/>
      <c r="AS276" s="44"/>
      <c r="AT276" s="356"/>
      <c r="AU276" s="54"/>
      <c r="AV276" s="356"/>
      <c r="AW276" s="356"/>
      <c r="AX276" s="44"/>
      <c r="AY276" s="44"/>
      <c r="AZ276" s="356"/>
      <c r="BA276" s="54"/>
      <c r="BB276" s="356"/>
      <c r="BC276" s="356"/>
      <c r="BD276" s="44"/>
      <c r="BE276" s="44"/>
      <c r="BF276" s="356"/>
      <c r="BG276" s="54"/>
      <c r="BH276" s="356"/>
      <c r="BI276" s="356"/>
      <c r="BJ276" s="44"/>
      <c r="BK276" s="44"/>
      <c r="BL276" s="356"/>
      <c r="BM276" s="356"/>
      <c r="BN276" s="356"/>
      <c r="BO276" s="356"/>
      <c r="BP276" s="44"/>
      <c r="BQ276" s="44"/>
      <c r="BR276" s="356"/>
      <c r="BS276" s="356"/>
      <c r="BT276" s="356"/>
      <c r="BU276" s="356"/>
      <c r="BV276" s="44"/>
      <c r="BW276" s="44"/>
      <c r="BX276" s="356"/>
      <c r="BY276" s="356"/>
      <c r="BZ276" s="356"/>
      <c r="CA276" s="356"/>
      <c r="CB276" s="44"/>
      <c r="CC276" s="44"/>
      <c r="CD276" s="356"/>
      <c r="CE276" s="356"/>
    </row>
    <row r="277" spans="1:83" x14ac:dyDescent="0.5">
      <c r="A277" s="227">
        <v>18085915</v>
      </c>
      <c r="B277" s="22" t="s">
        <v>105</v>
      </c>
      <c r="C277" s="23">
        <v>158</v>
      </c>
      <c r="D277" s="24" t="s">
        <v>184</v>
      </c>
      <c r="E277" s="25" t="s">
        <v>185</v>
      </c>
      <c r="F277" s="26">
        <v>190</v>
      </c>
      <c r="I277" s="39" t="s">
        <v>869</v>
      </c>
      <c r="J277" s="62">
        <v>43347</v>
      </c>
      <c r="K277" s="42" t="s">
        <v>106</v>
      </c>
      <c r="L277" s="520" t="s">
        <v>107</v>
      </c>
      <c r="M277" s="22" t="s">
        <v>52</v>
      </c>
      <c r="N277" s="63">
        <v>140000</v>
      </c>
      <c r="O277" s="63">
        <v>9800</v>
      </c>
      <c r="P277" s="63">
        <f t="shared" si="52"/>
        <v>149800</v>
      </c>
      <c r="U277" s="516">
        <v>6300</v>
      </c>
      <c r="X277" s="518">
        <v>430.92</v>
      </c>
      <c r="AA277" s="40">
        <v>18090323</v>
      </c>
      <c r="AB277" s="41">
        <v>140000</v>
      </c>
      <c r="AC277" s="64">
        <f t="shared" si="55"/>
        <v>9800</v>
      </c>
      <c r="AD277" s="64">
        <f t="shared" si="56"/>
        <v>149800</v>
      </c>
      <c r="AE277" s="53">
        <v>43349</v>
      </c>
      <c r="AF277" s="39" t="s">
        <v>869</v>
      </c>
      <c r="AI277" s="21" t="s">
        <v>1061</v>
      </c>
      <c r="AJ277" s="44">
        <v>1</v>
      </c>
      <c r="AK277" s="45" t="s">
        <v>733</v>
      </c>
      <c r="AM277" s="46" t="s">
        <v>1205</v>
      </c>
      <c r="AN277" s="47">
        <v>1</v>
      </c>
      <c r="AO277" s="48" t="s">
        <v>634</v>
      </c>
      <c r="AP277" s="44">
        <v>2</v>
      </c>
      <c r="AQ277" s="40" t="s">
        <v>734</v>
      </c>
      <c r="AS277" s="47" t="s">
        <v>1205</v>
      </c>
      <c r="AT277" s="47">
        <v>1</v>
      </c>
      <c r="AU277" s="49" t="s">
        <v>636</v>
      </c>
      <c r="AV277" s="356"/>
      <c r="AW277" s="356"/>
      <c r="AX277" s="44"/>
      <c r="AY277" s="44"/>
      <c r="AZ277" s="356"/>
      <c r="BA277" s="54"/>
      <c r="BB277" s="356"/>
      <c r="BC277" s="356"/>
      <c r="BD277" s="44"/>
      <c r="BE277" s="44"/>
      <c r="BF277" s="356"/>
      <c r="BG277" s="54"/>
      <c r="BH277" s="356"/>
      <c r="BI277" s="356"/>
      <c r="BJ277" s="44"/>
      <c r="BK277" s="44"/>
      <c r="BL277" s="356"/>
      <c r="BM277" s="356"/>
      <c r="BN277" s="356"/>
      <c r="BO277" s="356"/>
      <c r="BP277" s="44"/>
      <c r="BQ277" s="44"/>
      <c r="BR277" s="356"/>
      <c r="BS277" s="356"/>
      <c r="BT277" s="356"/>
      <c r="BU277" s="356"/>
      <c r="BV277" s="44"/>
      <c r="BW277" s="44"/>
      <c r="BX277" s="356"/>
      <c r="BY277" s="356"/>
      <c r="BZ277" s="356"/>
      <c r="CA277" s="356"/>
      <c r="CB277" s="44"/>
      <c r="CC277" s="44"/>
      <c r="CD277" s="356"/>
      <c r="CE277" s="356"/>
    </row>
    <row r="278" spans="1:83" x14ac:dyDescent="0.5">
      <c r="A278" s="369">
        <v>18085914</v>
      </c>
      <c r="B278" s="375" t="s">
        <v>108</v>
      </c>
      <c r="C278" s="582">
        <v>157</v>
      </c>
      <c r="D278" s="609" t="s">
        <v>184</v>
      </c>
      <c r="E278" s="107" t="s">
        <v>1324</v>
      </c>
      <c r="F278" s="610" t="s">
        <v>2542</v>
      </c>
      <c r="G278" s="211">
        <v>43706</v>
      </c>
      <c r="H278" s="164">
        <v>19255</v>
      </c>
      <c r="I278" s="368" t="s">
        <v>869</v>
      </c>
      <c r="J278" s="122">
        <v>43707</v>
      </c>
      <c r="K278" s="375" t="s">
        <v>109</v>
      </c>
      <c r="L278" s="375" t="s">
        <v>110</v>
      </c>
      <c r="M278" s="375" t="s">
        <v>52</v>
      </c>
      <c r="N278" s="376">
        <v>95000</v>
      </c>
      <c r="O278" s="376">
        <v>6650</v>
      </c>
      <c r="P278" s="376">
        <f t="shared" ref="P278:P284" si="57">SUM(N278:O278)</f>
        <v>101650</v>
      </c>
      <c r="Q278" s="377"/>
      <c r="R278" s="378" t="s">
        <v>567</v>
      </c>
      <c r="S278" s="379">
        <f>N278</f>
        <v>95000</v>
      </c>
      <c r="T278" s="380">
        <v>5</v>
      </c>
      <c r="U278" s="381">
        <f>S278*T278/100</f>
        <v>4750</v>
      </c>
      <c r="V278" s="382">
        <f>S278-U278</f>
        <v>90250</v>
      </c>
      <c r="W278" s="383">
        <v>0.31</v>
      </c>
      <c r="X278" s="383">
        <f>V278*W278/100</f>
        <v>279.77499999999998</v>
      </c>
      <c r="Y278" s="384">
        <v>0.2</v>
      </c>
      <c r="Z278" s="385">
        <f>V278*Y278/100</f>
        <v>180.5</v>
      </c>
      <c r="AA278" s="1048" t="s">
        <v>1940</v>
      </c>
      <c r="AB278" s="624">
        <v>28500</v>
      </c>
      <c r="AC278" s="624">
        <f t="shared" si="55"/>
        <v>1995</v>
      </c>
      <c r="AD278" s="624">
        <f t="shared" si="56"/>
        <v>30495</v>
      </c>
      <c r="AE278" s="221">
        <v>43565</v>
      </c>
      <c r="AF278" s="121" t="s">
        <v>869</v>
      </c>
      <c r="AG278" s="626"/>
      <c r="AH278" s="121"/>
      <c r="AI278" s="222" t="s">
        <v>2046</v>
      </c>
      <c r="AJ278" s="390">
        <v>1</v>
      </c>
      <c r="AK278" s="391" t="s">
        <v>648</v>
      </c>
      <c r="AL278" s="392"/>
      <c r="AM278" s="392" t="s">
        <v>1205</v>
      </c>
      <c r="AN278" s="392">
        <v>4</v>
      </c>
      <c r="AO278" s="431" t="s">
        <v>634</v>
      </c>
      <c r="AP278" s="128"/>
      <c r="AQ278" s="361"/>
      <c r="AR278" s="128"/>
      <c r="AS278" s="128"/>
      <c r="AT278" s="361"/>
      <c r="AU278" s="361"/>
      <c r="AV278" s="361"/>
      <c r="AW278" s="361"/>
      <c r="AX278" s="128"/>
      <c r="AY278" s="128"/>
      <c r="AZ278" s="361"/>
      <c r="BA278" s="361"/>
      <c r="BB278" s="361"/>
      <c r="BC278" s="361"/>
      <c r="BD278" s="128"/>
      <c r="BE278" s="128"/>
      <c r="BF278" s="361"/>
      <c r="BG278" s="361"/>
      <c r="BH278" s="361"/>
      <c r="BI278" s="361"/>
      <c r="BJ278" s="128"/>
      <c r="BK278" s="128"/>
      <c r="BL278" s="361"/>
      <c r="BM278" s="361"/>
      <c r="BN278" s="361"/>
      <c r="BO278" s="361"/>
      <c r="BP278" s="128"/>
      <c r="BQ278" s="128"/>
      <c r="BR278" s="361"/>
      <c r="BS278" s="361"/>
      <c r="BT278" s="361"/>
      <c r="BU278" s="361"/>
      <c r="BV278" s="128"/>
      <c r="BW278" s="128"/>
      <c r="BX278" s="361"/>
      <c r="BY278" s="361"/>
      <c r="BZ278" s="361"/>
      <c r="CA278" s="361"/>
      <c r="CB278" s="128"/>
      <c r="CC278" s="128"/>
      <c r="CD278" s="361"/>
      <c r="CE278" s="361"/>
    </row>
    <row r="279" spans="1:83" x14ac:dyDescent="0.5">
      <c r="A279" s="879"/>
      <c r="B279" s="401"/>
      <c r="C279" s="425"/>
      <c r="D279" s="461"/>
      <c r="E279" s="613"/>
      <c r="F279" s="614"/>
      <c r="G279" s="186">
        <v>43706</v>
      </c>
      <c r="H279" s="187">
        <v>19256</v>
      </c>
      <c r="I279" s="412"/>
      <c r="J279" s="186"/>
      <c r="K279" s="401"/>
      <c r="L279" s="401"/>
      <c r="M279" s="401"/>
      <c r="N279" s="402"/>
      <c r="O279" s="402"/>
      <c r="P279" s="402"/>
      <c r="Q279" s="403"/>
      <c r="R279" s="404"/>
      <c r="S279" s="405"/>
      <c r="T279" s="406"/>
      <c r="U279" s="407"/>
      <c r="V279" s="408"/>
      <c r="W279" s="409"/>
      <c r="X279" s="409"/>
      <c r="Y279" s="410"/>
      <c r="Z279" s="411"/>
      <c r="AA279" s="200">
        <v>19080318</v>
      </c>
      <c r="AB279" s="509">
        <v>66500</v>
      </c>
      <c r="AC279" s="509">
        <f t="shared" si="55"/>
        <v>4655</v>
      </c>
      <c r="AD279" s="509">
        <f t="shared" si="56"/>
        <v>71155</v>
      </c>
      <c r="AE279" s="203">
        <v>43704</v>
      </c>
      <c r="AF279" s="199" t="s">
        <v>869</v>
      </c>
      <c r="AG279" s="615"/>
      <c r="AH279" s="199"/>
      <c r="AI279" s="180" t="s">
        <v>2833</v>
      </c>
      <c r="AJ279" s="420"/>
      <c r="AK279" s="417"/>
      <c r="AL279" s="418"/>
      <c r="AM279" s="418"/>
      <c r="AN279" s="418"/>
      <c r="AO279" s="463"/>
      <c r="AP279" s="204"/>
      <c r="AQ279" s="365"/>
      <c r="AR279" s="204"/>
      <c r="AS279" s="204"/>
      <c r="AT279" s="365"/>
      <c r="AU279" s="365"/>
      <c r="AV279" s="365"/>
      <c r="AW279" s="365"/>
      <c r="AX279" s="204"/>
      <c r="AY279" s="204"/>
      <c r="AZ279" s="365"/>
      <c r="BA279" s="365"/>
      <c r="BB279" s="365"/>
      <c r="BC279" s="365"/>
      <c r="BD279" s="204"/>
      <c r="BE279" s="204"/>
      <c r="BF279" s="365"/>
      <c r="BG279" s="365"/>
      <c r="BH279" s="365"/>
      <c r="BI279" s="365"/>
      <c r="BJ279" s="204"/>
      <c r="BK279" s="204"/>
      <c r="BL279" s="365"/>
      <c r="BM279" s="365"/>
      <c r="BN279" s="365"/>
      <c r="BO279" s="365"/>
      <c r="BP279" s="204"/>
      <c r="BQ279" s="204"/>
      <c r="BR279" s="365"/>
      <c r="BS279" s="365"/>
      <c r="BT279" s="365"/>
      <c r="BU279" s="365"/>
      <c r="BV279" s="204"/>
      <c r="BW279" s="204"/>
      <c r="BX279" s="365"/>
      <c r="BY279" s="365"/>
      <c r="BZ279" s="365"/>
      <c r="CA279" s="365"/>
      <c r="CB279" s="204"/>
      <c r="CC279" s="204"/>
      <c r="CD279" s="365"/>
      <c r="CE279" s="365"/>
    </row>
    <row r="280" spans="1:83" x14ac:dyDescent="0.5">
      <c r="A280" s="227">
        <v>18085913</v>
      </c>
      <c r="B280" s="22">
        <v>18080672</v>
      </c>
      <c r="C280" s="55"/>
      <c r="D280" s="56"/>
      <c r="E280" s="57"/>
      <c r="F280" s="58"/>
      <c r="G280" s="59"/>
      <c r="H280" s="60"/>
      <c r="I280" s="39" t="s">
        <v>869</v>
      </c>
      <c r="K280" s="42" t="s">
        <v>111</v>
      </c>
      <c r="L280" s="520" t="s">
        <v>112</v>
      </c>
      <c r="M280" s="22" t="s">
        <v>52</v>
      </c>
      <c r="N280" s="63">
        <v>9600</v>
      </c>
      <c r="O280" s="63">
        <v>672</v>
      </c>
      <c r="P280" s="63">
        <f t="shared" si="57"/>
        <v>10272</v>
      </c>
      <c r="X280" s="518">
        <v>96</v>
      </c>
      <c r="AA280" s="40">
        <v>18080306</v>
      </c>
      <c r="AB280" s="41">
        <v>9600</v>
      </c>
      <c r="AC280" s="64">
        <f>AB280*7/100</f>
        <v>672</v>
      </c>
      <c r="AD280" s="64">
        <f>AB280+AC280</f>
        <v>10272</v>
      </c>
      <c r="AE280" s="53">
        <v>43319</v>
      </c>
      <c r="AF280" s="39" t="s">
        <v>869</v>
      </c>
      <c r="AI280" s="21" t="s">
        <v>1072</v>
      </c>
      <c r="AJ280" s="44">
        <v>1</v>
      </c>
      <c r="AK280" s="45" t="s">
        <v>649</v>
      </c>
      <c r="AN280" s="47">
        <v>8</v>
      </c>
      <c r="AO280" s="48" t="s">
        <v>628</v>
      </c>
      <c r="AP280" s="356"/>
      <c r="AQ280" s="356"/>
      <c r="AR280" s="44"/>
      <c r="AS280" s="44"/>
      <c r="AT280" s="356"/>
      <c r="AU280" s="54"/>
      <c r="AV280" s="356"/>
      <c r="AW280" s="356"/>
      <c r="AX280" s="44"/>
      <c r="AY280" s="44"/>
      <c r="AZ280" s="356"/>
      <c r="BA280" s="54"/>
      <c r="BB280" s="356"/>
      <c r="BC280" s="356"/>
      <c r="BD280" s="44"/>
      <c r="BE280" s="44"/>
      <c r="BF280" s="356"/>
      <c r="BG280" s="54"/>
      <c r="BH280" s="356"/>
      <c r="BI280" s="356"/>
      <c r="BJ280" s="44"/>
      <c r="BK280" s="44"/>
      <c r="BL280" s="356"/>
      <c r="BM280" s="356"/>
      <c r="BN280" s="356"/>
      <c r="BO280" s="356"/>
      <c r="BP280" s="44"/>
      <c r="BQ280" s="44"/>
      <c r="BR280" s="356"/>
      <c r="BS280" s="356"/>
      <c r="BT280" s="356"/>
      <c r="BU280" s="356"/>
      <c r="BV280" s="44"/>
      <c r="BW280" s="44"/>
      <c r="BX280" s="356"/>
      <c r="BY280" s="356"/>
      <c r="BZ280" s="356"/>
      <c r="CA280" s="356"/>
      <c r="CB280" s="44"/>
      <c r="CC280" s="44"/>
      <c r="CD280" s="356"/>
      <c r="CE280" s="356"/>
    </row>
    <row r="281" spans="1:83" x14ac:dyDescent="0.5">
      <c r="A281" s="65">
        <v>18075912</v>
      </c>
      <c r="B281" s="66">
        <v>18080663</v>
      </c>
      <c r="C281" s="312"/>
      <c r="D281" s="56"/>
      <c r="E281" s="314"/>
      <c r="F281" s="315"/>
      <c r="G281" s="316"/>
      <c r="H281" s="317"/>
      <c r="K281" s="86" t="s">
        <v>11</v>
      </c>
      <c r="L281" s="589" t="s">
        <v>113</v>
      </c>
      <c r="M281" s="66" t="s">
        <v>50</v>
      </c>
      <c r="N281" s="63">
        <v>150000</v>
      </c>
      <c r="O281" s="63">
        <v>10500</v>
      </c>
      <c r="P281" s="63">
        <f t="shared" si="57"/>
        <v>160500</v>
      </c>
      <c r="AJ281" s="44">
        <v>1</v>
      </c>
      <c r="AK281" s="45" t="s">
        <v>404</v>
      </c>
      <c r="AN281" s="47">
        <v>5</v>
      </c>
      <c r="AO281" s="102"/>
      <c r="AP281" s="356"/>
      <c r="AQ281" s="356"/>
      <c r="AR281" s="44"/>
      <c r="AS281" s="44"/>
      <c r="AT281" s="356"/>
      <c r="AU281" s="54"/>
      <c r="AV281" s="356"/>
      <c r="AW281" s="356"/>
      <c r="AX281" s="44"/>
      <c r="AY281" s="44"/>
      <c r="AZ281" s="356"/>
      <c r="BA281" s="54"/>
      <c r="BB281" s="356"/>
      <c r="BC281" s="356"/>
      <c r="BD281" s="44"/>
      <c r="BE281" s="44"/>
      <c r="BF281" s="356"/>
      <c r="BG281" s="54"/>
      <c r="BH281" s="356"/>
      <c r="BI281" s="356"/>
      <c r="BJ281" s="44"/>
      <c r="BK281" s="44"/>
      <c r="BL281" s="356"/>
      <c r="BM281" s="356"/>
      <c r="BN281" s="356"/>
      <c r="BO281" s="356"/>
      <c r="BP281" s="44"/>
      <c r="BQ281" s="44"/>
      <c r="BR281" s="356"/>
      <c r="BS281" s="356"/>
      <c r="BT281" s="356"/>
      <c r="BU281" s="356"/>
      <c r="BV281" s="44"/>
      <c r="BW281" s="44"/>
      <c r="BX281" s="356"/>
      <c r="BY281" s="356"/>
      <c r="BZ281" s="356"/>
      <c r="CA281" s="356"/>
      <c r="CB281" s="44"/>
      <c r="CC281" s="44"/>
      <c r="CD281" s="356"/>
      <c r="CE281" s="356"/>
    </row>
    <row r="282" spans="1:83" x14ac:dyDescent="0.5">
      <c r="A282" s="65">
        <v>18075911</v>
      </c>
      <c r="B282" s="66">
        <v>18080662</v>
      </c>
      <c r="C282" s="67">
        <v>156</v>
      </c>
      <c r="D282" s="24" t="s">
        <v>184</v>
      </c>
      <c r="E282" s="69"/>
      <c r="F282" s="70"/>
      <c r="G282" s="66"/>
      <c r="H282" s="71"/>
      <c r="K282" s="86" t="s">
        <v>11</v>
      </c>
      <c r="L282" s="589" t="s">
        <v>114</v>
      </c>
      <c r="M282" s="66" t="s">
        <v>50</v>
      </c>
      <c r="N282" s="63">
        <v>920556</v>
      </c>
      <c r="O282" s="63">
        <v>64438.92</v>
      </c>
      <c r="P282" s="63">
        <f t="shared" si="57"/>
        <v>984994.92</v>
      </c>
      <c r="AD282" s="86"/>
      <c r="AE282" s="87"/>
      <c r="AF282" s="83"/>
      <c r="AG282" s="83"/>
      <c r="AH282" s="83"/>
      <c r="AI282" s="65"/>
      <c r="AJ282" s="88">
        <v>1</v>
      </c>
      <c r="AK282" s="89" t="s">
        <v>650</v>
      </c>
      <c r="AL282" s="90"/>
      <c r="AM282" s="46" t="s">
        <v>1205</v>
      </c>
      <c r="AN282" s="91">
        <v>6</v>
      </c>
      <c r="AO282" s="92" t="s">
        <v>634</v>
      </c>
      <c r="AP282" s="88">
        <v>2</v>
      </c>
      <c r="AQ282" s="84" t="s">
        <v>651</v>
      </c>
      <c r="AR282" s="91"/>
      <c r="AS282" s="47" t="s">
        <v>1205</v>
      </c>
      <c r="AT282" s="91">
        <v>2</v>
      </c>
      <c r="AU282" s="93" t="s">
        <v>636</v>
      </c>
      <c r="AV282" s="88">
        <v>3</v>
      </c>
      <c r="AW282" s="84" t="s">
        <v>652</v>
      </c>
      <c r="AX282" s="91"/>
      <c r="AY282" s="47" t="s">
        <v>1205</v>
      </c>
      <c r="AZ282" s="91">
        <v>2</v>
      </c>
      <c r="BA282" s="93" t="s">
        <v>634</v>
      </c>
      <c r="BB282" s="88">
        <v>4</v>
      </c>
      <c r="BC282" s="84" t="s">
        <v>653</v>
      </c>
      <c r="BD282" s="47" t="s">
        <v>1205</v>
      </c>
      <c r="BE282" s="91"/>
      <c r="BF282" s="91">
        <v>3</v>
      </c>
      <c r="BG282" s="93" t="s">
        <v>636</v>
      </c>
      <c r="BH282" s="88">
        <v>5</v>
      </c>
      <c r="BI282" s="84" t="s">
        <v>654</v>
      </c>
      <c r="BJ282" s="91"/>
      <c r="BK282" s="47" t="s">
        <v>1205</v>
      </c>
      <c r="BL282" s="91">
        <v>1</v>
      </c>
      <c r="BM282" s="616" t="s">
        <v>634</v>
      </c>
      <c r="BN282" s="88">
        <v>6</v>
      </c>
      <c r="BO282" s="84" t="s">
        <v>624</v>
      </c>
      <c r="BP282" s="91"/>
      <c r="BQ282" s="47" t="s">
        <v>1205</v>
      </c>
      <c r="BR282" s="91">
        <v>1</v>
      </c>
      <c r="BS282" s="616" t="s">
        <v>634</v>
      </c>
      <c r="BT282" s="356"/>
      <c r="BU282" s="356"/>
      <c r="BV282" s="44"/>
      <c r="BW282" s="44"/>
      <c r="BX282" s="356"/>
      <c r="BY282" s="356"/>
      <c r="BZ282" s="356"/>
      <c r="CA282" s="356"/>
      <c r="CB282" s="44"/>
      <c r="CC282" s="44"/>
      <c r="CD282" s="356"/>
      <c r="CE282" s="356"/>
    </row>
    <row r="283" spans="1:83" ht="17.45" customHeight="1" x14ac:dyDescent="0.5">
      <c r="A283" s="227">
        <v>18075910</v>
      </c>
      <c r="B283" s="22" t="s">
        <v>115</v>
      </c>
      <c r="C283" s="23">
        <v>155</v>
      </c>
      <c r="D283" s="24" t="s">
        <v>184</v>
      </c>
      <c r="E283" s="25" t="s">
        <v>185</v>
      </c>
      <c r="F283" s="26">
        <v>184</v>
      </c>
      <c r="I283" s="39" t="s">
        <v>869</v>
      </c>
      <c r="J283" s="62">
        <v>43341</v>
      </c>
      <c r="K283" s="42" t="s">
        <v>106</v>
      </c>
      <c r="L283" s="520" t="s">
        <v>116</v>
      </c>
      <c r="M283" s="22" t="s">
        <v>52</v>
      </c>
      <c r="N283" s="63">
        <v>242990.65</v>
      </c>
      <c r="O283" s="63">
        <v>17009.349999999999</v>
      </c>
      <c r="P283" s="63">
        <f t="shared" si="57"/>
        <v>260000</v>
      </c>
      <c r="U283" s="516">
        <v>10749.53</v>
      </c>
      <c r="X283" s="518">
        <v>551.45000000000005</v>
      </c>
      <c r="AA283" s="40">
        <v>18080305</v>
      </c>
      <c r="AB283" s="41">
        <v>242990.65</v>
      </c>
      <c r="AC283" s="64">
        <f>AB283*7/100</f>
        <v>17009.345499999999</v>
      </c>
      <c r="AD283" s="64">
        <f>AB283+AC283</f>
        <v>259999.99549999999</v>
      </c>
      <c r="AE283" s="53">
        <v>43319</v>
      </c>
      <c r="AF283" s="39" t="s">
        <v>869</v>
      </c>
      <c r="AI283" s="21" t="s">
        <v>1062</v>
      </c>
      <c r="AJ283" s="44">
        <v>1</v>
      </c>
      <c r="AK283" s="45" t="s">
        <v>769</v>
      </c>
      <c r="AM283" s="46" t="s">
        <v>1205</v>
      </c>
      <c r="AN283" s="47">
        <v>6</v>
      </c>
      <c r="AO283" s="48" t="s">
        <v>634</v>
      </c>
      <c r="AP283" s="44">
        <v>2</v>
      </c>
      <c r="AQ283" s="40" t="s">
        <v>734</v>
      </c>
      <c r="AS283" s="47" t="s">
        <v>1205</v>
      </c>
      <c r="AT283" s="47">
        <v>2</v>
      </c>
      <c r="AU283" s="49" t="s">
        <v>636</v>
      </c>
      <c r="AV283" s="356"/>
      <c r="AW283" s="356"/>
      <c r="AX283" s="44"/>
      <c r="AY283" s="44"/>
      <c r="AZ283" s="356"/>
      <c r="BA283" s="54"/>
      <c r="BB283" s="356"/>
      <c r="BC283" s="356"/>
      <c r="BD283" s="44"/>
      <c r="BE283" s="44"/>
      <c r="BF283" s="356"/>
      <c r="BG283" s="54"/>
      <c r="BH283" s="356"/>
      <c r="BI283" s="356"/>
      <c r="BJ283" s="44"/>
      <c r="BK283" s="44"/>
      <c r="BL283" s="356"/>
      <c r="BM283" s="356"/>
      <c r="BN283" s="356"/>
      <c r="BO283" s="356"/>
      <c r="BP283" s="44"/>
      <c r="BQ283" s="44"/>
      <c r="BR283" s="356"/>
      <c r="BS283" s="356"/>
      <c r="BT283" s="356"/>
      <c r="BU283" s="356"/>
      <c r="BV283" s="44"/>
      <c r="BW283" s="44"/>
      <c r="BX283" s="356"/>
      <c r="BY283" s="356"/>
      <c r="BZ283" s="356"/>
      <c r="CA283" s="356"/>
      <c r="CB283" s="44"/>
      <c r="CC283" s="44"/>
      <c r="CD283" s="356"/>
      <c r="CE283" s="356"/>
    </row>
    <row r="284" spans="1:83" ht="17.45" customHeight="1" x14ac:dyDescent="0.5">
      <c r="A284" s="369">
        <v>18075909</v>
      </c>
      <c r="B284" s="370" t="s">
        <v>117</v>
      </c>
      <c r="C284" s="371">
        <v>154</v>
      </c>
      <c r="D284" s="372" t="s">
        <v>184</v>
      </c>
      <c r="E284" s="373" t="s">
        <v>185</v>
      </c>
      <c r="F284" s="374">
        <v>180</v>
      </c>
      <c r="G284" s="211">
        <v>43333</v>
      </c>
      <c r="H284" s="164">
        <v>18272</v>
      </c>
      <c r="I284" s="248"/>
      <c r="J284" s="126">
        <v>43333</v>
      </c>
      <c r="K284" s="375" t="s">
        <v>109</v>
      </c>
      <c r="L284" s="375" t="s">
        <v>118</v>
      </c>
      <c r="M284" s="104" t="s">
        <v>52</v>
      </c>
      <c r="N284" s="260">
        <v>223364.49</v>
      </c>
      <c r="O284" s="376">
        <v>15635.51</v>
      </c>
      <c r="P284" s="376">
        <f t="shared" si="57"/>
        <v>239000</v>
      </c>
      <c r="Q284" s="430">
        <v>29500</v>
      </c>
      <c r="R284" s="464"/>
      <c r="S284" s="421"/>
      <c r="T284" s="465"/>
      <c r="U284" s="466"/>
      <c r="V284" s="382">
        <f>N284-Q284</f>
        <v>193864.49</v>
      </c>
      <c r="W284" s="383">
        <v>0.23</v>
      </c>
      <c r="X284" s="383">
        <f>V284*W284/100</f>
        <v>445.888327</v>
      </c>
      <c r="Y284" s="384">
        <v>0.2</v>
      </c>
      <c r="Z284" s="385">
        <f>V284*Y284/100</f>
        <v>387.72898000000004</v>
      </c>
      <c r="AA284" s="123">
        <v>18080312</v>
      </c>
      <c r="AB284" s="478">
        <v>193781.59</v>
      </c>
      <c r="AC284" s="479">
        <f>AB284*7/100</f>
        <v>13564.711299999999</v>
      </c>
      <c r="AD284" s="479">
        <f>AB284+AC284</f>
        <v>207346.30129999999</v>
      </c>
      <c r="AE284" s="126">
        <v>43329</v>
      </c>
      <c r="AF284" s="127" t="s">
        <v>869</v>
      </c>
      <c r="AG284" s="612"/>
      <c r="AH284" s="127"/>
      <c r="AI284" s="103" t="s">
        <v>1032</v>
      </c>
      <c r="AJ284" s="390">
        <v>1</v>
      </c>
      <c r="AK284" s="391" t="s">
        <v>727</v>
      </c>
      <c r="AL284" s="392"/>
      <c r="AM284" s="392" t="s">
        <v>1205</v>
      </c>
      <c r="AN284" s="392">
        <v>4</v>
      </c>
      <c r="AO284" s="431" t="s">
        <v>634</v>
      </c>
      <c r="AP284" s="390">
        <v>2</v>
      </c>
      <c r="AQ284" s="391" t="s">
        <v>728</v>
      </c>
      <c r="AR284" s="392" t="s">
        <v>1205</v>
      </c>
      <c r="AS284" s="392"/>
      <c r="AT284" s="392">
        <v>6</v>
      </c>
      <c r="AU284" s="431" t="s">
        <v>636</v>
      </c>
      <c r="AV284" s="361"/>
      <c r="AW284" s="361"/>
      <c r="AX284" s="128"/>
      <c r="AY284" s="128"/>
      <c r="AZ284" s="361"/>
      <c r="BA284" s="361"/>
      <c r="BB284" s="361"/>
      <c r="BC284" s="361"/>
      <c r="BD284" s="128"/>
      <c r="BE284" s="390"/>
      <c r="BF284" s="395"/>
      <c r="BG284" s="395"/>
      <c r="BH284" s="395"/>
      <c r="BI284" s="361"/>
      <c r="BJ284" s="128"/>
      <c r="BK284" s="128"/>
      <c r="BL284" s="361"/>
      <c r="BM284" s="361"/>
      <c r="BN284" s="361"/>
      <c r="BO284" s="361"/>
      <c r="BP284" s="128"/>
      <c r="BQ284" s="128"/>
      <c r="BR284" s="361"/>
      <c r="BS284" s="361"/>
      <c r="BT284" s="361"/>
      <c r="BU284" s="361"/>
      <c r="BV284" s="128"/>
      <c r="BW284" s="128"/>
      <c r="BX284" s="361"/>
      <c r="BY284" s="361"/>
      <c r="BZ284" s="361"/>
      <c r="CA284" s="361"/>
      <c r="CB284" s="128"/>
      <c r="CC284" s="128"/>
      <c r="CD284" s="361"/>
      <c r="CE284" s="361"/>
    </row>
    <row r="285" spans="1:83" ht="17.45" customHeight="1" x14ac:dyDescent="0.5">
      <c r="A285" s="481"/>
      <c r="B285" s="256"/>
      <c r="C285" s="482"/>
      <c r="D285" s="483"/>
      <c r="E285" s="484"/>
      <c r="F285" s="569"/>
      <c r="G285" s="170">
        <v>43333</v>
      </c>
      <c r="H285" s="251">
        <v>18273</v>
      </c>
      <c r="I285" s="252"/>
      <c r="J285" s="584"/>
      <c r="K285" s="433"/>
      <c r="L285" s="433"/>
      <c r="M285" s="135"/>
      <c r="N285" s="253"/>
      <c r="O285" s="436"/>
      <c r="P285" s="436"/>
      <c r="Q285" s="437"/>
      <c r="R285" s="617"/>
      <c r="S285" s="618"/>
      <c r="T285" s="576"/>
      <c r="U285" s="619"/>
      <c r="V285" s="442"/>
      <c r="W285" s="443"/>
      <c r="X285" s="443"/>
      <c r="Y285" s="444"/>
      <c r="Z285" s="445"/>
      <c r="AA285" s="620"/>
      <c r="AB285" s="494"/>
      <c r="AC285" s="585"/>
      <c r="AD285" s="585"/>
      <c r="AE285" s="256"/>
      <c r="AF285" s="152"/>
      <c r="AG285" s="621"/>
      <c r="AH285" s="152"/>
      <c r="AI285" s="134"/>
      <c r="AJ285" s="578"/>
      <c r="AK285" s="456"/>
      <c r="AL285" s="454"/>
      <c r="AM285" s="454"/>
      <c r="AN285" s="448"/>
      <c r="AO285" s="455"/>
      <c r="AP285" s="578"/>
      <c r="AQ285" s="456"/>
      <c r="AR285" s="454"/>
      <c r="AS285" s="454"/>
      <c r="AT285" s="448"/>
      <c r="AU285" s="455"/>
      <c r="AV285" s="458"/>
      <c r="AW285" s="458"/>
      <c r="AX285" s="158"/>
      <c r="AY285" s="158"/>
      <c r="AZ285" s="458"/>
      <c r="BA285" s="458"/>
      <c r="BB285" s="458"/>
      <c r="BC285" s="458"/>
      <c r="BD285" s="158"/>
      <c r="BE285" s="453"/>
      <c r="BF285" s="535"/>
      <c r="BG285" s="535"/>
      <c r="BH285" s="535"/>
      <c r="BI285" s="458"/>
      <c r="BJ285" s="158"/>
      <c r="BK285" s="158"/>
      <c r="BL285" s="458"/>
      <c r="BM285" s="458"/>
      <c r="BN285" s="458"/>
      <c r="BO285" s="458"/>
      <c r="BP285" s="158"/>
      <c r="BQ285" s="158"/>
      <c r="BR285" s="458"/>
      <c r="BS285" s="458"/>
      <c r="BT285" s="458"/>
      <c r="BU285" s="458"/>
      <c r="BV285" s="158"/>
      <c r="BW285" s="158"/>
      <c r="BX285" s="458"/>
      <c r="BY285" s="458"/>
      <c r="BZ285" s="458"/>
      <c r="CA285" s="458"/>
      <c r="CB285" s="158"/>
      <c r="CC285" s="158"/>
      <c r="CD285" s="458"/>
      <c r="CE285" s="458"/>
    </row>
    <row r="286" spans="1:83" ht="17.45" customHeight="1" x14ac:dyDescent="0.5">
      <c r="A286" s="481"/>
      <c r="B286" s="256"/>
      <c r="C286" s="482"/>
      <c r="D286" s="483"/>
      <c r="E286" s="484"/>
      <c r="F286" s="569"/>
      <c r="G286" s="170">
        <v>43333</v>
      </c>
      <c r="H286" s="251">
        <v>18274</v>
      </c>
      <c r="I286" s="252"/>
      <c r="J286" s="584"/>
      <c r="K286" s="433"/>
      <c r="L286" s="433"/>
      <c r="M286" s="135"/>
      <c r="N286" s="253"/>
      <c r="O286" s="436"/>
      <c r="P286" s="436"/>
      <c r="Q286" s="437"/>
      <c r="R286" s="617"/>
      <c r="S286" s="618"/>
      <c r="T286" s="576"/>
      <c r="U286" s="619"/>
      <c r="V286" s="442"/>
      <c r="W286" s="443"/>
      <c r="X286" s="443"/>
      <c r="Y286" s="444"/>
      <c r="Z286" s="445"/>
      <c r="AA286" s="620"/>
      <c r="AB286" s="494"/>
      <c r="AC286" s="585"/>
      <c r="AD286" s="585"/>
      <c r="AE286" s="256"/>
      <c r="AF286" s="152"/>
      <c r="AG286" s="621"/>
      <c r="AH286" s="152"/>
      <c r="AI286" s="134"/>
      <c r="AJ286" s="578"/>
      <c r="AK286" s="456"/>
      <c r="AL286" s="454"/>
      <c r="AM286" s="454"/>
      <c r="AN286" s="448"/>
      <c r="AO286" s="455"/>
      <c r="AP286" s="578"/>
      <c r="AQ286" s="456"/>
      <c r="AR286" s="454"/>
      <c r="AS286" s="454"/>
      <c r="AT286" s="448"/>
      <c r="AU286" s="455"/>
      <c r="AV286" s="458"/>
      <c r="AW286" s="458"/>
      <c r="AX286" s="158"/>
      <c r="AY286" s="158"/>
      <c r="AZ286" s="458"/>
      <c r="BA286" s="458"/>
      <c r="BB286" s="458"/>
      <c r="BC286" s="458"/>
      <c r="BD286" s="158"/>
      <c r="BE286" s="453"/>
      <c r="BF286" s="535"/>
      <c r="BG286" s="535"/>
      <c r="BH286" s="535"/>
      <c r="BI286" s="458"/>
      <c r="BJ286" s="158"/>
      <c r="BK286" s="158"/>
      <c r="BL286" s="458"/>
      <c r="BM286" s="458"/>
      <c r="BN286" s="458"/>
      <c r="BO286" s="458"/>
      <c r="BP286" s="158"/>
      <c r="BQ286" s="158"/>
      <c r="BR286" s="458"/>
      <c r="BS286" s="458"/>
      <c r="BT286" s="458"/>
      <c r="BU286" s="458"/>
      <c r="BV286" s="158"/>
      <c r="BW286" s="158"/>
      <c r="BX286" s="458"/>
      <c r="BY286" s="458"/>
      <c r="BZ286" s="458"/>
      <c r="CA286" s="458"/>
      <c r="CB286" s="158"/>
      <c r="CC286" s="158"/>
      <c r="CD286" s="458"/>
      <c r="CE286" s="458"/>
    </row>
    <row r="287" spans="1:83" ht="17.45" customHeight="1" x14ac:dyDescent="0.5">
      <c r="A287" s="481"/>
      <c r="B287" s="256"/>
      <c r="C287" s="482"/>
      <c r="D287" s="483"/>
      <c r="E287" s="876"/>
      <c r="F287" s="485"/>
      <c r="G287" s="178">
        <v>43333</v>
      </c>
      <c r="H287" s="171">
        <v>18275</v>
      </c>
      <c r="I287" s="897"/>
      <c r="J287" s="877"/>
      <c r="K287" s="433"/>
      <c r="L287" s="433"/>
      <c r="M287" s="135"/>
      <c r="N287" s="253"/>
      <c r="O287" s="436"/>
      <c r="P287" s="436"/>
      <c r="Q287" s="437"/>
      <c r="R287" s="617"/>
      <c r="S287" s="618"/>
      <c r="T287" s="576"/>
      <c r="U287" s="619"/>
      <c r="V287" s="442"/>
      <c r="W287" s="443"/>
      <c r="X287" s="443"/>
      <c r="Y287" s="444"/>
      <c r="Z287" s="445"/>
      <c r="AA287" s="620"/>
      <c r="AB287" s="494"/>
      <c r="AC287" s="585"/>
      <c r="AD287" s="585"/>
      <c r="AE287" s="256"/>
      <c r="AF287" s="152"/>
      <c r="AG287" s="621"/>
      <c r="AH287" s="152"/>
      <c r="AI287" s="134"/>
      <c r="AJ287" s="578"/>
      <c r="AK287" s="456"/>
      <c r="AL287" s="454"/>
      <c r="AM287" s="454"/>
      <c r="AN287" s="448"/>
      <c r="AO287" s="455"/>
      <c r="AP287" s="578"/>
      <c r="AQ287" s="456"/>
      <c r="AR287" s="454"/>
      <c r="AS287" s="454"/>
      <c r="AT287" s="448"/>
      <c r="AU287" s="455"/>
      <c r="AV287" s="458"/>
      <c r="AW287" s="458"/>
      <c r="AX287" s="158"/>
      <c r="AY287" s="158"/>
      <c r="AZ287" s="458"/>
      <c r="BA287" s="458"/>
      <c r="BB287" s="458"/>
      <c r="BC287" s="458"/>
      <c r="BD287" s="158"/>
      <c r="BE287" s="453"/>
      <c r="BF287" s="535"/>
      <c r="BG287" s="535"/>
      <c r="BH287" s="535"/>
      <c r="BI287" s="458"/>
      <c r="BJ287" s="158"/>
      <c r="BK287" s="158"/>
      <c r="BL287" s="458"/>
      <c r="BM287" s="458"/>
      <c r="BN287" s="458"/>
      <c r="BO287" s="458"/>
      <c r="BP287" s="158"/>
      <c r="BQ287" s="158"/>
      <c r="BR287" s="458"/>
      <c r="BS287" s="458"/>
      <c r="BT287" s="458"/>
      <c r="BU287" s="458"/>
      <c r="BV287" s="158"/>
      <c r="BW287" s="158"/>
      <c r="BX287" s="458"/>
      <c r="BY287" s="458"/>
      <c r="BZ287" s="458"/>
      <c r="CA287" s="458"/>
      <c r="CB287" s="158"/>
      <c r="CC287" s="158"/>
      <c r="CD287" s="458"/>
      <c r="CE287" s="458"/>
    </row>
    <row r="288" spans="1:83" ht="17.45" customHeight="1" x14ac:dyDescent="0.5">
      <c r="A288" s="481">
        <v>18075909</v>
      </c>
      <c r="B288" s="256"/>
      <c r="C288" s="482" t="s">
        <v>2160</v>
      </c>
      <c r="D288" s="483" t="s">
        <v>184</v>
      </c>
      <c r="E288" s="484" t="s">
        <v>1324</v>
      </c>
      <c r="F288" s="569" t="s">
        <v>1363</v>
      </c>
      <c r="G288" s="179">
        <v>43627</v>
      </c>
      <c r="H288" s="140">
        <v>19153</v>
      </c>
      <c r="I288" s="252" t="s">
        <v>869</v>
      </c>
      <c r="J288" s="157">
        <v>43628</v>
      </c>
      <c r="K288" s="433" t="s">
        <v>109</v>
      </c>
      <c r="L288" s="871" t="s">
        <v>118</v>
      </c>
      <c r="M288" s="135"/>
      <c r="N288" s="253"/>
      <c r="O288" s="436"/>
      <c r="P288" s="436"/>
      <c r="Q288" s="872"/>
      <c r="R288" s="617"/>
      <c r="S288" s="618"/>
      <c r="T288" s="576"/>
      <c r="U288" s="619"/>
      <c r="V288" s="442"/>
      <c r="W288" s="443"/>
      <c r="X288" s="443"/>
      <c r="Y288" s="444"/>
      <c r="Z288" s="445"/>
      <c r="AA288" s="154">
        <v>19060206</v>
      </c>
      <c r="AB288" s="494">
        <v>29582.9</v>
      </c>
      <c r="AC288" s="494">
        <f>AB288*7/100</f>
        <v>2070.8030000000003</v>
      </c>
      <c r="AD288" s="495">
        <f>AB288+AC288</f>
        <v>31653.703000000001</v>
      </c>
      <c r="AE288" s="157">
        <v>43630</v>
      </c>
      <c r="AF288" s="152" t="s">
        <v>869</v>
      </c>
      <c r="AG288" s="621"/>
      <c r="AH288" s="152"/>
      <c r="AI288" s="134" t="s">
        <v>2740</v>
      </c>
      <c r="AJ288" s="578"/>
      <c r="AK288" s="873"/>
      <c r="AL288" s="874"/>
      <c r="AM288" s="874"/>
      <c r="AN288" s="448"/>
      <c r="AO288" s="875"/>
      <c r="AP288" s="578"/>
      <c r="AQ288" s="456"/>
      <c r="AR288" s="454"/>
      <c r="AS288" s="454"/>
      <c r="AT288" s="448"/>
      <c r="AU288" s="455"/>
      <c r="AV288" s="458"/>
      <c r="AW288" s="458"/>
      <c r="AX288" s="158"/>
      <c r="AY288" s="158"/>
      <c r="AZ288" s="458"/>
      <c r="BA288" s="458"/>
      <c r="BB288" s="458"/>
      <c r="BC288" s="458"/>
      <c r="BD288" s="158"/>
      <c r="BE288" s="453"/>
      <c r="BF288" s="535"/>
      <c r="BG288" s="535"/>
      <c r="BH288" s="535"/>
      <c r="BI288" s="458"/>
      <c r="BJ288" s="158"/>
      <c r="BK288" s="158"/>
      <c r="BL288" s="458"/>
      <c r="BM288" s="458"/>
      <c r="BN288" s="458"/>
      <c r="BO288" s="458"/>
      <c r="BP288" s="158"/>
      <c r="BQ288" s="158"/>
      <c r="BR288" s="458"/>
      <c r="BS288" s="458"/>
      <c r="BT288" s="458"/>
      <c r="BU288" s="458"/>
      <c r="BV288" s="158"/>
      <c r="BW288" s="158"/>
      <c r="BX288" s="458"/>
      <c r="BY288" s="458"/>
      <c r="BZ288" s="458"/>
      <c r="CA288" s="458"/>
      <c r="CB288" s="158"/>
      <c r="CC288" s="158"/>
      <c r="CD288" s="458"/>
      <c r="CE288" s="458"/>
    </row>
    <row r="289" spans="1:83" ht="17.45" customHeight="1" x14ac:dyDescent="0.5">
      <c r="A289" s="103">
        <v>18075908</v>
      </c>
      <c r="B289" s="104">
        <v>18070652</v>
      </c>
      <c r="C289" s="105">
        <v>153</v>
      </c>
      <c r="D289" s="106" t="s">
        <v>184</v>
      </c>
      <c r="E289" s="107" t="s">
        <v>185</v>
      </c>
      <c r="F289" s="108">
        <v>178</v>
      </c>
      <c r="G289" s="104"/>
      <c r="H289" s="109"/>
      <c r="I289" s="127" t="s">
        <v>869</v>
      </c>
      <c r="J289" s="122">
        <v>43355</v>
      </c>
      <c r="K289" s="547" t="s">
        <v>119</v>
      </c>
      <c r="L289" s="548" t="s">
        <v>120</v>
      </c>
      <c r="M289" s="104" t="s">
        <v>51</v>
      </c>
      <c r="N289" s="260">
        <v>190000</v>
      </c>
      <c r="O289" s="260">
        <v>13300</v>
      </c>
      <c r="P289" s="260">
        <f t="shared" ref="P289:P299" si="58">SUM(N289:O289)</f>
        <v>203300</v>
      </c>
      <c r="Q289" s="311"/>
      <c r="R289" s="113"/>
      <c r="S289" s="114"/>
      <c r="T289" s="115"/>
      <c r="U289" s="550"/>
      <c r="V289" s="551"/>
      <c r="W289" s="552"/>
      <c r="X289" s="552"/>
      <c r="Y289" s="553"/>
      <c r="Z289" s="120"/>
      <c r="AA289" s="123">
        <v>18090339</v>
      </c>
      <c r="AB289" s="124">
        <v>190000</v>
      </c>
      <c r="AC289" s="261">
        <f>AB289*7/100</f>
        <v>13300</v>
      </c>
      <c r="AD289" s="261">
        <f>AB289+AC289</f>
        <v>203300</v>
      </c>
      <c r="AE289" s="747">
        <v>43357</v>
      </c>
      <c r="AF289" s="127"/>
      <c r="AG289" s="127" t="s">
        <v>869</v>
      </c>
      <c r="AH289" s="127"/>
      <c r="AI289" s="222" t="s">
        <v>1751</v>
      </c>
      <c r="AJ289" s="128">
        <v>1</v>
      </c>
      <c r="AK289" s="129" t="s">
        <v>730</v>
      </c>
      <c r="AL289" s="130"/>
      <c r="AM289" s="130" t="s">
        <v>1205</v>
      </c>
      <c r="AN289" s="131">
        <v>1</v>
      </c>
      <c r="AO289" s="132" t="s">
        <v>635</v>
      </c>
      <c r="AP289" s="361"/>
      <c r="AQ289" s="361"/>
      <c r="AR289" s="128"/>
      <c r="AS289" s="128"/>
      <c r="AT289" s="361"/>
      <c r="AU289" s="133"/>
      <c r="AV289" s="361"/>
      <c r="AW289" s="361"/>
      <c r="AX289" s="128"/>
      <c r="AY289" s="128"/>
      <c r="AZ289" s="361"/>
      <c r="BA289" s="133"/>
      <c r="BB289" s="361"/>
      <c r="BC289" s="361"/>
      <c r="BD289" s="128"/>
      <c r="BE289" s="128"/>
      <c r="BF289" s="361"/>
      <c r="BG289" s="133"/>
      <c r="BH289" s="361"/>
      <c r="BI289" s="361"/>
      <c r="BJ289" s="128"/>
      <c r="BK289" s="128"/>
      <c r="BL289" s="361"/>
      <c r="BM289" s="361"/>
      <c r="BN289" s="361"/>
      <c r="BO289" s="361"/>
      <c r="BP289" s="128"/>
      <c r="BQ289" s="128"/>
      <c r="BR289" s="361"/>
      <c r="BS289" s="361"/>
      <c r="BT289" s="361"/>
      <c r="BU289" s="361"/>
      <c r="BV289" s="128"/>
      <c r="BW289" s="128"/>
      <c r="BX289" s="361"/>
      <c r="BY289" s="361"/>
      <c r="BZ289" s="361"/>
      <c r="CA289" s="361"/>
      <c r="CB289" s="128"/>
      <c r="CC289" s="128"/>
      <c r="CD289" s="361"/>
      <c r="CE289" s="361"/>
    </row>
    <row r="290" spans="1:83" ht="17.45" customHeight="1" x14ac:dyDescent="0.5">
      <c r="A290" s="134"/>
      <c r="B290" s="135"/>
      <c r="C290" s="136"/>
      <c r="D290" s="137"/>
      <c r="E290" s="138"/>
      <c r="F290" s="139"/>
      <c r="G290" s="135"/>
      <c r="H290" s="140"/>
      <c r="I290" s="152"/>
      <c r="J290" s="179"/>
      <c r="K290" s="255"/>
      <c r="L290" s="300"/>
      <c r="M290" s="135"/>
      <c r="N290" s="253"/>
      <c r="O290" s="253"/>
      <c r="P290" s="253"/>
      <c r="Q290" s="143"/>
      <c r="R290" s="144"/>
      <c r="S290" s="145"/>
      <c r="T290" s="146"/>
      <c r="U290" s="529"/>
      <c r="V290" s="555"/>
      <c r="W290" s="556"/>
      <c r="X290" s="556"/>
      <c r="Y290" s="557"/>
      <c r="Z290" s="151"/>
      <c r="AA290" s="154"/>
      <c r="AB290" s="155"/>
      <c r="AC290" s="263"/>
      <c r="AD290" s="263"/>
      <c r="AE290" s="1045"/>
      <c r="AF290" s="152"/>
      <c r="AG290" s="152"/>
      <c r="AH290" s="152"/>
      <c r="AI290" s="308" t="s">
        <v>1750</v>
      </c>
      <c r="AJ290" s="158"/>
      <c r="AK290" s="159"/>
      <c r="AL290" s="160"/>
      <c r="AM290" s="160"/>
      <c r="AN290" s="161"/>
      <c r="AO290" s="162"/>
      <c r="AP290" s="458"/>
      <c r="AQ290" s="458"/>
      <c r="AR290" s="158"/>
      <c r="AS290" s="158"/>
      <c r="AT290" s="458"/>
      <c r="AU290" s="163"/>
      <c r="AV290" s="458"/>
      <c r="AW290" s="458"/>
      <c r="AX290" s="158"/>
      <c r="AY290" s="158"/>
      <c r="AZ290" s="458"/>
      <c r="BA290" s="163"/>
      <c r="BB290" s="458"/>
      <c r="BC290" s="458"/>
      <c r="BD290" s="158"/>
      <c r="BE290" s="158"/>
      <c r="BF290" s="458"/>
      <c r="BG290" s="163"/>
      <c r="BH290" s="458"/>
      <c r="BI290" s="458"/>
      <c r="BJ290" s="158"/>
      <c r="BK290" s="158"/>
      <c r="BL290" s="458"/>
      <c r="BM290" s="458"/>
      <c r="BN290" s="458"/>
      <c r="BO290" s="458"/>
      <c r="BP290" s="158"/>
      <c r="BQ290" s="158"/>
      <c r="BR290" s="458"/>
      <c r="BS290" s="458"/>
      <c r="BT290" s="458"/>
      <c r="BU290" s="458"/>
      <c r="BV290" s="158"/>
      <c r="BW290" s="158"/>
      <c r="BX290" s="458"/>
      <c r="BY290" s="458"/>
      <c r="BZ290" s="458"/>
      <c r="CA290" s="458"/>
      <c r="CB290" s="158"/>
      <c r="CC290" s="158"/>
      <c r="CD290" s="458"/>
      <c r="CE290" s="458"/>
    </row>
    <row r="291" spans="1:83" ht="17.45" customHeight="1" x14ac:dyDescent="0.5">
      <c r="A291" s="134"/>
      <c r="B291" s="135"/>
      <c r="C291" s="136"/>
      <c r="D291" s="137"/>
      <c r="E291" s="138"/>
      <c r="F291" s="139"/>
      <c r="G291" s="135"/>
      <c r="H291" s="140"/>
      <c r="I291" s="152"/>
      <c r="J291" s="179"/>
      <c r="K291" s="255"/>
      <c r="L291" s="300"/>
      <c r="M291" s="135"/>
      <c r="N291" s="253"/>
      <c r="O291" s="253"/>
      <c r="P291" s="253"/>
      <c r="Q291" s="143"/>
      <c r="R291" s="144"/>
      <c r="S291" s="145"/>
      <c r="T291" s="146"/>
      <c r="U291" s="529"/>
      <c r="V291" s="555"/>
      <c r="W291" s="556"/>
      <c r="X291" s="556"/>
      <c r="Y291" s="557"/>
      <c r="Z291" s="151"/>
      <c r="AA291" s="154"/>
      <c r="AB291" s="155"/>
      <c r="AC291" s="263"/>
      <c r="AD291" s="263"/>
      <c r="AE291" s="1045"/>
      <c r="AF291" s="152"/>
      <c r="AG291" s="152"/>
      <c r="AH291" s="152"/>
      <c r="AI291" s="134" t="s">
        <v>2700</v>
      </c>
      <c r="AJ291" s="158"/>
      <c r="AK291" s="159"/>
      <c r="AL291" s="160"/>
      <c r="AM291" s="160"/>
      <c r="AN291" s="161"/>
      <c r="AO291" s="162"/>
      <c r="AP291" s="458"/>
      <c r="AQ291" s="458"/>
      <c r="AR291" s="158"/>
      <c r="AS291" s="158"/>
      <c r="AT291" s="458"/>
      <c r="AU291" s="163"/>
      <c r="AV291" s="458"/>
      <c r="AW291" s="458"/>
      <c r="AX291" s="158"/>
      <c r="AY291" s="158"/>
      <c r="AZ291" s="458"/>
      <c r="BA291" s="163"/>
      <c r="BB291" s="458"/>
      <c r="BC291" s="458"/>
      <c r="BD291" s="158"/>
      <c r="BE291" s="158"/>
      <c r="BF291" s="458"/>
      <c r="BG291" s="163"/>
      <c r="BH291" s="458"/>
      <c r="BI291" s="458"/>
      <c r="BJ291" s="158"/>
      <c r="BK291" s="158"/>
      <c r="BL291" s="458"/>
      <c r="BM291" s="458"/>
      <c r="BN291" s="458"/>
      <c r="BO291" s="458"/>
      <c r="BP291" s="158"/>
      <c r="BQ291" s="158"/>
      <c r="BR291" s="458"/>
      <c r="BS291" s="458"/>
      <c r="BT291" s="458"/>
      <c r="BU291" s="458"/>
      <c r="BV291" s="158"/>
      <c r="BW291" s="158"/>
      <c r="BX291" s="458"/>
      <c r="BY291" s="458"/>
      <c r="BZ291" s="458"/>
      <c r="CA291" s="458"/>
      <c r="CB291" s="158"/>
      <c r="CC291" s="158"/>
      <c r="CD291" s="458"/>
      <c r="CE291" s="458"/>
    </row>
    <row r="292" spans="1:83" ht="17.45" customHeight="1" x14ac:dyDescent="0.5">
      <c r="A292" s="134"/>
      <c r="B292" s="135"/>
      <c r="C292" s="136"/>
      <c r="D292" s="137"/>
      <c r="E292" s="138"/>
      <c r="F292" s="139"/>
      <c r="G292" s="135"/>
      <c r="H292" s="140"/>
      <c r="I292" s="152"/>
      <c r="J292" s="179"/>
      <c r="K292" s="255"/>
      <c r="L292" s="255"/>
      <c r="M292" s="135"/>
      <c r="N292" s="253"/>
      <c r="O292" s="253"/>
      <c r="P292" s="253"/>
      <c r="Q292" s="143"/>
      <c r="R292" s="144"/>
      <c r="S292" s="145"/>
      <c r="T292" s="146"/>
      <c r="U292" s="529"/>
      <c r="V292" s="555"/>
      <c r="W292" s="556"/>
      <c r="X292" s="556"/>
      <c r="Y292" s="557"/>
      <c r="Z292" s="151"/>
      <c r="AA292" s="154"/>
      <c r="AB292" s="155"/>
      <c r="AC292" s="263"/>
      <c r="AD292" s="263"/>
      <c r="AE292" s="1045"/>
      <c r="AF292" s="152"/>
      <c r="AG292" s="152"/>
      <c r="AH292" s="152"/>
      <c r="AI292" s="134" t="s">
        <v>3987</v>
      </c>
      <c r="AJ292" s="158"/>
      <c r="AK292" s="159"/>
      <c r="AL292" s="160"/>
      <c r="AM292" s="160"/>
      <c r="AN292" s="161"/>
      <c r="AO292" s="162"/>
      <c r="AP292" s="458"/>
      <c r="AQ292" s="458"/>
      <c r="AR292" s="158"/>
      <c r="AS292" s="158"/>
      <c r="AT292" s="458"/>
      <c r="AU292" s="163"/>
      <c r="AV292" s="458"/>
      <c r="AW292" s="458"/>
      <c r="AX292" s="158"/>
      <c r="AY292" s="158"/>
      <c r="AZ292" s="458"/>
      <c r="BA292" s="163"/>
      <c r="BB292" s="458"/>
      <c r="BC292" s="458"/>
      <c r="BD292" s="158"/>
      <c r="BE292" s="158"/>
      <c r="BF292" s="458"/>
      <c r="BG292" s="163"/>
      <c r="BH292" s="458"/>
      <c r="BI292" s="458"/>
      <c r="BJ292" s="158"/>
      <c r="BK292" s="158"/>
      <c r="BL292" s="458"/>
      <c r="BM292" s="458"/>
      <c r="BN292" s="458"/>
      <c r="BO292" s="458"/>
      <c r="BP292" s="158"/>
      <c r="BQ292" s="158"/>
      <c r="BR292" s="458"/>
      <c r="BS292" s="458"/>
      <c r="BT292" s="458"/>
      <c r="BU292" s="458"/>
      <c r="BV292" s="158"/>
      <c r="BW292" s="158"/>
      <c r="BX292" s="458"/>
      <c r="BY292" s="458"/>
      <c r="BZ292" s="458"/>
      <c r="CA292" s="458"/>
      <c r="CB292" s="158"/>
      <c r="CC292" s="158"/>
      <c r="CD292" s="458"/>
      <c r="CE292" s="458"/>
    </row>
    <row r="293" spans="1:83" ht="17.45" customHeight="1" x14ac:dyDescent="0.5">
      <c r="A293" s="180"/>
      <c r="B293" s="181"/>
      <c r="C293" s="182"/>
      <c r="D293" s="183"/>
      <c r="E293" s="184"/>
      <c r="F293" s="185"/>
      <c r="G293" s="181"/>
      <c r="H293" s="187"/>
      <c r="I293" s="199"/>
      <c r="J293" s="186"/>
      <c r="K293" s="240"/>
      <c r="L293" s="558"/>
      <c r="M293" s="181"/>
      <c r="N293" s="237"/>
      <c r="O293" s="237"/>
      <c r="P293" s="237"/>
      <c r="Q293" s="190"/>
      <c r="R293" s="215"/>
      <c r="S293" s="216"/>
      <c r="T293" s="217"/>
      <c r="U293" s="544"/>
      <c r="V293" s="560"/>
      <c r="W293" s="561"/>
      <c r="X293" s="561"/>
      <c r="Y293" s="562"/>
      <c r="Z293" s="198"/>
      <c r="AA293" s="200"/>
      <c r="AB293" s="201"/>
      <c r="AC293" s="238"/>
      <c r="AD293" s="238"/>
      <c r="AE293" s="746"/>
      <c r="AF293" s="199"/>
      <c r="AG293" s="199"/>
      <c r="AH293" s="199"/>
      <c r="AI293" s="180"/>
      <c r="AJ293" s="204"/>
      <c r="AK293" s="205"/>
      <c r="AL293" s="206"/>
      <c r="AM293" s="206"/>
      <c r="AN293" s="207"/>
      <c r="AO293" s="208"/>
      <c r="AP293" s="365"/>
      <c r="AQ293" s="365"/>
      <c r="AR293" s="204"/>
      <c r="AS293" s="204"/>
      <c r="AT293" s="365"/>
      <c r="AU293" s="210"/>
      <c r="AV293" s="365"/>
      <c r="AW293" s="365"/>
      <c r="AX293" s="204"/>
      <c r="AY293" s="204"/>
      <c r="AZ293" s="365"/>
      <c r="BA293" s="210"/>
      <c r="BB293" s="365"/>
      <c r="BC293" s="365"/>
      <c r="BD293" s="204"/>
      <c r="BE293" s="204"/>
      <c r="BF293" s="365"/>
      <c r="BG293" s="210"/>
      <c r="BH293" s="365"/>
      <c r="BI293" s="365"/>
      <c r="BJ293" s="204"/>
      <c r="BK293" s="204"/>
      <c r="BL293" s="365"/>
      <c r="BM293" s="365"/>
      <c r="BN293" s="365"/>
      <c r="BO293" s="365"/>
      <c r="BP293" s="204"/>
      <c r="BQ293" s="204"/>
      <c r="BR293" s="365"/>
      <c r="BS293" s="365"/>
      <c r="BT293" s="365"/>
      <c r="BU293" s="365"/>
      <c r="BV293" s="204"/>
      <c r="BW293" s="204"/>
      <c r="BX293" s="365"/>
      <c r="BY293" s="365"/>
      <c r="BZ293" s="365"/>
      <c r="CA293" s="365"/>
      <c r="CB293" s="204"/>
      <c r="CC293" s="204"/>
      <c r="CD293" s="365"/>
      <c r="CE293" s="365"/>
    </row>
    <row r="294" spans="1:83" x14ac:dyDescent="0.5">
      <c r="A294" s="227">
        <v>18075907</v>
      </c>
      <c r="B294" s="22">
        <v>18070651</v>
      </c>
      <c r="C294" s="23">
        <v>152</v>
      </c>
      <c r="D294" s="24" t="s">
        <v>184</v>
      </c>
      <c r="E294" s="25" t="s">
        <v>185</v>
      </c>
      <c r="F294" s="26">
        <v>177</v>
      </c>
      <c r="G294" s="62">
        <v>43326</v>
      </c>
      <c r="H294" s="27">
        <v>18265</v>
      </c>
      <c r="I294" s="39" t="s">
        <v>869</v>
      </c>
      <c r="J294" s="62">
        <v>43327</v>
      </c>
      <c r="K294" s="42" t="s">
        <v>10</v>
      </c>
      <c r="L294" s="520" t="s">
        <v>121</v>
      </c>
      <c r="M294" s="22" t="s">
        <v>51</v>
      </c>
      <c r="N294" s="63">
        <v>20000</v>
      </c>
      <c r="O294" s="63">
        <v>1400</v>
      </c>
      <c r="P294" s="63">
        <f t="shared" si="58"/>
        <v>21400</v>
      </c>
      <c r="AA294" s="40">
        <v>18080311</v>
      </c>
      <c r="AB294" s="41">
        <v>20000</v>
      </c>
      <c r="AC294" s="64">
        <f>AB294*7/100</f>
        <v>1400</v>
      </c>
      <c r="AD294" s="64">
        <f>AB294+AC294</f>
        <v>21400</v>
      </c>
      <c r="AE294" s="53">
        <v>43373</v>
      </c>
      <c r="AF294" s="39" t="s">
        <v>869</v>
      </c>
      <c r="AI294" s="21" t="s">
        <v>1036</v>
      </c>
      <c r="AJ294" s="44">
        <v>1</v>
      </c>
      <c r="AK294" s="45" t="s">
        <v>596</v>
      </c>
      <c r="AL294" s="46" t="s">
        <v>1205</v>
      </c>
      <c r="AN294" s="47">
        <v>1</v>
      </c>
      <c r="AO294" s="48" t="s">
        <v>635</v>
      </c>
      <c r="AP294" s="356"/>
      <c r="AQ294" s="356"/>
      <c r="AR294" s="44"/>
      <c r="AS294" s="44"/>
      <c r="AT294" s="356"/>
      <c r="AU294" s="54"/>
      <c r="AV294" s="356"/>
      <c r="AW294" s="356"/>
      <c r="AX294" s="44"/>
      <c r="AY294" s="44"/>
      <c r="AZ294" s="356"/>
      <c r="BA294" s="54"/>
      <c r="BB294" s="356"/>
      <c r="BC294" s="356"/>
      <c r="BD294" s="44"/>
      <c r="BE294" s="44"/>
      <c r="BF294" s="356"/>
      <c r="BG294" s="54"/>
      <c r="BH294" s="356"/>
      <c r="BI294" s="356"/>
      <c r="BJ294" s="44"/>
      <c r="BK294" s="44"/>
      <c r="BL294" s="356"/>
      <c r="BM294" s="356"/>
      <c r="BN294" s="356"/>
      <c r="BO294" s="356"/>
      <c r="BP294" s="44"/>
      <c r="BQ294" s="44"/>
      <c r="BR294" s="356"/>
      <c r="BS294" s="356"/>
      <c r="BT294" s="356"/>
      <c r="BU294" s="356"/>
      <c r="BV294" s="44"/>
      <c r="BW294" s="44"/>
      <c r="BX294" s="356"/>
      <c r="BY294" s="356"/>
      <c r="BZ294" s="356"/>
      <c r="CA294" s="44"/>
      <c r="CB294" s="44"/>
      <c r="CC294" s="44"/>
      <c r="CD294" s="44"/>
      <c r="CE294" s="44"/>
    </row>
    <row r="295" spans="1:83" x14ac:dyDescent="0.5">
      <c r="A295" s="227">
        <v>18075906</v>
      </c>
      <c r="B295" s="22">
        <v>18070638</v>
      </c>
      <c r="C295" s="55"/>
      <c r="D295" s="56"/>
      <c r="E295" s="57"/>
      <c r="F295" s="58"/>
      <c r="G295" s="59"/>
      <c r="H295" s="60"/>
      <c r="I295" s="269"/>
      <c r="J295" s="59"/>
      <c r="K295" s="42" t="s">
        <v>122</v>
      </c>
      <c r="L295" s="520" t="s">
        <v>123</v>
      </c>
      <c r="M295" s="22" t="s">
        <v>51</v>
      </c>
      <c r="N295" s="63">
        <v>7200</v>
      </c>
      <c r="O295" s="63">
        <v>504</v>
      </c>
      <c r="P295" s="63">
        <f t="shared" si="58"/>
        <v>7704</v>
      </c>
      <c r="AA295" s="40">
        <v>18070293</v>
      </c>
      <c r="AB295" s="41">
        <v>7200</v>
      </c>
      <c r="AC295" s="64">
        <f>AB295*7/100</f>
        <v>504</v>
      </c>
      <c r="AD295" s="64">
        <f>AB295+AC295</f>
        <v>7704</v>
      </c>
      <c r="AE295" s="53">
        <v>43337</v>
      </c>
      <c r="AF295" s="39" t="s">
        <v>869</v>
      </c>
      <c r="AI295" s="21" t="s">
        <v>1053</v>
      </c>
      <c r="AJ295" s="44">
        <v>1</v>
      </c>
      <c r="AK295" s="45" t="s">
        <v>655</v>
      </c>
      <c r="AN295" s="47">
        <v>1</v>
      </c>
      <c r="AO295" s="48" t="s">
        <v>628</v>
      </c>
      <c r="AP295" s="356"/>
      <c r="AQ295" s="356"/>
      <c r="AR295" s="44"/>
      <c r="AS295" s="44"/>
      <c r="AT295" s="356"/>
      <c r="AU295" s="54"/>
      <c r="AV295" s="356"/>
      <c r="AW295" s="356"/>
      <c r="AX295" s="44"/>
      <c r="AY295" s="44"/>
      <c r="AZ295" s="356"/>
      <c r="BA295" s="54"/>
      <c r="BB295" s="356"/>
      <c r="BC295" s="356"/>
      <c r="BD295" s="44"/>
      <c r="BE295" s="44"/>
      <c r="BF295" s="356"/>
      <c r="BG295" s="54"/>
      <c r="BH295" s="356"/>
      <c r="BI295" s="356"/>
      <c r="BJ295" s="44"/>
      <c r="BK295" s="44"/>
      <c r="BL295" s="356"/>
      <c r="BM295" s="356"/>
      <c r="BN295" s="356"/>
      <c r="BO295" s="356"/>
      <c r="BP295" s="44"/>
      <c r="BQ295" s="44"/>
      <c r="BR295" s="356"/>
      <c r="BS295" s="356"/>
      <c r="BT295" s="356"/>
      <c r="BU295" s="356"/>
      <c r="BV295" s="44"/>
      <c r="BW295" s="44"/>
      <c r="BX295" s="356"/>
      <c r="BY295" s="356"/>
      <c r="BZ295" s="356"/>
      <c r="CA295" s="44"/>
      <c r="CB295" s="44"/>
      <c r="CC295" s="44"/>
      <c r="CD295" s="44"/>
      <c r="CE295" s="44"/>
    </row>
    <row r="296" spans="1:83" x14ac:dyDescent="0.5">
      <c r="A296" s="227">
        <v>18075905</v>
      </c>
      <c r="B296" s="22">
        <v>18070635</v>
      </c>
      <c r="C296" s="55"/>
      <c r="D296" s="56"/>
      <c r="E296" s="57"/>
      <c r="F296" s="58"/>
      <c r="G296" s="59"/>
      <c r="H296" s="60"/>
      <c r="I296" s="39" t="s">
        <v>869</v>
      </c>
      <c r="J296" s="62">
        <v>43319</v>
      </c>
      <c r="K296" s="42" t="s">
        <v>124</v>
      </c>
      <c r="L296" s="520" t="s">
        <v>125</v>
      </c>
      <c r="M296" s="22" t="s">
        <v>51</v>
      </c>
      <c r="N296" s="63">
        <v>30000</v>
      </c>
      <c r="O296" s="63">
        <v>2100</v>
      </c>
      <c r="P296" s="63">
        <f t="shared" si="58"/>
        <v>32100</v>
      </c>
      <c r="AA296" s="40">
        <v>18080300</v>
      </c>
      <c r="AB296" s="41">
        <v>30000</v>
      </c>
      <c r="AC296" s="52">
        <f>AB296*7/100</f>
        <v>2100</v>
      </c>
      <c r="AD296" s="52">
        <f>AB296+AC296</f>
        <v>32100</v>
      </c>
      <c r="AE296" s="53">
        <v>43349</v>
      </c>
      <c r="AF296" s="39" t="s">
        <v>869</v>
      </c>
      <c r="AI296" s="21" t="s">
        <v>1189</v>
      </c>
      <c r="AJ296" s="44">
        <v>1</v>
      </c>
      <c r="AK296" s="45" t="s">
        <v>656</v>
      </c>
      <c r="AN296" s="47">
        <v>3</v>
      </c>
      <c r="AO296" s="48" t="s">
        <v>628</v>
      </c>
      <c r="AP296" s="356"/>
      <c r="AQ296" s="356"/>
      <c r="AR296" s="44"/>
      <c r="AS296" s="44"/>
      <c r="AT296" s="356"/>
      <c r="AU296" s="54"/>
      <c r="AV296" s="356"/>
      <c r="AW296" s="356"/>
      <c r="AX296" s="44"/>
      <c r="AY296" s="44"/>
      <c r="AZ296" s="356"/>
      <c r="BA296" s="54"/>
      <c r="BB296" s="356"/>
      <c r="BC296" s="356"/>
      <c r="BD296" s="44"/>
      <c r="BE296" s="44"/>
      <c r="BF296" s="356"/>
      <c r="BG296" s="54"/>
      <c r="BH296" s="356"/>
      <c r="BI296" s="356"/>
      <c r="BJ296" s="44"/>
      <c r="BK296" s="44"/>
      <c r="BL296" s="356"/>
      <c r="BM296" s="356"/>
      <c r="BN296" s="356"/>
      <c r="BO296" s="356"/>
      <c r="BP296" s="44"/>
      <c r="BQ296" s="44"/>
      <c r="BR296" s="356"/>
      <c r="BS296" s="356"/>
      <c r="BT296" s="356"/>
      <c r="BU296" s="356"/>
      <c r="BV296" s="44"/>
      <c r="BW296" s="44"/>
      <c r="BX296" s="356"/>
      <c r="BY296" s="356"/>
      <c r="BZ296" s="356"/>
      <c r="CA296" s="44"/>
      <c r="CB296" s="44"/>
      <c r="CC296" s="44"/>
      <c r="CD296" s="44"/>
      <c r="CE296" s="44"/>
    </row>
    <row r="297" spans="1:83" x14ac:dyDescent="0.5">
      <c r="A297" s="227">
        <v>18075904</v>
      </c>
      <c r="B297" s="22">
        <v>18070629</v>
      </c>
      <c r="C297" s="23">
        <v>151</v>
      </c>
      <c r="D297" s="24" t="s">
        <v>184</v>
      </c>
      <c r="E297" s="25" t="s">
        <v>185</v>
      </c>
      <c r="F297" s="26">
        <v>175</v>
      </c>
      <c r="G297" s="62">
        <v>43318</v>
      </c>
      <c r="H297" s="27">
        <v>18262</v>
      </c>
      <c r="I297" s="39" t="s">
        <v>869</v>
      </c>
      <c r="J297" s="62">
        <v>43318</v>
      </c>
      <c r="K297" s="42" t="s">
        <v>20</v>
      </c>
      <c r="L297" s="520" t="s">
        <v>126</v>
      </c>
      <c r="M297" s="22" t="s">
        <v>51</v>
      </c>
      <c r="N297" s="63">
        <v>312000</v>
      </c>
      <c r="O297" s="63">
        <v>21840</v>
      </c>
      <c r="P297" s="63">
        <f t="shared" si="58"/>
        <v>333840</v>
      </c>
      <c r="AA297" s="40">
        <v>18080307</v>
      </c>
      <c r="AB297" s="41">
        <v>312000</v>
      </c>
      <c r="AC297" s="64">
        <f t="shared" ref="AC297:AC304" si="59">AB297*7/100</f>
        <v>21840</v>
      </c>
      <c r="AD297" s="64">
        <f t="shared" ref="AD297:AD304" si="60">AB297+AC297</f>
        <v>333840</v>
      </c>
      <c r="AE297" s="53">
        <v>43351</v>
      </c>
      <c r="AF297" s="39" t="s">
        <v>869</v>
      </c>
      <c r="AI297" s="21" t="s">
        <v>1026</v>
      </c>
      <c r="AJ297" s="44">
        <v>1</v>
      </c>
      <c r="AK297" s="45" t="s">
        <v>763</v>
      </c>
      <c r="AM297" s="46" t="s">
        <v>1205</v>
      </c>
      <c r="AN297" s="47">
        <v>1</v>
      </c>
      <c r="AO297" s="48" t="s">
        <v>633</v>
      </c>
      <c r="AP297" s="356"/>
      <c r="AQ297" s="356"/>
      <c r="AR297" s="44"/>
      <c r="AS297" s="44"/>
      <c r="AT297" s="356"/>
      <c r="AU297" s="54"/>
      <c r="AV297" s="356"/>
      <c r="AW297" s="356"/>
      <c r="AX297" s="44"/>
      <c r="AY297" s="44"/>
      <c r="AZ297" s="356"/>
      <c r="BA297" s="54"/>
      <c r="BB297" s="356"/>
      <c r="BC297" s="356"/>
      <c r="BD297" s="44"/>
      <c r="BE297" s="44"/>
      <c r="BF297" s="356"/>
      <c r="BG297" s="54"/>
      <c r="BH297" s="356"/>
      <c r="BI297" s="356"/>
      <c r="BJ297" s="44"/>
      <c r="BK297" s="44"/>
      <c r="BL297" s="356"/>
      <c r="BM297" s="356"/>
      <c r="BN297" s="356"/>
      <c r="BO297" s="356"/>
      <c r="BP297" s="44"/>
      <c r="BQ297" s="44"/>
      <c r="BR297" s="356"/>
      <c r="BS297" s="356"/>
      <c r="BT297" s="356"/>
      <c r="BU297" s="356"/>
      <c r="BV297" s="44"/>
      <c r="BW297" s="44"/>
      <c r="BX297" s="356"/>
      <c r="BY297" s="356"/>
      <c r="BZ297" s="356"/>
      <c r="CA297" s="356"/>
      <c r="CB297" s="44"/>
      <c r="CC297" s="44"/>
      <c r="CD297" s="356"/>
      <c r="CE297" s="356"/>
    </row>
    <row r="298" spans="1:83" x14ac:dyDescent="0.5">
      <c r="A298" s="227">
        <v>18075903</v>
      </c>
      <c r="B298" s="22">
        <v>18070628</v>
      </c>
      <c r="C298" s="55"/>
      <c r="D298" s="56"/>
      <c r="E298" s="57"/>
      <c r="F298" s="58"/>
      <c r="G298" s="59"/>
      <c r="H298" s="60"/>
      <c r="I298" s="269"/>
      <c r="J298" s="59"/>
      <c r="K298" s="42" t="s">
        <v>127</v>
      </c>
      <c r="L298" s="520" t="s">
        <v>128</v>
      </c>
      <c r="M298" s="22" t="s">
        <v>50</v>
      </c>
      <c r="N298" s="63">
        <v>7500</v>
      </c>
      <c r="O298" s="63">
        <v>525</v>
      </c>
      <c r="P298" s="63">
        <f t="shared" si="58"/>
        <v>8025</v>
      </c>
      <c r="AA298" s="40">
        <v>18070286</v>
      </c>
      <c r="AB298" s="41">
        <v>7500</v>
      </c>
      <c r="AC298" s="63">
        <f t="shared" si="59"/>
        <v>525</v>
      </c>
      <c r="AD298" s="63">
        <f t="shared" si="60"/>
        <v>8025</v>
      </c>
      <c r="AE298" s="53">
        <v>43301</v>
      </c>
      <c r="AF298" s="39" t="s">
        <v>869</v>
      </c>
      <c r="AI298" s="21" t="s">
        <v>1089</v>
      </c>
      <c r="AJ298" s="44">
        <v>1</v>
      </c>
      <c r="AK298" s="45" t="s">
        <v>404</v>
      </c>
      <c r="AN298" s="47">
        <v>1</v>
      </c>
      <c r="AO298" s="102"/>
      <c r="AP298" s="356"/>
      <c r="AQ298" s="356"/>
      <c r="AR298" s="44"/>
      <c r="AS298" s="44"/>
      <c r="AT298" s="356"/>
      <c r="AU298" s="54"/>
      <c r="AV298" s="356"/>
      <c r="AW298" s="356"/>
      <c r="AX298" s="44"/>
      <c r="AY298" s="44"/>
      <c r="AZ298" s="356"/>
      <c r="BA298" s="54"/>
      <c r="BB298" s="356"/>
      <c r="BC298" s="356"/>
      <c r="BD298" s="44"/>
      <c r="BE298" s="44"/>
      <c r="BF298" s="356"/>
      <c r="BG298" s="54"/>
      <c r="BH298" s="356"/>
      <c r="BI298" s="356"/>
      <c r="BJ298" s="44"/>
      <c r="BK298" s="44"/>
      <c r="BL298" s="356"/>
      <c r="BM298" s="356"/>
      <c r="BN298" s="356"/>
      <c r="BO298" s="356"/>
      <c r="BP298" s="44"/>
      <c r="BQ298" s="44"/>
      <c r="BR298" s="356"/>
      <c r="BS298" s="356"/>
      <c r="BT298" s="356"/>
      <c r="BU298" s="356"/>
      <c r="BV298" s="44"/>
      <c r="BW298" s="44"/>
      <c r="BX298" s="356"/>
      <c r="BY298" s="356"/>
      <c r="BZ298" s="356"/>
      <c r="CA298" s="356"/>
      <c r="CB298" s="44"/>
      <c r="CC298" s="44"/>
      <c r="CD298" s="356"/>
      <c r="CE298" s="356"/>
    </row>
    <row r="299" spans="1:83" x14ac:dyDescent="0.5">
      <c r="A299" s="227">
        <v>18075902</v>
      </c>
      <c r="B299" s="22">
        <v>18070626</v>
      </c>
      <c r="C299" s="23">
        <v>150</v>
      </c>
      <c r="D299" s="24" t="s">
        <v>184</v>
      </c>
      <c r="E299" s="25" t="s">
        <v>185</v>
      </c>
      <c r="F299" s="26">
        <v>167</v>
      </c>
      <c r="G299" s="62">
        <v>43301</v>
      </c>
      <c r="H299" s="27">
        <v>18251</v>
      </c>
      <c r="I299" s="39" t="s">
        <v>869</v>
      </c>
      <c r="J299" s="62">
        <v>43304</v>
      </c>
      <c r="K299" s="42" t="s">
        <v>129</v>
      </c>
      <c r="L299" s="520" t="s">
        <v>130</v>
      </c>
      <c r="M299" s="22" t="s">
        <v>50</v>
      </c>
      <c r="N299" s="63">
        <v>150000</v>
      </c>
      <c r="O299" s="63">
        <v>10500</v>
      </c>
      <c r="P299" s="63">
        <f t="shared" si="58"/>
        <v>160500</v>
      </c>
      <c r="X299" s="518">
        <v>360</v>
      </c>
      <c r="AA299" s="40">
        <v>18070285</v>
      </c>
      <c r="AB299" s="41">
        <v>150000</v>
      </c>
      <c r="AC299" s="64">
        <f t="shared" si="59"/>
        <v>10500</v>
      </c>
      <c r="AD299" s="64">
        <f t="shared" si="60"/>
        <v>160500</v>
      </c>
      <c r="AE299" s="53">
        <v>43301</v>
      </c>
      <c r="AF299" s="39" t="s">
        <v>869</v>
      </c>
      <c r="AI299" s="21" t="s">
        <v>1089</v>
      </c>
      <c r="AJ299" s="44">
        <v>1</v>
      </c>
      <c r="AK299" s="45" t="s">
        <v>663</v>
      </c>
      <c r="AM299" s="46" t="s">
        <v>1205</v>
      </c>
      <c r="AN299" s="47">
        <v>1</v>
      </c>
      <c r="AO299" s="48" t="s">
        <v>634</v>
      </c>
      <c r="AP299" s="356"/>
      <c r="AQ299" s="356"/>
      <c r="AR299" s="44"/>
      <c r="AS299" s="44"/>
      <c r="AT299" s="356"/>
      <c r="AU299" s="54"/>
      <c r="AV299" s="356"/>
      <c r="AW299" s="356"/>
      <c r="AX299" s="44"/>
      <c r="AY299" s="44"/>
      <c r="AZ299" s="356"/>
      <c r="BA299" s="54"/>
      <c r="BB299" s="356"/>
      <c r="BC299" s="356"/>
      <c r="BD299" s="44"/>
      <c r="BE299" s="44"/>
      <c r="BF299" s="356"/>
      <c r="BG299" s="54"/>
      <c r="BH299" s="356"/>
      <c r="BI299" s="356"/>
      <c r="BJ299" s="44"/>
      <c r="BK299" s="44"/>
      <c r="BL299" s="356"/>
      <c r="BM299" s="356"/>
      <c r="BN299" s="356"/>
      <c r="BO299" s="356"/>
      <c r="BP299" s="44"/>
      <c r="BQ299" s="44"/>
      <c r="BR299" s="356"/>
      <c r="BS299" s="356"/>
      <c r="BT299" s="356"/>
      <c r="BU299" s="356"/>
      <c r="BV299" s="44"/>
      <c r="BW299" s="44"/>
      <c r="BX299" s="356"/>
      <c r="BY299" s="356"/>
      <c r="BZ299" s="356"/>
      <c r="CA299" s="356"/>
      <c r="CB299" s="44"/>
      <c r="CC299" s="44"/>
      <c r="CD299" s="356"/>
      <c r="CE299" s="356"/>
    </row>
    <row r="300" spans="1:83" x14ac:dyDescent="0.5">
      <c r="A300" s="227">
        <v>18075901</v>
      </c>
      <c r="B300" s="22">
        <v>18070627</v>
      </c>
      <c r="C300" s="55"/>
      <c r="D300" s="56"/>
      <c r="E300" s="57"/>
      <c r="F300" s="58"/>
      <c r="G300" s="59"/>
      <c r="H300" s="60"/>
      <c r="I300" s="269"/>
      <c r="J300" s="59"/>
      <c r="K300" s="42" t="s">
        <v>129</v>
      </c>
      <c r="L300" s="520" t="s">
        <v>128</v>
      </c>
      <c r="M300" s="22" t="s">
        <v>50</v>
      </c>
      <c r="N300" s="63">
        <v>15000</v>
      </c>
      <c r="O300" s="63">
        <v>1050</v>
      </c>
      <c r="P300" s="63">
        <f>SUM(N300:O300)</f>
        <v>16050</v>
      </c>
      <c r="AA300" s="40">
        <v>18070279</v>
      </c>
      <c r="AB300" s="41">
        <v>15000</v>
      </c>
      <c r="AC300" s="63">
        <f t="shared" si="59"/>
        <v>1050</v>
      </c>
      <c r="AD300" s="63">
        <f t="shared" si="60"/>
        <v>16050</v>
      </c>
      <c r="AE300" s="53">
        <v>43301</v>
      </c>
      <c r="AF300" s="39" t="s">
        <v>869</v>
      </c>
      <c r="AI300" s="21" t="s">
        <v>1091</v>
      </c>
      <c r="AJ300" s="44">
        <v>1</v>
      </c>
      <c r="AK300" s="45" t="s">
        <v>404</v>
      </c>
      <c r="AN300" s="47">
        <v>2</v>
      </c>
      <c r="AO300" s="102"/>
      <c r="AP300" s="356"/>
      <c r="AQ300" s="356"/>
      <c r="AR300" s="44"/>
      <c r="AS300" s="44"/>
      <c r="AT300" s="356"/>
      <c r="AU300" s="54"/>
      <c r="AV300" s="356"/>
      <c r="AW300" s="356"/>
      <c r="AX300" s="44"/>
      <c r="AY300" s="44"/>
      <c r="AZ300" s="356"/>
      <c r="BA300" s="54"/>
      <c r="BB300" s="356"/>
      <c r="BC300" s="356"/>
      <c r="BD300" s="44"/>
      <c r="BE300" s="44"/>
      <c r="BF300" s="356"/>
      <c r="BG300" s="54"/>
      <c r="BH300" s="356"/>
      <c r="BI300" s="356"/>
      <c r="BJ300" s="44"/>
      <c r="BK300" s="44"/>
      <c r="BL300" s="356"/>
      <c r="BM300" s="356"/>
      <c r="BN300" s="356"/>
      <c r="BO300" s="356"/>
      <c r="BP300" s="44"/>
      <c r="BQ300" s="44"/>
      <c r="BR300" s="356"/>
      <c r="BS300" s="356"/>
      <c r="BT300" s="356"/>
      <c r="BU300" s="356"/>
      <c r="BV300" s="44"/>
      <c r="BW300" s="44"/>
      <c r="BX300" s="356"/>
      <c r="BY300" s="356"/>
      <c r="BZ300" s="356"/>
      <c r="CA300" s="356"/>
      <c r="CB300" s="44"/>
      <c r="CC300" s="44"/>
      <c r="CD300" s="356"/>
      <c r="CE300" s="356"/>
    </row>
    <row r="301" spans="1:83" x14ac:dyDescent="0.5">
      <c r="A301" s="259">
        <v>18075900</v>
      </c>
      <c r="B301" s="104">
        <v>18070625</v>
      </c>
      <c r="C301" s="105">
        <v>149</v>
      </c>
      <c r="D301" s="106" t="s">
        <v>184</v>
      </c>
      <c r="E301" s="107" t="s">
        <v>185</v>
      </c>
      <c r="F301" s="108">
        <v>162</v>
      </c>
      <c r="G301" s="211">
        <v>43299</v>
      </c>
      <c r="H301" s="164">
        <v>18242</v>
      </c>
      <c r="I301" s="127" t="s">
        <v>869</v>
      </c>
      <c r="J301" s="122">
        <v>43300</v>
      </c>
      <c r="K301" s="547" t="s">
        <v>129</v>
      </c>
      <c r="L301" s="548" t="s">
        <v>130</v>
      </c>
      <c r="M301" s="104" t="s">
        <v>50</v>
      </c>
      <c r="N301" s="260">
        <v>300000</v>
      </c>
      <c r="O301" s="260">
        <v>21000</v>
      </c>
      <c r="P301" s="260">
        <f>SUM(N301:O301)</f>
        <v>321000</v>
      </c>
      <c r="Q301" s="311"/>
      <c r="R301" s="113"/>
      <c r="S301" s="114"/>
      <c r="T301" s="115"/>
      <c r="U301" s="550"/>
      <c r="V301" s="551"/>
      <c r="W301" s="552"/>
      <c r="X301" s="552">
        <v>720</v>
      </c>
      <c r="Y301" s="553"/>
      <c r="Z301" s="120"/>
      <c r="AA301" s="123">
        <v>18070278</v>
      </c>
      <c r="AB301" s="124">
        <v>300000</v>
      </c>
      <c r="AC301" s="261">
        <f t="shared" si="59"/>
        <v>21000</v>
      </c>
      <c r="AD301" s="261">
        <f t="shared" si="60"/>
        <v>321000</v>
      </c>
      <c r="AE301" s="126">
        <v>43301</v>
      </c>
      <c r="AF301" s="127" t="s">
        <v>869</v>
      </c>
      <c r="AG301" s="127"/>
      <c r="AH301" s="127"/>
      <c r="AI301" s="103" t="s">
        <v>1091</v>
      </c>
      <c r="AJ301" s="128">
        <v>1</v>
      </c>
      <c r="AK301" s="129" t="s">
        <v>663</v>
      </c>
      <c r="AL301" s="130"/>
      <c r="AM301" s="130" t="s">
        <v>1205</v>
      </c>
      <c r="AN301" s="131">
        <v>2</v>
      </c>
      <c r="AO301" s="132" t="s">
        <v>634</v>
      </c>
      <c r="AP301" s="361"/>
      <c r="AQ301" s="361"/>
      <c r="AR301" s="128"/>
      <c r="AS301" s="128"/>
      <c r="AT301" s="361"/>
      <c r="AU301" s="133"/>
      <c r="AV301" s="361"/>
      <c r="AW301" s="361"/>
      <c r="AX301" s="128"/>
      <c r="AY301" s="128"/>
      <c r="AZ301" s="361"/>
      <c r="BA301" s="133"/>
      <c r="BB301" s="361"/>
      <c r="BC301" s="361"/>
      <c r="BD301" s="128"/>
      <c r="BE301" s="128"/>
      <c r="BF301" s="361"/>
      <c r="BG301" s="133"/>
      <c r="BH301" s="361"/>
      <c r="BI301" s="361"/>
      <c r="BJ301" s="128"/>
      <c r="BK301" s="128"/>
      <c r="BL301" s="361"/>
      <c r="BM301" s="361"/>
      <c r="BN301" s="361"/>
      <c r="BO301" s="361"/>
      <c r="BP301" s="128"/>
      <c r="BQ301" s="128"/>
      <c r="BR301" s="361"/>
      <c r="BS301" s="361"/>
      <c r="BT301" s="361"/>
      <c r="BU301" s="361"/>
      <c r="BV301" s="128"/>
      <c r="BW301" s="128"/>
      <c r="BX301" s="361"/>
      <c r="BY301" s="361"/>
      <c r="BZ301" s="361"/>
      <c r="CA301" s="361"/>
      <c r="CB301" s="128"/>
      <c r="CC301" s="128"/>
      <c r="CD301" s="361"/>
      <c r="CE301" s="361"/>
    </row>
    <row r="302" spans="1:83" x14ac:dyDescent="0.5">
      <c r="A302" s="268"/>
      <c r="B302" s="181"/>
      <c r="C302" s="182"/>
      <c r="D302" s="183"/>
      <c r="E302" s="184"/>
      <c r="F302" s="185"/>
      <c r="G302" s="186">
        <v>43299</v>
      </c>
      <c r="H302" s="187">
        <v>18243</v>
      </c>
      <c r="I302" s="199"/>
      <c r="J302" s="186"/>
      <c r="K302" s="240"/>
      <c r="L302" s="558"/>
      <c r="M302" s="181"/>
      <c r="N302" s="237"/>
      <c r="O302" s="237"/>
      <c r="P302" s="237"/>
      <c r="Q302" s="190"/>
      <c r="R302" s="215"/>
      <c r="S302" s="216"/>
      <c r="T302" s="217"/>
      <c r="U302" s="544"/>
      <c r="V302" s="560"/>
      <c r="W302" s="561"/>
      <c r="X302" s="561"/>
      <c r="Y302" s="562"/>
      <c r="Z302" s="198"/>
      <c r="AA302" s="200"/>
      <c r="AB302" s="201"/>
      <c r="AC302" s="238"/>
      <c r="AD302" s="238"/>
      <c r="AE302" s="203"/>
      <c r="AF302" s="199"/>
      <c r="AG302" s="199"/>
      <c r="AH302" s="199"/>
      <c r="AI302" s="180"/>
      <c r="AJ302" s="204"/>
      <c r="AK302" s="205"/>
      <c r="AL302" s="206"/>
      <c r="AM302" s="206"/>
      <c r="AN302" s="207"/>
      <c r="AO302" s="208"/>
      <c r="AP302" s="365"/>
      <c r="AQ302" s="365"/>
      <c r="AR302" s="204"/>
      <c r="AS302" s="204"/>
      <c r="AT302" s="365"/>
      <c r="AU302" s="210"/>
      <c r="AV302" s="365"/>
      <c r="AW302" s="365"/>
      <c r="AX302" s="204"/>
      <c r="AY302" s="204"/>
      <c r="AZ302" s="365"/>
      <c r="BA302" s="210"/>
      <c r="BB302" s="365"/>
      <c r="BC302" s="365"/>
      <c r="BD302" s="204"/>
      <c r="BE302" s="204"/>
      <c r="BF302" s="365"/>
      <c r="BG302" s="210"/>
      <c r="BH302" s="365"/>
      <c r="BI302" s="365"/>
      <c r="BJ302" s="204"/>
      <c r="BK302" s="204"/>
      <c r="BL302" s="365"/>
      <c r="BM302" s="365"/>
      <c r="BN302" s="365"/>
      <c r="BO302" s="365"/>
      <c r="BP302" s="204"/>
      <c r="BQ302" s="204"/>
      <c r="BR302" s="365"/>
      <c r="BS302" s="365"/>
      <c r="BT302" s="365"/>
      <c r="BU302" s="365"/>
      <c r="BV302" s="204"/>
      <c r="BW302" s="204"/>
      <c r="BX302" s="365"/>
      <c r="BY302" s="365"/>
      <c r="BZ302" s="365"/>
      <c r="CA302" s="365"/>
      <c r="CB302" s="204"/>
      <c r="CC302" s="204"/>
      <c r="CD302" s="365"/>
      <c r="CE302" s="365"/>
    </row>
    <row r="303" spans="1:83" x14ac:dyDescent="0.5">
      <c r="A303" s="227">
        <v>18075899</v>
      </c>
      <c r="B303" s="22">
        <v>18070624</v>
      </c>
      <c r="C303" s="55"/>
      <c r="D303" s="56"/>
      <c r="E303" s="57"/>
      <c r="F303" s="58"/>
      <c r="G303" s="59"/>
      <c r="H303" s="60"/>
      <c r="I303" s="39" t="s">
        <v>869</v>
      </c>
      <c r="J303" s="62">
        <v>43297</v>
      </c>
      <c r="K303" s="42" t="s">
        <v>131</v>
      </c>
      <c r="L303" s="520" t="s">
        <v>112</v>
      </c>
      <c r="M303" s="22" t="s">
        <v>51</v>
      </c>
      <c r="N303" s="63">
        <v>1000</v>
      </c>
      <c r="O303" s="63">
        <v>70</v>
      </c>
      <c r="P303" s="63">
        <f t="shared" ref="P303:P312" si="61">SUM(N303:O303)</f>
        <v>1070</v>
      </c>
      <c r="AA303" s="40">
        <v>18070277</v>
      </c>
      <c r="AB303" s="41">
        <v>1000</v>
      </c>
      <c r="AC303" s="64">
        <f t="shared" si="59"/>
        <v>70</v>
      </c>
      <c r="AD303" s="64">
        <f t="shared" si="60"/>
        <v>1070</v>
      </c>
      <c r="AE303" s="53">
        <v>43297</v>
      </c>
      <c r="AF303" s="39" t="s">
        <v>869</v>
      </c>
      <c r="AI303" s="21" t="s">
        <v>1082</v>
      </c>
      <c r="AJ303" s="44">
        <v>1</v>
      </c>
      <c r="AK303" s="45" t="s">
        <v>588</v>
      </c>
      <c r="AN303" s="47">
        <v>2</v>
      </c>
      <c r="AO303" s="48" t="s">
        <v>628</v>
      </c>
      <c r="AP303" s="356"/>
      <c r="AQ303" s="356"/>
      <c r="AR303" s="44"/>
      <c r="AS303" s="44"/>
      <c r="AT303" s="356"/>
      <c r="AU303" s="54"/>
      <c r="AV303" s="356"/>
      <c r="AW303" s="356"/>
      <c r="AX303" s="44"/>
      <c r="AY303" s="44"/>
      <c r="AZ303" s="356"/>
      <c r="BA303" s="54"/>
      <c r="BB303" s="356"/>
      <c r="BC303" s="356"/>
      <c r="BD303" s="44"/>
      <c r="BE303" s="44"/>
      <c r="BF303" s="356"/>
      <c r="BG303" s="54"/>
      <c r="BH303" s="356"/>
      <c r="BI303" s="356"/>
      <c r="BJ303" s="44"/>
      <c r="BK303" s="44"/>
      <c r="BL303" s="356"/>
      <c r="BM303" s="356"/>
      <c r="BN303" s="356"/>
      <c r="BO303" s="356"/>
      <c r="BP303" s="44"/>
      <c r="BQ303" s="44"/>
      <c r="BR303" s="356"/>
      <c r="BS303" s="356"/>
      <c r="BT303" s="356"/>
      <c r="BU303" s="356"/>
      <c r="BV303" s="44"/>
      <c r="BW303" s="44"/>
      <c r="BX303" s="356"/>
      <c r="BY303" s="356"/>
      <c r="BZ303" s="356"/>
      <c r="CA303" s="356"/>
      <c r="CB303" s="44"/>
      <c r="CC303" s="44"/>
      <c r="CD303" s="356"/>
      <c r="CE303" s="356"/>
    </row>
    <row r="304" spans="1:83" x14ac:dyDescent="0.5">
      <c r="A304" s="259">
        <v>18075898</v>
      </c>
      <c r="B304" s="104" t="s">
        <v>132</v>
      </c>
      <c r="C304" s="105">
        <v>148</v>
      </c>
      <c r="D304" s="106" t="s">
        <v>184</v>
      </c>
      <c r="E304" s="107" t="s">
        <v>185</v>
      </c>
      <c r="F304" s="108">
        <v>282</v>
      </c>
      <c r="G304" s="211">
        <v>43451</v>
      </c>
      <c r="H304" s="164">
        <v>18459</v>
      </c>
      <c r="I304" s="127" t="s">
        <v>869</v>
      </c>
      <c r="J304" s="122">
        <v>43452</v>
      </c>
      <c r="K304" s="547" t="s">
        <v>133</v>
      </c>
      <c r="L304" s="548" t="s">
        <v>134</v>
      </c>
      <c r="M304" s="104" t="s">
        <v>52</v>
      </c>
      <c r="N304" s="260">
        <v>107476.64</v>
      </c>
      <c r="O304" s="260">
        <v>7523.36</v>
      </c>
      <c r="P304" s="260">
        <f t="shared" si="61"/>
        <v>115000</v>
      </c>
      <c r="Q304" s="311">
        <v>19000</v>
      </c>
      <c r="R304" s="113" t="s">
        <v>567</v>
      </c>
      <c r="S304" s="114">
        <f>N304-Q304</f>
        <v>88476.64</v>
      </c>
      <c r="T304" s="115">
        <v>5</v>
      </c>
      <c r="U304" s="550">
        <f>S304*T304/100</f>
        <v>4423.8320000000003</v>
      </c>
      <c r="V304" s="551">
        <f>S304-U304</f>
        <v>84052.808000000005</v>
      </c>
      <c r="W304" s="552">
        <v>0.26</v>
      </c>
      <c r="X304" s="552">
        <f>V304*W304/100</f>
        <v>218.53730080000003</v>
      </c>
      <c r="Y304" s="553">
        <v>0.2</v>
      </c>
      <c r="Z304" s="120">
        <f>V304*Y304/100</f>
        <v>168.105616</v>
      </c>
      <c r="AA304" s="123">
        <v>18120499</v>
      </c>
      <c r="AB304" s="124">
        <v>107476.64</v>
      </c>
      <c r="AC304" s="260">
        <f t="shared" si="59"/>
        <v>7523.3647999999994</v>
      </c>
      <c r="AD304" s="260">
        <f t="shared" si="60"/>
        <v>115000.0048</v>
      </c>
      <c r="AE304" s="126">
        <v>43446</v>
      </c>
      <c r="AF304" s="127" t="s">
        <v>869</v>
      </c>
      <c r="AG304" s="127"/>
      <c r="AH304" s="127"/>
      <c r="AI304" s="103" t="s">
        <v>1472</v>
      </c>
      <c r="AJ304" s="128">
        <v>1</v>
      </c>
      <c r="AK304" s="129" t="s">
        <v>593</v>
      </c>
      <c r="AL304" s="130"/>
      <c r="AM304" s="130" t="s">
        <v>1205</v>
      </c>
      <c r="AN304" s="131">
        <v>4</v>
      </c>
      <c r="AO304" s="132" t="s">
        <v>634</v>
      </c>
      <c r="AP304" s="361"/>
      <c r="AQ304" s="361"/>
      <c r="AR304" s="128"/>
      <c r="AS304" s="128"/>
      <c r="AT304" s="361"/>
      <c r="AU304" s="133"/>
      <c r="AV304" s="361"/>
      <c r="AW304" s="361"/>
      <c r="AX304" s="128"/>
      <c r="AY304" s="128"/>
      <c r="AZ304" s="361"/>
      <c r="BA304" s="133"/>
      <c r="BB304" s="361"/>
      <c r="BC304" s="361"/>
      <c r="BD304" s="128"/>
      <c r="BE304" s="128"/>
      <c r="BF304" s="361"/>
      <c r="BG304" s="133"/>
      <c r="BH304" s="361"/>
      <c r="BI304" s="361"/>
      <c r="BJ304" s="128"/>
      <c r="BK304" s="128"/>
      <c r="BL304" s="361"/>
      <c r="BM304" s="361"/>
      <c r="BN304" s="361"/>
      <c r="BO304" s="361"/>
      <c r="BP304" s="128"/>
      <c r="BQ304" s="128"/>
      <c r="BR304" s="361"/>
      <c r="BS304" s="361"/>
      <c r="BT304" s="361"/>
      <c r="BU304" s="361"/>
      <c r="BV304" s="128"/>
      <c r="BW304" s="128"/>
      <c r="BX304" s="361"/>
      <c r="BY304" s="361"/>
      <c r="BZ304" s="361"/>
      <c r="CA304" s="361"/>
      <c r="CB304" s="128"/>
      <c r="CC304" s="128"/>
      <c r="CD304" s="361"/>
      <c r="CE304" s="361"/>
    </row>
    <row r="305" spans="1:83" x14ac:dyDescent="0.5">
      <c r="A305" s="268"/>
      <c r="B305" s="181"/>
      <c r="C305" s="182"/>
      <c r="D305" s="183"/>
      <c r="E305" s="184"/>
      <c r="F305" s="185"/>
      <c r="G305" s="186">
        <v>43451</v>
      </c>
      <c r="H305" s="187">
        <v>18460</v>
      </c>
      <c r="I305" s="199"/>
      <c r="J305" s="186"/>
      <c r="K305" s="240"/>
      <c r="L305" s="558"/>
      <c r="M305" s="181"/>
      <c r="N305" s="237"/>
      <c r="O305" s="237"/>
      <c r="P305" s="237"/>
      <c r="Q305" s="190"/>
      <c r="R305" s="215"/>
      <c r="S305" s="216"/>
      <c r="T305" s="217"/>
      <c r="U305" s="544"/>
      <c r="V305" s="560"/>
      <c r="W305" s="561"/>
      <c r="X305" s="561"/>
      <c r="Y305" s="562"/>
      <c r="Z305" s="198"/>
      <c r="AA305" s="200"/>
      <c r="AB305" s="201"/>
      <c r="AC305" s="237"/>
      <c r="AD305" s="237"/>
      <c r="AE305" s="203"/>
      <c r="AF305" s="199"/>
      <c r="AG305" s="199"/>
      <c r="AH305" s="199"/>
      <c r="AI305" s="180"/>
      <c r="AJ305" s="204"/>
      <c r="AK305" s="205"/>
      <c r="AL305" s="206"/>
      <c r="AM305" s="206"/>
      <c r="AN305" s="207"/>
      <c r="AO305" s="208"/>
      <c r="AP305" s="365"/>
      <c r="AQ305" s="365"/>
      <c r="AR305" s="204"/>
      <c r="AS305" s="204"/>
      <c r="AT305" s="365"/>
      <c r="AU305" s="210"/>
      <c r="AV305" s="365"/>
      <c r="AW305" s="365"/>
      <c r="AX305" s="204"/>
      <c r="AY305" s="204"/>
      <c r="AZ305" s="365"/>
      <c r="BA305" s="210"/>
      <c r="BB305" s="365"/>
      <c r="BC305" s="365"/>
      <c r="BD305" s="204"/>
      <c r="BE305" s="204"/>
      <c r="BF305" s="365"/>
      <c r="BG305" s="210"/>
      <c r="BH305" s="365"/>
      <c r="BI305" s="365"/>
      <c r="BJ305" s="204"/>
      <c r="BK305" s="204"/>
      <c r="BL305" s="365"/>
      <c r="BM305" s="365"/>
      <c r="BN305" s="365"/>
      <c r="BO305" s="365"/>
      <c r="BP305" s="204"/>
      <c r="BQ305" s="204"/>
      <c r="BR305" s="365"/>
      <c r="BS305" s="365"/>
      <c r="BT305" s="365"/>
      <c r="BU305" s="365"/>
      <c r="BV305" s="204"/>
      <c r="BW305" s="204"/>
      <c r="BX305" s="365"/>
      <c r="BY305" s="365"/>
      <c r="BZ305" s="365"/>
      <c r="CA305" s="365"/>
      <c r="CB305" s="204"/>
      <c r="CC305" s="204"/>
      <c r="CD305" s="365"/>
      <c r="CE305" s="365"/>
    </row>
    <row r="306" spans="1:83" x14ac:dyDescent="0.5">
      <c r="A306" s="227">
        <v>18075897</v>
      </c>
      <c r="B306" s="22">
        <v>18070609</v>
      </c>
      <c r="C306" s="55"/>
      <c r="D306" s="56"/>
      <c r="E306" s="57"/>
      <c r="F306" s="58"/>
      <c r="G306" s="59"/>
      <c r="H306" s="60"/>
      <c r="I306" s="39" t="s">
        <v>869</v>
      </c>
      <c r="J306" s="62">
        <v>43348</v>
      </c>
      <c r="K306" s="42" t="s">
        <v>101</v>
      </c>
      <c r="L306" s="520" t="s">
        <v>102</v>
      </c>
      <c r="M306" s="22" t="s">
        <v>50</v>
      </c>
      <c r="N306" s="63">
        <v>19200</v>
      </c>
      <c r="O306" s="63">
        <v>1344</v>
      </c>
      <c r="P306" s="63">
        <f t="shared" si="61"/>
        <v>20544</v>
      </c>
      <c r="Q306" s="61"/>
      <c r="R306" s="96"/>
      <c r="S306" s="97"/>
      <c r="T306" s="98"/>
      <c r="U306" s="546"/>
      <c r="V306" s="517">
        <f>N306</f>
        <v>19200</v>
      </c>
      <c r="W306" s="518">
        <v>1</v>
      </c>
      <c r="X306" s="518">
        <f>V306*W306/100</f>
        <v>192</v>
      </c>
      <c r="Y306" s="97"/>
      <c r="Z306" s="101"/>
      <c r="AA306" s="40">
        <v>18080318</v>
      </c>
      <c r="AB306" s="41">
        <v>19200</v>
      </c>
      <c r="AC306" s="64">
        <f t="shared" ref="AC306:AC312" si="62">AB306*7/100</f>
        <v>1344</v>
      </c>
      <c r="AD306" s="64">
        <f t="shared" ref="AD306:AD312" si="63">AB306+AC306</f>
        <v>20544</v>
      </c>
      <c r="AE306" s="53">
        <v>43343</v>
      </c>
      <c r="AF306" s="39" t="s">
        <v>869</v>
      </c>
      <c r="AI306" s="21" t="s">
        <v>1051</v>
      </c>
      <c r="AJ306" s="44">
        <v>1</v>
      </c>
      <c r="AK306" s="45" t="s">
        <v>649</v>
      </c>
      <c r="AN306" s="47">
        <v>16</v>
      </c>
      <c r="AO306" s="48" t="s">
        <v>628</v>
      </c>
      <c r="AP306" s="356"/>
      <c r="AQ306" s="356"/>
      <c r="AR306" s="44"/>
      <c r="AS306" s="44"/>
      <c r="AT306" s="356"/>
      <c r="AU306" s="54"/>
      <c r="AV306" s="356"/>
      <c r="AW306" s="356"/>
      <c r="AX306" s="44"/>
      <c r="AY306" s="44"/>
      <c r="AZ306" s="356"/>
      <c r="BA306" s="54"/>
      <c r="BB306" s="356"/>
      <c r="BC306" s="356"/>
      <c r="BD306" s="44"/>
      <c r="BE306" s="44"/>
      <c r="BF306" s="356"/>
      <c r="BG306" s="54"/>
      <c r="BH306" s="356"/>
      <c r="BI306" s="356"/>
      <c r="BJ306" s="44"/>
      <c r="BK306" s="44"/>
      <c r="BL306" s="356"/>
      <c r="BM306" s="356"/>
      <c r="BN306" s="356"/>
      <c r="BO306" s="356"/>
      <c r="BP306" s="44"/>
      <c r="BQ306" s="44"/>
      <c r="BR306" s="356"/>
      <c r="BS306" s="356"/>
      <c r="BT306" s="356"/>
      <c r="BU306" s="356"/>
      <c r="BV306" s="44"/>
      <c r="BW306" s="44"/>
      <c r="BX306" s="356"/>
      <c r="BY306" s="356"/>
      <c r="BZ306" s="356"/>
      <c r="CA306" s="356"/>
      <c r="CB306" s="44"/>
      <c r="CC306" s="44"/>
      <c r="CD306" s="356"/>
      <c r="CE306" s="356"/>
    </row>
    <row r="307" spans="1:83" x14ac:dyDescent="0.5">
      <c r="A307" s="227">
        <v>18075896</v>
      </c>
      <c r="B307" s="22">
        <v>18070613</v>
      </c>
      <c r="C307" s="23">
        <v>146</v>
      </c>
      <c r="D307" s="24" t="s">
        <v>184</v>
      </c>
      <c r="E307" s="25" t="s">
        <v>185</v>
      </c>
      <c r="F307" s="26">
        <v>160</v>
      </c>
      <c r="G307" s="62">
        <v>43297</v>
      </c>
      <c r="H307" s="27">
        <v>18241</v>
      </c>
      <c r="I307" s="39" t="s">
        <v>869</v>
      </c>
      <c r="J307" s="62">
        <v>43297</v>
      </c>
      <c r="K307" s="42" t="s">
        <v>15</v>
      </c>
      <c r="L307" s="520" t="s">
        <v>135</v>
      </c>
      <c r="M307" s="22" t="s">
        <v>51</v>
      </c>
      <c r="N307" s="63">
        <v>80000</v>
      </c>
      <c r="O307" s="63">
        <v>5600</v>
      </c>
      <c r="P307" s="63">
        <f t="shared" si="61"/>
        <v>85600</v>
      </c>
      <c r="AA307" s="40">
        <v>18070288</v>
      </c>
      <c r="AB307" s="41">
        <v>80000</v>
      </c>
      <c r="AC307" s="64">
        <f t="shared" si="62"/>
        <v>5600</v>
      </c>
      <c r="AD307" s="64">
        <f t="shared" si="63"/>
        <v>85600</v>
      </c>
      <c r="AE307" s="53">
        <v>43350</v>
      </c>
      <c r="AF307" s="39" t="s">
        <v>869</v>
      </c>
      <c r="AI307" s="21" t="s">
        <v>1084</v>
      </c>
      <c r="AJ307" s="44">
        <v>1</v>
      </c>
      <c r="AK307" s="45" t="s">
        <v>785</v>
      </c>
      <c r="AM307" s="46" t="s">
        <v>1205</v>
      </c>
      <c r="AN307" s="47">
        <v>2</v>
      </c>
      <c r="AO307" s="48" t="s">
        <v>635</v>
      </c>
      <c r="AP307" s="356"/>
      <c r="AQ307" s="356"/>
      <c r="AR307" s="44"/>
      <c r="AS307" s="44"/>
      <c r="AT307" s="356"/>
      <c r="AU307" s="54"/>
      <c r="AV307" s="356"/>
      <c r="AW307" s="356"/>
      <c r="AX307" s="44"/>
      <c r="AY307" s="44"/>
      <c r="AZ307" s="356"/>
      <c r="BA307" s="54"/>
      <c r="BB307" s="356"/>
      <c r="BC307" s="356"/>
      <c r="BD307" s="44"/>
      <c r="BE307" s="44"/>
      <c r="BF307" s="356"/>
      <c r="BG307" s="54"/>
      <c r="BH307" s="356"/>
      <c r="BI307" s="356"/>
      <c r="BJ307" s="44"/>
      <c r="BK307" s="44"/>
      <c r="BL307" s="356"/>
      <c r="BM307" s="356"/>
      <c r="BN307" s="356"/>
      <c r="BO307" s="356"/>
      <c r="BP307" s="44"/>
      <c r="BQ307" s="44"/>
      <c r="BR307" s="356"/>
      <c r="BS307" s="356"/>
      <c r="BT307" s="356"/>
      <c r="BU307" s="356"/>
      <c r="BV307" s="44"/>
      <c r="BW307" s="44"/>
      <c r="BX307" s="356"/>
      <c r="BY307" s="356"/>
      <c r="BZ307" s="356"/>
      <c r="CA307" s="44"/>
      <c r="CB307" s="44"/>
      <c r="CC307" s="44"/>
      <c r="CD307" s="44"/>
      <c r="CE307" s="44"/>
    </row>
    <row r="308" spans="1:83" x14ac:dyDescent="0.5">
      <c r="A308" s="227">
        <v>18075895</v>
      </c>
      <c r="B308" s="22">
        <v>18070614</v>
      </c>
      <c r="C308" s="23">
        <v>147</v>
      </c>
      <c r="D308" s="24" t="s">
        <v>184</v>
      </c>
      <c r="E308" s="25" t="s">
        <v>185</v>
      </c>
      <c r="F308" s="26">
        <v>170</v>
      </c>
      <c r="G308" s="62">
        <v>43305</v>
      </c>
      <c r="H308" s="27">
        <v>18254</v>
      </c>
      <c r="I308" s="39" t="s">
        <v>869</v>
      </c>
      <c r="J308" s="62">
        <v>43306</v>
      </c>
      <c r="K308" s="42" t="s">
        <v>15</v>
      </c>
      <c r="L308" s="520" t="s">
        <v>136</v>
      </c>
      <c r="M308" s="22" t="s">
        <v>51</v>
      </c>
      <c r="N308" s="63">
        <v>9360</v>
      </c>
      <c r="O308" s="63">
        <v>655.20000000000005</v>
      </c>
      <c r="P308" s="63">
        <f t="shared" si="61"/>
        <v>10015.200000000001</v>
      </c>
      <c r="AA308" s="40">
        <v>18070291</v>
      </c>
      <c r="AB308" s="41">
        <v>9360</v>
      </c>
      <c r="AC308" s="64">
        <f t="shared" si="62"/>
        <v>655.20000000000005</v>
      </c>
      <c r="AD308" s="64">
        <f t="shared" si="63"/>
        <v>10015.200000000001</v>
      </c>
      <c r="AE308" s="53">
        <v>43350</v>
      </c>
      <c r="AF308" s="39" t="s">
        <v>869</v>
      </c>
      <c r="AI308" s="21" t="s">
        <v>1085</v>
      </c>
      <c r="AJ308" s="44">
        <v>1</v>
      </c>
      <c r="AK308" s="45" t="s">
        <v>793</v>
      </c>
      <c r="AM308" s="46" t="s">
        <v>1205</v>
      </c>
      <c r="AN308" s="47">
        <v>1</v>
      </c>
      <c r="AO308" s="48" t="s">
        <v>633</v>
      </c>
      <c r="AP308" s="356"/>
      <c r="AQ308" s="356"/>
      <c r="AR308" s="44"/>
      <c r="AS308" s="44"/>
      <c r="AT308" s="356"/>
      <c r="AU308" s="54"/>
      <c r="AV308" s="356"/>
      <c r="AW308" s="356"/>
      <c r="AX308" s="44"/>
      <c r="AY308" s="44"/>
      <c r="AZ308" s="356"/>
      <c r="BA308" s="54"/>
      <c r="BB308" s="356"/>
      <c r="BC308" s="356"/>
      <c r="BD308" s="44"/>
      <c r="BE308" s="44"/>
      <c r="BF308" s="356"/>
      <c r="BG308" s="54"/>
      <c r="BH308" s="356"/>
      <c r="BI308" s="356"/>
      <c r="BJ308" s="44"/>
      <c r="BK308" s="44"/>
      <c r="BL308" s="356"/>
      <c r="BM308" s="356"/>
      <c r="BN308" s="356"/>
      <c r="BO308" s="356"/>
      <c r="BP308" s="44"/>
      <c r="BQ308" s="44"/>
      <c r="BR308" s="356"/>
      <c r="BS308" s="356"/>
      <c r="BT308" s="356"/>
      <c r="BU308" s="356"/>
      <c r="BV308" s="44"/>
      <c r="BW308" s="44"/>
      <c r="BX308" s="356"/>
      <c r="BY308" s="356"/>
      <c r="BZ308" s="356"/>
      <c r="CA308" s="44"/>
      <c r="CB308" s="44"/>
      <c r="CC308" s="44"/>
      <c r="CD308" s="44"/>
      <c r="CE308" s="44"/>
    </row>
    <row r="309" spans="1:83" x14ac:dyDescent="0.5">
      <c r="A309" s="227">
        <v>18075894</v>
      </c>
      <c r="B309" s="22">
        <v>18070606</v>
      </c>
      <c r="C309" s="23">
        <v>145</v>
      </c>
      <c r="D309" s="24" t="s">
        <v>184</v>
      </c>
      <c r="E309" s="25" t="s">
        <v>185</v>
      </c>
      <c r="F309" s="26">
        <v>156</v>
      </c>
      <c r="G309" s="62">
        <v>43291</v>
      </c>
      <c r="H309" s="27">
        <v>18236</v>
      </c>
      <c r="I309" s="39" t="s">
        <v>869</v>
      </c>
      <c r="J309" s="62">
        <v>43292</v>
      </c>
      <c r="K309" s="42" t="s">
        <v>10</v>
      </c>
      <c r="L309" s="520" t="s">
        <v>137</v>
      </c>
      <c r="M309" s="22" t="s">
        <v>51</v>
      </c>
      <c r="N309" s="63">
        <v>257000</v>
      </c>
      <c r="O309" s="63">
        <v>17990</v>
      </c>
      <c r="P309" s="63">
        <f t="shared" si="61"/>
        <v>274990</v>
      </c>
      <c r="AA309" s="40">
        <v>18070263</v>
      </c>
      <c r="AB309" s="41">
        <v>257000</v>
      </c>
      <c r="AC309" s="63">
        <f t="shared" si="62"/>
        <v>17990</v>
      </c>
      <c r="AD309" s="63">
        <f t="shared" si="63"/>
        <v>274990</v>
      </c>
      <c r="AE309" s="53">
        <v>43336</v>
      </c>
      <c r="AF309" s="39" t="s">
        <v>869</v>
      </c>
      <c r="AI309" s="21" t="s">
        <v>1105</v>
      </c>
      <c r="AJ309" s="44">
        <v>1</v>
      </c>
      <c r="AK309" s="45" t="s">
        <v>782</v>
      </c>
      <c r="AM309" s="46" t="s">
        <v>1205</v>
      </c>
      <c r="AN309" s="47">
        <v>1</v>
      </c>
      <c r="AO309" s="48" t="s">
        <v>635</v>
      </c>
      <c r="AP309" s="44">
        <v>2</v>
      </c>
      <c r="AQ309" s="40" t="s">
        <v>783</v>
      </c>
      <c r="AS309" s="47" t="s">
        <v>1205</v>
      </c>
      <c r="AT309" s="47">
        <v>1</v>
      </c>
      <c r="AU309" s="49" t="s">
        <v>635</v>
      </c>
      <c r="AV309" s="356"/>
      <c r="AW309" s="356"/>
      <c r="AX309" s="44"/>
      <c r="AY309" s="44"/>
      <c r="AZ309" s="356"/>
      <c r="BA309" s="54"/>
      <c r="BB309" s="356"/>
      <c r="BC309" s="356"/>
      <c r="BD309" s="44"/>
      <c r="BE309" s="44"/>
      <c r="BF309" s="356"/>
      <c r="BG309" s="54"/>
      <c r="BH309" s="356"/>
      <c r="BI309" s="356"/>
      <c r="BJ309" s="44"/>
      <c r="BK309" s="44"/>
      <c r="BL309" s="356"/>
      <c r="BM309" s="356"/>
      <c r="BN309" s="356"/>
      <c r="BO309" s="356"/>
      <c r="BP309" s="44"/>
      <c r="BQ309" s="44"/>
      <c r="BR309" s="356"/>
      <c r="BS309" s="356"/>
      <c r="BT309" s="356"/>
      <c r="BU309" s="356"/>
      <c r="BV309" s="44"/>
      <c r="BW309" s="44"/>
      <c r="BX309" s="356"/>
      <c r="BY309" s="356"/>
      <c r="BZ309" s="356"/>
      <c r="CA309" s="44"/>
      <c r="CB309" s="44"/>
      <c r="CC309" s="44"/>
      <c r="CD309" s="44"/>
      <c r="CE309" s="44"/>
    </row>
    <row r="310" spans="1:83" x14ac:dyDescent="0.5">
      <c r="A310" s="259">
        <v>18075893</v>
      </c>
      <c r="B310" s="104" t="s">
        <v>138</v>
      </c>
      <c r="C310" s="105">
        <v>144</v>
      </c>
      <c r="D310" s="106" t="s">
        <v>184</v>
      </c>
      <c r="E310" s="107" t="s">
        <v>185</v>
      </c>
      <c r="F310" s="108">
        <v>249</v>
      </c>
      <c r="G310" s="211">
        <v>43409</v>
      </c>
      <c r="H310" s="164">
        <v>18407</v>
      </c>
      <c r="I310" s="127" t="s">
        <v>869</v>
      </c>
      <c r="J310" s="122">
        <v>43410</v>
      </c>
      <c r="K310" s="547" t="s">
        <v>139</v>
      </c>
      <c r="L310" s="547" t="s">
        <v>140</v>
      </c>
      <c r="M310" s="104" t="s">
        <v>52</v>
      </c>
      <c r="N310" s="260">
        <v>89719.63</v>
      </c>
      <c r="O310" s="260">
        <v>6280.37</v>
      </c>
      <c r="P310" s="260">
        <f t="shared" si="61"/>
        <v>96000</v>
      </c>
      <c r="Q310" s="311">
        <v>12000</v>
      </c>
      <c r="R310" s="113" t="s">
        <v>567</v>
      </c>
      <c r="S310" s="114">
        <f>N310-Q310</f>
        <v>77719.63</v>
      </c>
      <c r="T310" s="115">
        <v>5</v>
      </c>
      <c r="U310" s="550">
        <f>S310*T310/100</f>
        <v>3885.9815000000003</v>
      </c>
      <c r="V310" s="551">
        <f>S310-U310</f>
        <v>73833.64850000001</v>
      </c>
      <c r="W310" s="552">
        <v>0.2</v>
      </c>
      <c r="X310" s="552">
        <f>V310*W310/100</f>
        <v>147.66729700000005</v>
      </c>
      <c r="Y310" s="553">
        <v>0.2</v>
      </c>
      <c r="Z310" s="120">
        <f>V310*Y310/100</f>
        <v>147.66729700000005</v>
      </c>
      <c r="AA310" s="123">
        <v>18080316</v>
      </c>
      <c r="AB310" s="124">
        <v>89719.63</v>
      </c>
      <c r="AC310" s="261">
        <f t="shared" si="62"/>
        <v>6280.3741</v>
      </c>
      <c r="AD310" s="261">
        <f t="shared" si="63"/>
        <v>96000.004100000006</v>
      </c>
      <c r="AE310" s="126">
        <v>43342</v>
      </c>
      <c r="AF310" s="127" t="s">
        <v>869</v>
      </c>
      <c r="AG310" s="127"/>
      <c r="AH310" s="127"/>
      <c r="AI310" s="103" t="s">
        <v>2232</v>
      </c>
      <c r="AJ310" s="128">
        <v>1</v>
      </c>
      <c r="AK310" s="129" t="s">
        <v>657</v>
      </c>
      <c r="AL310" s="130"/>
      <c r="AM310" s="130" t="s">
        <v>1205</v>
      </c>
      <c r="AN310" s="131">
        <v>1</v>
      </c>
      <c r="AO310" s="132" t="s">
        <v>634</v>
      </c>
      <c r="AP310" s="128">
        <v>2</v>
      </c>
      <c r="AQ310" s="123" t="s">
        <v>658</v>
      </c>
      <c r="AR310" s="131"/>
      <c r="AS310" s="131" t="s">
        <v>1205</v>
      </c>
      <c r="AT310" s="131">
        <v>1</v>
      </c>
      <c r="AU310" s="169" t="s">
        <v>634</v>
      </c>
      <c r="AV310" s="361"/>
      <c r="AW310" s="361"/>
      <c r="AX310" s="128"/>
      <c r="AY310" s="128"/>
      <c r="AZ310" s="361"/>
      <c r="BA310" s="133"/>
      <c r="BB310" s="361"/>
      <c r="BC310" s="361"/>
      <c r="BD310" s="128"/>
      <c r="BE310" s="128"/>
      <c r="BF310" s="361"/>
      <c r="BG310" s="133"/>
      <c r="BH310" s="361"/>
      <c r="BI310" s="361"/>
      <c r="BJ310" s="128"/>
      <c r="BK310" s="128"/>
      <c r="BL310" s="361"/>
      <c r="BM310" s="361"/>
      <c r="BN310" s="361"/>
      <c r="BO310" s="361"/>
      <c r="BP310" s="128"/>
      <c r="BQ310" s="128"/>
      <c r="BR310" s="361"/>
      <c r="BS310" s="361"/>
      <c r="BT310" s="361"/>
      <c r="BU310" s="361"/>
      <c r="BV310" s="128"/>
      <c r="BW310" s="128"/>
      <c r="BX310" s="361"/>
      <c r="BY310" s="361"/>
      <c r="BZ310" s="361"/>
      <c r="CA310" s="128"/>
      <c r="CB310" s="128"/>
      <c r="CC310" s="128"/>
      <c r="CD310" s="128"/>
      <c r="CE310" s="128"/>
    </row>
    <row r="311" spans="1:83" x14ac:dyDescent="0.5">
      <c r="A311" s="262"/>
      <c r="B311" s="135"/>
      <c r="C311" s="136"/>
      <c r="D311" s="137"/>
      <c r="E311" s="138"/>
      <c r="F311" s="139"/>
      <c r="G311" s="179">
        <v>43409</v>
      </c>
      <c r="H311" s="140">
        <v>18408</v>
      </c>
      <c r="I311" s="152"/>
      <c r="J311" s="179"/>
      <c r="K311" s="255"/>
      <c r="L311" s="300"/>
      <c r="M311" s="135"/>
      <c r="N311" s="253"/>
      <c r="O311" s="253"/>
      <c r="P311" s="253"/>
      <c r="Q311" s="143"/>
      <c r="R311" s="144"/>
      <c r="S311" s="145"/>
      <c r="T311" s="146"/>
      <c r="U311" s="529"/>
      <c r="V311" s="555"/>
      <c r="W311" s="556"/>
      <c r="X311" s="556"/>
      <c r="Y311" s="557"/>
      <c r="Z311" s="151"/>
      <c r="AA311" s="154"/>
      <c r="AB311" s="155"/>
      <c r="AC311" s="263"/>
      <c r="AD311" s="263"/>
      <c r="AE311" s="157"/>
      <c r="AF311" s="152"/>
      <c r="AG311" s="152"/>
      <c r="AH311" s="152"/>
      <c r="AI311" s="134"/>
      <c r="AJ311" s="158"/>
      <c r="AK311" s="159"/>
      <c r="AL311" s="160"/>
      <c r="AM311" s="160"/>
      <c r="AN311" s="161"/>
      <c r="AO311" s="162"/>
      <c r="AP311" s="158"/>
      <c r="AQ311" s="154"/>
      <c r="AR311" s="161"/>
      <c r="AS311" s="161"/>
      <c r="AT311" s="161"/>
      <c r="AU311" s="177"/>
      <c r="AV311" s="458"/>
      <c r="AW311" s="458"/>
      <c r="AX311" s="158"/>
      <c r="AY311" s="158"/>
      <c r="AZ311" s="458"/>
      <c r="BA311" s="163"/>
      <c r="BB311" s="458"/>
      <c r="BC311" s="458"/>
      <c r="BD311" s="158"/>
      <c r="BE311" s="158"/>
      <c r="BF311" s="458"/>
      <c r="BG311" s="163"/>
      <c r="BH311" s="458"/>
      <c r="BI311" s="458"/>
      <c r="BJ311" s="158"/>
      <c r="BK311" s="158"/>
      <c r="BL311" s="458"/>
      <c r="BM311" s="458"/>
      <c r="BN311" s="458"/>
      <c r="BO311" s="458"/>
      <c r="BP311" s="158"/>
      <c r="BQ311" s="158"/>
      <c r="BR311" s="458"/>
      <c r="BS311" s="458"/>
      <c r="BT311" s="458"/>
      <c r="BU311" s="458"/>
      <c r="BV311" s="158"/>
      <c r="BW311" s="158"/>
      <c r="BX311" s="458"/>
      <c r="BY311" s="458"/>
      <c r="BZ311" s="458"/>
      <c r="CA311" s="158"/>
      <c r="CB311" s="158"/>
      <c r="CC311" s="158"/>
      <c r="CD311" s="158"/>
      <c r="CE311" s="158"/>
    </row>
    <row r="312" spans="1:83" x14ac:dyDescent="0.5">
      <c r="A312" s="369">
        <v>18075892</v>
      </c>
      <c r="B312" s="375" t="s">
        <v>141</v>
      </c>
      <c r="C312" s="582">
        <v>143</v>
      </c>
      <c r="D312" s="372" t="s">
        <v>184</v>
      </c>
      <c r="E312" s="622" t="s">
        <v>185</v>
      </c>
      <c r="F312" s="374">
        <v>197</v>
      </c>
      <c r="G312" s="211">
        <v>43356</v>
      </c>
      <c r="H312" s="164">
        <v>18304</v>
      </c>
      <c r="I312" s="368" t="s">
        <v>869</v>
      </c>
      <c r="J312" s="126">
        <v>43358</v>
      </c>
      <c r="K312" s="375" t="s">
        <v>139</v>
      </c>
      <c r="L312" s="375" t="s">
        <v>142</v>
      </c>
      <c r="M312" s="375" t="s">
        <v>52</v>
      </c>
      <c r="N312" s="376">
        <v>89719.63</v>
      </c>
      <c r="O312" s="376">
        <v>6280.37</v>
      </c>
      <c r="P312" s="376">
        <f t="shared" si="61"/>
        <v>96000</v>
      </c>
      <c r="Q312" s="430"/>
      <c r="R312" s="378"/>
      <c r="S312" s="379"/>
      <c r="T312" s="380"/>
      <c r="U312" s="381">
        <v>3885.98</v>
      </c>
      <c r="V312" s="382"/>
      <c r="W312" s="383"/>
      <c r="X312" s="383">
        <v>147.66</v>
      </c>
      <c r="Y312" s="384"/>
      <c r="Z312" s="385"/>
      <c r="AA312" s="123">
        <v>18080315</v>
      </c>
      <c r="AB312" s="478">
        <v>89719.63</v>
      </c>
      <c r="AC312" s="479">
        <f t="shared" si="62"/>
        <v>6280.3741</v>
      </c>
      <c r="AD312" s="479">
        <f t="shared" si="63"/>
        <v>96000.004100000006</v>
      </c>
      <c r="AE312" s="126">
        <v>43342</v>
      </c>
      <c r="AF312" s="127" t="s">
        <v>869</v>
      </c>
      <c r="AG312" s="612"/>
      <c r="AH312" s="127"/>
      <c r="AI312" s="103" t="s">
        <v>2232</v>
      </c>
      <c r="AJ312" s="390">
        <v>1</v>
      </c>
      <c r="AK312" s="394" t="s">
        <v>657</v>
      </c>
      <c r="AL312" s="392"/>
      <c r="AM312" s="392" t="s">
        <v>1205</v>
      </c>
      <c r="AN312" s="392">
        <v>1</v>
      </c>
      <c r="AO312" s="393" t="s">
        <v>634</v>
      </c>
      <c r="AP312" s="390">
        <v>2</v>
      </c>
      <c r="AQ312" s="394" t="s">
        <v>658</v>
      </c>
      <c r="AR312" s="392"/>
      <c r="AS312" s="392" t="s">
        <v>1205</v>
      </c>
      <c r="AT312" s="392">
        <v>1</v>
      </c>
      <c r="AU312" s="393" t="s">
        <v>634</v>
      </c>
      <c r="AV312" s="390"/>
      <c r="AW312" s="395"/>
      <c r="AX312" s="128"/>
      <c r="AY312" s="128"/>
      <c r="AZ312" s="361"/>
      <c r="BA312" s="361"/>
      <c r="BB312" s="361"/>
      <c r="BC312" s="361"/>
      <c r="BD312" s="128"/>
      <c r="BE312" s="128"/>
      <c r="BF312" s="361"/>
      <c r="BG312" s="361"/>
      <c r="BH312" s="361"/>
      <c r="BI312" s="361"/>
      <c r="BJ312" s="128"/>
      <c r="BK312" s="128"/>
      <c r="BL312" s="361"/>
      <c r="BM312" s="361"/>
      <c r="BN312" s="361"/>
      <c r="BO312" s="361"/>
      <c r="BP312" s="128"/>
      <c r="BQ312" s="128"/>
      <c r="BR312" s="361"/>
      <c r="BS312" s="361"/>
      <c r="BT312" s="361"/>
      <c r="BU312" s="361"/>
      <c r="BV312" s="128"/>
      <c r="BW312" s="128"/>
      <c r="BX312" s="361"/>
      <c r="BY312" s="361"/>
      <c r="BZ312" s="361"/>
      <c r="CA312" s="361"/>
      <c r="CB312" s="128"/>
      <c r="CC312" s="128"/>
      <c r="CD312" s="361"/>
      <c r="CE312" s="361"/>
    </row>
    <row r="313" spans="1:83" x14ac:dyDescent="0.5">
      <c r="A313" s="396"/>
      <c r="B313" s="401"/>
      <c r="C313" s="425"/>
      <c r="D313" s="398"/>
      <c r="E313" s="461"/>
      <c r="F313" s="400"/>
      <c r="G313" s="186">
        <v>43356</v>
      </c>
      <c r="H313" s="187">
        <v>18305</v>
      </c>
      <c r="I313" s="412"/>
      <c r="J313" s="427"/>
      <c r="K313" s="401"/>
      <c r="L313" s="401"/>
      <c r="M313" s="401"/>
      <c r="N313" s="402"/>
      <c r="O313" s="402"/>
      <c r="P313" s="402"/>
      <c r="Q313" s="462"/>
      <c r="R313" s="404"/>
      <c r="S313" s="405"/>
      <c r="T313" s="406"/>
      <c r="U313" s="407"/>
      <c r="V313" s="408"/>
      <c r="W313" s="409"/>
      <c r="X313" s="409"/>
      <c r="Y313" s="410"/>
      <c r="Z313" s="411"/>
      <c r="AA313" s="588"/>
      <c r="AB313" s="509"/>
      <c r="AC313" s="510"/>
      <c r="AD313" s="510"/>
      <c r="AE313" s="241"/>
      <c r="AF313" s="199"/>
      <c r="AG313" s="615"/>
      <c r="AH313" s="199"/>
      <c r="AI313" s="180"/>
      <c r="AJ313" s="420"/>
      <c r="AK313" s="413"/>
      <c r="AL313" s="418"/>
      <c r="AM313" s="418"/>
      <c r="AN313" s="418"/>
      <c r="AO313" s="419"/>
      <c r="AP313" s="420"/>
      <c r="AQ313" s="413"/>
      <c r="AR313" s="418"/>
      <c r="AS313" s="418"/>
      <c r="AT313" s="418"/>
      <c r="AU313" s="419"/>
      <c r="AV313" s="420"/>
      <c r="AW313" s="416"/>
      <c r="AX313" s="204"/>
      <c r="AY313" s="204"/>
      <c r="AZ313" s="365"/>
      <c r="BA313" s="365"/>
      <c r="BB313" s="365"/>
      <c r="BC313" s="365"/>
      <c r="BD313" s="204"/>
      <c r="BE313" s="204"/>
      <c r="BF313" s="365"/>
      <c r="BG313" s="365"/>
      <c r="BH313" s="365"/>
      <c r="BI313" s="365"/>
      <c r="BJ313" s="204"/>
      <c r="BK313" s="204"/>
      <c r="BL313" s="365"/>
      <c r="BM313" s="365"/>
      <c r="BN313" s="365"/>
      <c r="BO313" s="365"/>
      <c r="BP313" s="204"/>
      <c r="BQ313" s="204"/>
      <c r="BR313" s="365"/>
      <c r="BS313" s="365"/>
      <c r="BT313" s="365"/>
      <c r="BU313" s="365"/>
      <c r="BV313" s="204"/>
      <c r="BW313" s="204"/>
      <c r="BX313" s="365"/>
      <c r="BY313" s="365"/>
      <c r="BZ313" s="365"/>
      <c r="CA313" s="365"/>
      <c r="CB313" s="204"/>
      <c r="CC313" s="204"/>
      <c r="CD313" s="365"/>
      <c r="CE313" s="365"/>
    </row>
    <row r="314" spans="1:83" x14ac:dyDescent="0.5">
      <c r="A314" s="259">
        <v>18075891</v>
      </c>
      <c r="B314" s="104" t="s">
        <v>143</v>
      </c>
      <c r="C314" s="105">
        <v>142</v>
      </c>
      <c r="D314" s="106" t="s">
        <v>184</v>
      </c>
      <c r="E314" s="107" t="s">
        <v>185</v>
      </c>
      <c r="F314" s="108">
        <v>231</v>
      </c>
      <c r="G314" s="211">
        <v>43392</v>
      </c>
      <c r="H314" s="164">
        <v>18377</v>
      </c>
      <c r="I314" s="127" t="s">
        <v>869</v>
      </c>
      <c r="J314" s="122">
        <v>43393</v>
      </c>
      <c r="K314" s="547" t="s">
        <v>139</v>
      </c>
      <c r="L314" s="547" t="s">
        <v>144</v>
      </c>
      <c r="M314" s="104" t="s">
        <v>52</v>
      </c>
      <c r="N314" s="260">
        <v>89719.63</v>
      </c>
      <c r="O314" s="260">
        <v>6280.37</v>
      </c>
      <c r="P314" s="260">
        <f t="shared" ref="P314:P336" si="64">SUM(N314:O314)</f>
        <v>96000</v>
      </c>
      <c r="Q314" s="311">
        <v>16000</v>
      </c>
      <c r="R314" s="165"/>
      <c r="S314" s="166"/>
      <c r="T314" s="167"/>
      <c r="U314" s="568"/>
      <c r="V314" s="551">
        <f>N314-Q314</f>
        <v>73719.63</v>
      </c>
      <c r="W314" s="552">
        <v>0.2</v>
      </c>
      <c r="X314" s="552">
        <f>V314*W314/100</f>
        <v>147.43926000000002</v>
      </c>
      <c r="Y314" s="553">
        <v>0.2</v>
      </c>
      <c r="Z314" s="120">
        <f>V314*Y314/100</f>
        <v>147.43926000000002</v>
      </c>
      <c r="AA314" s="123">
        <v>18110415</v>
      </c>
      <c r="AB314" s="124">
        <v>89719.63</v>
      </c>
      <c r="AC314" s="261">
        <f>AB314*7/100</f>
        <v>6280.3741</v>
      </c>
      <c r="AD314" s="261">
        <f>AB314+AC314</f>
        <v>96000.004100000006</v>
      </c>
      <c r="AE314" s="126">
        <v>43405</v>
      </c>
      <c r="AF314" s="127" t="s">
        <v>869</v>
      </c>
      <c r="AG314" s="127"/>
      <c r="AH314" s="127"/>
      <c r="AI314" s="103" t="s">
        <v>2233</v>
      </c>
      <c r="AJ314" s="128">
        <v>1</v>
      </c>
      <c r="AK314" s="129" t="s">
        <v>657</v>
      </c>
      <c r="AL314" s="130"/>
      <c r="AM314" s="130" t="s">
        <v>1205</v>
      </c>
      <c r="AN314" s="131">
        <v>1</v>
      </c>
      <c r="AO314" s="132" t="s">
        <v>634</v>
      </c>
      <c r="AP314" s="361"/>
      <c r="AQ314" s="361"/>
      <c r="AR314" s="128"/>
      <c r="AS314" s="128"/>
      <c r="AT314" s="361"/>
      <c r="AU314" s="133"/>
      <c r="AV314" s="361"/>
      <c r="AW314" s="361"/>
      <c r="AX314" s="128"/>
      <c r="AY314" s="128"/>
      <c r="AZ314" s="361"/>
      <c r="BA314" s="133"/>
      <c r="BB314" s="361"/>
      <c r="BC314" s="361"/>
      <c r="BD314" s="128"/>
      <c r="BE314" s="128"/>
      <c r="BF314" s="361"/>
      <c r="BG314" s="133"/>
      <c r="BH314" s="361"/>
      <c r="BI314" s="361"/>
      <c r="BJ314" s="128"/>
      <c r="BK314" s="128"/>
      <c r="BL314" s="361"/>
      <c r="BM314" s="361"/>
      <c r="BN314" s="361"/>
      <c r="BO314" s="361"/>
      <c r="BP314" s="128"/>
      <c r="BQ314" s="128"/>
      <c r="BR314" s="361"/>
      <c r="BS314" s="361"/>
      <c r="BT314" s="361"/>
      <c r="BU314" s="361"/>
      <c r="BV314" s="128"/>
      <c r="BW314" s="128"/>
      <c r="BX314" s="361"/>
      <c r="BY314" s="361"/>
      <c r="BZ314" s="361"/>
      <c r="CA314" s="128"/>
      <c r="CB314" s="128"/>
      <c r="CC314" s="128"/>
      <c r="CD314" s="128"/>
      <c r="CE314" s="128"/>
    </row>
    <row r="315" spans="1:83" x14ac:dyDescent="0.5">
      <c r="A315" s="268"/>
      <c r="B315" s="181"/>
      <c r="C315" s="182"/>
      <c r="D315" s="183"/>
      <c r="E315" s="184"/>
      <c r="F315" s="185"/>
      <c r="G315" s="186">
        <v>43392</v>
      </c>
      <c r="H315" s="187">
        <v>18378</v>
      </c>
      <c r="I315" s="199"/>
      <c r="J315" s="186"/>
      <c r="K315" s="240"/>
      <c r="L315" s="558"/>
      <c r="M315" s="181"/>
      <c r="N315" s="237"/>
      <c r="O315" s="237"/>
      <c r="P315" s="237"/>
      <c r="Q315" s="190"/>
      <c r="R315" s="191"/>
      <c r="S315" s="192"/>
      <c r="T315" s="193"/>
      <c r="U315" s="571"/>
      <c r="V315" s="560"/>
      <c r="W315" s="561"/>
      <c r="X315" s="561"/>
      <c r="Y315" s="562"/>
      <c r="Z315" s="198"/>
      <c r="AA315" s="200"/>
      <c r="AB315" s="201"/>
      <c r="AC315" s="240"/>
      <c r="AD315" s="240"/>
      <c r="AE315" s="241"/>
      <c r="AF315" s="199"/>
      <c r="AG315" s="199"/>
      <c r="AH315" s="199"/>
      <c r="AI315" s="180"/>
      <c r="AJ315" s="204"/>
      <c r="AK315" s="205"/>
      <c r="AL315" s="206"/>
      <c r="AM315" s="206"/>
      <c r="AN315" s="207"/>
      <c r="AO315" s="208"/>
      <c r="AP315" s="365"/>
      <c r="AQ315" s="365"/>
      <c r="AR315" s="204"/>
      <c r="AS315" s="204"/>
      <c r="AT315" s="365"/>
      <c r="AU315" s="210"/>
      <c r="AV315" s="365"/>
      <c r="AW315" s="365"/>
      <c r="AX315" s="204"/>
      <c r="AY315" s="204"/>
      <c r="AZ315" s="365"/>
      <c r="BA315" s="210"/>
      <c r="BB315" s="365"/>
      <c r="BC315" s="365"/>
      <c r="BD315" s="204"/>
      <c r="BE315" s="204"/>
      <c r="BF315" s="365"/>
      <c r="BG315" s="210"/>
      <c r="BH315" s="365"/>
      <c r="BI315" s="365"/>
      <c r="BJ315" s="204"/>
      <c r="BK315" s="204"/>
      <c r="BL315" s="365"/>
      <c r="BM315" s="365"/>
      <c r="BN315" s="365"/>
      <c r="BO315" s="365"/>
      <c r="BP315" s="204"/>
      <c r="BQ315" s="204"/>
      <c r="BR315" s="365"/>
      <c r="BS315" s="365"/>
      <c r="BT315" s="365"/>
      <c r="BU315" s="365"/>
      <c r="BV315" s="204"/>
      <c r="BW315" s="204"/>
      <c r="BX315" s="365"/>
      <c r="BY315" s="365"/>
      <c r="BZ315" s="365"/>
      <c r="CA315" s="204"/>
      <c r="CB315" s="204"/>
      <c r="CC315" s="204"/>
      <c r="CD315" s="204"/>
      <c r="CE315" s="204"/>
    </row>
    <row r="316" spans="1:83" x14ac:dyDescent="0.5">
      <c r="A316" s="259">
        <v>18075890</v>
      </c>
      <c r="B316" s="104" t="s">
        <v>145</v>
      </c>
      <c r="C316" s="105">
        <v>141</v>
      </c>
      <c r="D316" s="106" t="s">
        <v>184</v>
      </c>
      <c r="E316" s="107" t="s">
        <v>185</v>
      </c>
      <c r="F316" s="108">
        <v>166</v>
      </c>
      <c r="G316" s="211">
        <v>43300</v>
      </c>
      <c r="H316" s="164">
        <v>18248</v>
      </c>
      <c r="I316" s="127" t="s">
        <v>869</v>
      </c>
      <c r="J316" s="122">
        <v>43301</v>
      </c>
      <c r="K316" s="547" t="s">
        <v>139</v>
      </c>
      <c r="L316" s="548" t="s">
        <v>146</v>
      </c>
      <c r="M316" s="104" t="s">
        <v>52</v>
      </c>
      <c r="N316" s="260">
        <v>89719.63</v>
      </c>
      <c r="O316" s="260">
        <v>6280.37</v>
      </c>
      <c r="P316" s="260">
        <f t="shared" si="64"/>
        <v>96000</v>
      </c>
      <c r="Q316" s="311"/>
      <c r="R316" s="113"/>
      <c r="S316" s="114"/>
      <c r="T316" s="115"/>
      <c r="U316" s="550"/>
      <c r="V316" s="551"/>
      <c r="W316" s="552"/>
      <c r="X316" s="552">
        <v>130.88999999999999</v>
      </c>
      <c r="Y316" s="553"/>
      <c r="Z316" s="120"/>
      <c r="AA316" s="123">
        <v>18070287</v>
      </c>
      <c r="AB316" s="124">
        <v>89719.63</v>
      </c>
      <c r="AC316" s="261">
        <f t="shared" ref="AC316:AC336" si="65">AB316*7/100</f>
        <v>6280.3741</v>
      </c>
      <c r="AD316" s="261">
        <f t="shared" ref="AD316:AD336" si="66">AB316+AC316</f>
        <v>96000.004100000006</v>
      </c>
      <c r="AE316" s="126">
        <v>43301</v>
      </c>
      <c r="AF316" s="127" t="s">
        <v>869</v>
      </c>
      <c r="AG316" s="127"/>
      <c r="AH316" s="127"/>
      <c r="AI316" s="103" t="s">
        <v>1090</v>
      </c>
      <c r="AJ316" s="128">
        <v>1</v>
      </c>
      <c r="AK316" s="129" t="s">
        <v>658</v>
      </c>
      <c r="AL316" s="130"/>
      <c r="AM316" s="130" t="s">
        <v>1205</v>
      </c>
      <c r="AN316" s="131">
        <v>1</v>
      </c>
      <c r="AO316" s="132" t="s">
        <v>634</v>
      </c>
      <c r="AP316" s="361"/>
      <c r="AQ316" s="361"/>
      <c r="AR316" s="128"/>
      <c r="AS316" s="128"/>
      <c r="AT316" s="361"/>
      <c r="AU316" s="133"/>
      <c r="AV316" s="361"/>
      <c r="AW316" s="361"/>
      <c r="AX316" s="128"/>
      <c r="AY316" s="128"/>
      <c r="AZ316" s="361"/>
      <c r="BA316" s="133"/>
      <c r="BB316" s="361"/>
      <c r="BC316" s="361"/>
      <c r="BD316" s="128"/>
      <c r="BE316" s="128"/>
      <c r="BF316" s="361"/>
      <c r="BG316" s="133"/>
      <c r="BH316" s="361"/>
      <c r="BI316" s="361"/>
      <c r="BJ316" s="128"/>
      <c r="BK316" s="128"/>
      <c r="BL316" s="361"/>
      <c r="BM316" s="361"/>
      <c r="BN316" s="361"/>
      <c r="BO316" s="361"/>
      <c r="BP316" s="128"/>
      <c r="BQ316" s="128"/>
      <c r="BR316" s="361"/>
      <c r="BS316" s="361"/>
      <c r="BT316" s="361"/>
      <c r="BU316" s="361"/>
      <c r="BV316" s="128"/>
      <c r="BW316" s="128"/>
      <c r="BX316" s="361"/>
      <c r="BY316" s="361"/>
      <c r="BZ316" s="361"/>
      <c r="CA316" s="361"/>
      <c r="CB316" s="128"/>
      <c r="CC316" s="128"/>
      <c r="CD316" s="361"/>
      <c r="CE316" s="361"/>
    </row>
    <row r="317" spans="1:83" x14ac:dyDescent="0.5">
      <c r="A317" s="262"/>
      <c r="B317" s="135"/>
      <c r="C317" s="136"/>
      <c r="D317" s="137"/>
      <c r="E317" s="138"/>
      <c r="F317" s="139"/>
      <c r="G317" s="179">
        <v>43300</v>
      </c>
      <c r="H317" s="140">
        <v>18249</v>
      </c>
      <c r="I317" s="152"/>
      <c r="J317" s="179"/>
      <c r="K317" s="255"/>
      <c r="L317" s="300"/>
      <c r="M317" s="135"/>
      <c r="N317" s="253"/>
      <c r="O317" s="253"/>
      <c r="P317" s="253"/>
      <c r="Q317" s="143"/>
      <c r="R317" s="144"/>
      <c r="S317" s="145"/>
      <c r="T317" s="146"/>
      <c r="U317" s="529"/>
      <c r="V317" s="555"/>
      <c r="W317" s="556"/>
      <c r="X317" s="556"/>
      <c r="Y317" s="557"/>
      <c r="Z317" s="151"/>
      <c r="AA317" s="154"/>
      <c r="AB317" s="155"/>
      <c r="AC317" s="263"/>
      <c r="AD317" s="263"/>
      <c r="AE317" s="157"/>
      <c r="AF317" s="152"/>
      <c r="AG317" s="152"/>
      <c r="AH317" s="152"/>
      <c r="AI317" s="134"/>
      <c r="AJ317" s="158"/>
      <c r="AK317" s="159"/>
      <c r="AL317" s="160"/>
      <c r="AM317" s="160"/>
      <c r="AN317" s="161"/>
      <c r="AO317" s="162"/>
      <c r="AP317" s="458"/>
      <c r="AQ317" s="458"/>
      <c r="AR317" s="158"/>
      <c r="AS317" s="158"/>
      <c r="AT317" s="458"/>
      <c r="AU317" s="163"/>
      <c r="AV317" s="458"/>
      <c r="AW317" s="458"/>
      <c r="AX317" s="158"/>
      <c r="AY317" s="158"/>
      <c r="AZ317" s="458"/>
      <c r="BA317" s="163"/>
      <c r="BB317" s="458"/>
      <c r="BC317" s="458"/>
      <c r="BD317" s="158"/>
      <c r="BE317" s="158"/>
      <c r="BF317" s="458"/>
      <c r="BG317" s="163"/>
      <c r="BH317" s="458"/>
      <c r="BI317" s="458"/>
      <c r="BJ317" s="158"/>
      <c r="BK317" s="158"/>
      <c r="BL317" s="458"/>
      <c r="BM317" s="458"/>
      <c r="BN317" s="458"/>
      <c r="BO317" s="458"/>
      <c r="BP317" s="158"/>
      <c r="BQ317" s="158"/>
      <c r="BR317" s="458"/>
      <c r="BS317" s="458"/>
      <c r="BT317" s="458"/>
      <c r="BU317" s="458"/>
      <c r="BV317" s="158"/>
      <c r="BW317" s="158"/>
      <c r="BX317" s="458"/>
      <c r="BY317" s="458"/>
      <c r="BZ317" s="458"/>
      <c r="CA317" s="458"/>
      <c r="CB317" s="158"/>
      <c r="CC317" s="158"/>
      <c r="CD317" s="458"/>
      <c r="CE317" s="458"/>
    </row>
    <row r="318" spans="1:83" x14ac:dyDescent="0.5">
      <c r="A318" s="369">
        <v>18075889</v>
      </c>
      <c r="B318" s="370">
        <v>18070602</v>
      </c>
      <c r="C318" s="371">
        <v>140</v>
      </c>
      <c r="D318" s="372" t="s">
        <v>184</v>
      </c>
      <c r="E318" s="373" t="s">
        <v>185</v>
      </c>
      <c r="F318" s="623">
        <v>158</v>
      </c>
      <c r="G318" s="221">
        <v>43293</v>
      </c>
      <c r="H318" s="523">
        <v>18238</v>
      </c>
      <c r="I318" s="368" t="s">
        <v>869</v>
      </c>
      <c r="J318" s="211">
        <v>43294</v>
      </c>
      <c r="K318" s="375" t="s">
        <v>147</v>
      </c>
      <c r="L318" s="375" t="s">
        <v>148</v>
      </c>
      <c r="M318" s="375" t="s">
        <v>52</v>
      </c>
      <c r="N318" s="376">
        <v>130841.12</v>
      </c>
      <c r="O318" s="376">
        <v>9158.8799999999992</v>
      </c>
      <c r="P318" s="376">
        <f t="shared" si="64"/>
        <v>140000</v>
      </c>
      <c r="Q318" s="470"/>
      <c r="R318" s="471"/>
      <c r="S318" s="472"/>
      <c r="T318" s="380"/>
      <c r="U318" s="381">
        <v>6542.05</v>
      </c>
      <c r="V318" s="474"/>
      <c r="W318" s="475"/>
      <c r="X318" s="383">
        <v>335.6</v>
      </c>
      <c r="Y318" s="476"/>
      <c r="Z318" s="477"/>
      <c r="AA318" s="229">
        <v>18070270</v>
      </c>
      <c r="AB318" s="624">
        <v>130841.12</v>
      </c>
      <c r="AC318" s="625">
        <f t="shared" si="65"/>
        <v>9158.8783999999996</v>
      </c>
      <c r="AD318" s="625">
        <f t="shared" si="66"/>
        <v>139999.99839999998</v>
      </c>
      <c r="AE318" s="221">
        <v>43292</v>
      </c>
      <c r="AF318" s="121" t="s">
        <v>869</v>
      </c>
      <c r="AG318" s="626"/>
      <c r="AH318" s="121"/>
      <c r="AI318" s="222" t="s">
        <v>1044</v>
      </c>
      <c r="AJ318" s="390">
        <v>1</v>
      </c>
      <c r="AK318" s="394" t="s">
        <v>739</v>
      </c>
      <c r="AL318" s="131"/>
      <c r="AM318" s="392" t="s">
        <v>1205</v>
      </c>
      <c r="AN318" s="392">
        <v>2</v>
      </c>
      <c r="AO318" s="393" t="s">
        <v>634</v>
      </c>
      <c r="AP318" s="390">
        <v>2</v>
      </c>
      <c r="AQ318" s="394" t="s">
        <v>740</v>
      </c>
      <c r="AR318" s="131"/>
      <c r="AS318" s="392" t="s">
        <v>1205</v>
      </c>
      <c r="AT318" s="392">
        <v>1</v>
      </c>
      <c r="AU318" s="393" t="s">
        <v>634</v>
      </c>
      <c r="AV318" s="361"/>
      <c r="AW318" s="361"/>
      <c r="AX318" s="128"/>
      <c r="AY318" s="128"/>
      <c r="AZ318" s="361"/>
      <c r="BA318" s="361"/>
      <c r="BB318" s="361"/>
      <c r="BC318" s="361"/>
      <c r="BD318" s="128"/>
      <c r="BE318" s="128"/>
      <c r="BF318" s="361"/>
      <c r="BG318" s="361"/>
      <c r="BH318" s="361"/>
      <c r="BI318" s="361"/>
      <c r="BJ318" s="128"/>
      <c r="BK318" s="128"/>
      <c r="BL318" s="361"/>
      <c r="BM318" s="361"/>
      <c r="BN318" s="361"/>
      <c r="BO318" s="361"/>
      <c r="BP318" s="128"/>
      <c r="BQ318" s="128"/>
      <c r="BR318" s="361"/>
      <c r="BS318" s="361"/>
      <c r="BT318" s="361"/>
      <c r="BU318" s="361"/>
      <c r="BV318" s="128"/>
      <c r="BW318" s="128"/>
      <c r="BX318" s="361"/>
      <c r="BY318" s="361"/>
      <c r="BZ318" s="361"/>
      <c r="CA318" s="361"/>
      <c r="CB318" s="128"/>
      <c r="CC318" s="128"/>
      <c r="CD318" s="361"/>
      <c r="CE318" s="361"/>
    </row>
    <row r="319" spans="1:83" x14ac:dyDescent="0.5">
      <c r="A319" s="481"/>
      <c r="B319" s="256"/>
      <c r="C319" s="482"/>
      <c r="D319" s="483"/>
      <c r="E319" s="484"/>
      <c r="F319" s="527">
        <v>172</v>
      </c>
      <c r="G319" s="157">
        <v>43305</v>
      </c>
      <c r="H319" s="627">
        <v>18255</v>
      </c>
      <c r="I319" s="446"/>
      <c r="J319" s="178">
        <v>43306</v>
      </c>
      <c r="K319" s="433"/>
      <c r="L319" s="433"/>
      <c r="M319" s="433"/>
      <c r="N319" s="436"/>
      <c r="O319" s="436"/>
      <c r="P319" s="436"/>
      <c r="Q319" s="486"/>
      <c r="R319" s="487"/>
      <c r="S319" s="488"/>
      <c r="T319" s="440"/>
      <c r="U319" s="441"/>
      <c r="V319" s="490"/>
      <c r="W319" s="491"/>
      <c r="X319" s="443"/>
      <c r="Y319" s="492"/>
      <c r="Z319" s="493"/>
      <c r="AA319" s="292">
        <v>18070270</v>
      </c>
      <c r="AB319" s="628">
        <v>130841.12</v>
      </c>
      <c r="AC319" s="629">
        <f t="shared" si="65"/>
        <v>9158.8783999999996</v>
      </c>
      <c r="AD319" s="629">
        <f t="shared" si="66"/>
        <v>139999.99839999998</v>
      </c>
      <c r="AE319" s="295">
        <v>43292</v>
      </c>
      <c r="AF319" s="296"/>
      <c r="AG319" s="630"/>
      <c r="AH319" s="296"/>
      <c r="AI319" s="308" t="s">
        <v>1086</v>
      </c>
      <c r="AJ319" s="453"/>
      <c r="AK319" s="448"/>
      <c r="AL319" s="161"/>
      <c r="AM319" s="454"/>
      <c r="AN319" s="454"/>
      <c r="AO319" s="457"/>
      <c r="AP319" s="453"/>
      <c r="AQ319" s="448"/>
      <c r="AR319" s="161"/>
      <c r="AS319" s="454"/>
      <c r="AT319" s="454"/>
      <c r="AU319" s="457"/>
      <c r="AV319" s="458"/>
      <c r="AW319" s="458"/>
      <c r="AX319" s="158"/>
      <c r="AY319" s="158"/>
      <c r="AZ319" s="458"/>
      <c r="BA319" s="458"/>
      <c r="BB319" s="458"/>
      <c r="BC319" s="458"/>
      <c r="BD319" s="158"/>
      <c r="BE319" s="158"/>
      <c r="BF319" s="458"/>
      <c r="BG319" s="458"/>
      <c r="BH319" s="458"/>
      <c r="BI319" s="458"/>
      <c r="BJ319" s="158"/>
      <c r="BK319" s="158"/>
      <c r="BL319" s="458"/>
      <c r="BM319" s="458"/>
      <c r="BN319" s="458"/>
      <c r="BO319" s="458"/>
      <c r="BP319" s="158"/>
      <c r="BQ319" s="158"/>
      <c r="BR319" s="458"/>
      <c r="BS319" s="458"/>
      <c r="BT319" s="458"/>
      <c r="BU319" s="458"/>
      <c r="BV319" s="158"/>
      <c r="BW319" s="158"/>
      <c r="BX319" s="458"/>
      <c r="BY319" s="458"/>
      <c r="BZ319" s="458"/>
      <c r="CA319" s="458"/>
      <c r="CB319" s="158"/>
      <c r="CC319" s="158"/>
      <c r="CD319" s="458"/>
      <c r="CE319" s="458"/>
    </row>
    <row r="320" spans="1:83" x14ac:dyDescent="0.5">
      <c r="A320" s="396"/>
      <c r="B320" s="241"/>
      <c r="C320" s="397"/>
      <c r="D320" s="398"/>
      <c r="E320" s="399"/>
      <c r="F320" s="400">
        <v>196</v>
      </c>
      <c r="G320" s="203">
        <v>43354</v>
      </c>
      <c r="H320" s="543">
        <v>18301</v>
      </c>
      <c r="I320" s="412"/>
      <c r="J320" s="186">
        <v>43355</v>
      </c>
      <c r="K320" s="401" t="s">
        <v>147</v>
      </c>
      <c r="L320" s="401" t="s">
        <v>148</v>
      </c>
      <c r="M320" s="401"/>
      <c r="N320" s="402"/>
      <c r="O320" s="402"/>
      <c r="P320" s="402"/>
      <c r="Q320" s="586"/>
      <c r="R320" s="502"/>
      <c r="S320" s="503"/>
      <c r="T320" s="406"/>
      <c r="U320" s="407"/>
      <c r="V320" s="505"/>
      <c r="W320" s="506"/>
      <c r="X320" s="409"/>
      <c r="Y320" s="507"/>
      <c r="Z320" s="508"/>
      <c r="AA320" s="200">
        <v>18070270</v>
      </c>
      <c r="AB320" s="509">
        <v>130841.12</v>
      </c>
      <c r="AC320" s="631">
        <f t="shared" si="65"/>
        <v>9158.8783999999996</v>
      </c>
      <c r="AD320" s="631">
        <f t="shared" si="66"/>
        <v>139999.99839999998</v>
      </c>
      <c r="AE320" s="203">
        <v>43292</v>
      </c>
      <c r="AF320" s="199"/>
      <c r="AG320" s="615"/>
      <c r="AH320" s="199"/>
      <c r="AI320" s="180" t="s">
        <v>1095</v>
      </c>
      <c r="AJ320" s="420"/>
      <c r="AK320" s="413"/>
      <c r="AL320" s="207"/>
      <c r="AM320" s="418"/>
      <c r="AN320" s="418"/>
      <c r="AO320" s="419"/>
      <c r="AP320" s="420"/>
      <c r="AQ320" s="413"/>
      <c r="AR320" s="207"/>
      <c r="AS320" s="418"/>
      <c r="AT320" s="418"/>
      <c r="AU320" s="419"/>
      <c r="AV320" s="365"/>
      <c r="AW320" s="365"/>
      <c r="AX320" s="204"/>
      <c r="AY320" s="204"/>
      <c r="AZ320" s="365"/>
      <c r="BA320" s="365"/>
      <c r="BB320" s="365"/>
      <c r="BC320" s="365"/>
      <c r="BD320" s="204"/>
      <c r="BE320" s="204"/>
      <c r="BF320" s="365"/>
      <c r="BG320" s="365"/>
      <c r="BH320" s="365"/>
      <c r="BI320" s="365"/>
      <c r="BJ320" s="204"/>
      <c r="BK320" s="204"/>
      <c r="BL320" s="365"/>
      <c r="BM320" s="365"/>
      <c r="BN320" s="365"/>
      <c r="BO320" s="365"/>
      <c r="BP320" s="204"/>
      <c r="BQ320" s="204"/>
      <c r="BR320" s="365"/>
      <c r="BS320" s="365"/>
      <c r="BT320" s="365"/>
      <c r="BU320" s="365"/>
      <c r="BV320" s="204"/>
      <c r="BW320" s="204"/>
      <c r="BX320" s="365"/>
      <c r="BY320" s="365"/>
      <c r="BZ320" s="365"/>
      <c r="CA320" s="365"/>
      <c r="CB320" s="204"/>
      <c r="CC320" s="204"/>
      <c r="CD320" s="365"/>
      <c r="CE320" s="365"/>
    </row>
    <row r="321" spans="1:83" x14ac:dyDescent="0.5">
      <c r="A321" s="259">
        <v>18075888</v>
      </c>
      <c r="B321" s="104">
        <v>18060505</v>
      </c>
      <c r="C321" s="105">
        <v>139</v>
      </c>
      <c r="D321" s="106" t="s">
        <v>184</v>
      </c>
      <c r="E321" s="107" t="s">
        <v>185</v>
      </c>
      <c r="F321" s="108">
        <v>164</v>
      </c>
      <c r="G321" s="211">
        <v>43299</v>
      </c>
      <c r="H321" s="164">
        <v>18244</v>
      </c>
      <c r="I321" s="127" t="s">
        <v>869</v>
      </c>
      <c r="J321" s="104" t="s">
        <v>151</v>
      </c>
      <c r="K321" s="547" t="s">
        <v>149</v>
      </c>
      <c r="L321" s="548" t="s">
        <v>150</v>
      </c>
      <c r="M321" s="104" t="s">
        <v>68</v>
      </c>
      <c r="N321" s="260">
        <v>127102.8</v>
      </c>
      <c r="O321" s="260">
        <v>8897.2000000000007</v>
      </c>
      <c r="P321" s="260">
        <f t="shared" si="64"/>
        <v>136000</v>
      </c>
      <c r="Q321" s="212"/>
      <c r="R321" s="165"/>
      <c r="S321" s="166"/>
      <c r="T321" s="167"/>
      <c r="U321" s="568"/>
      <c r="V321" s="551">
        <f>N321</f>
        <v>127102.8</v>
      </c>
      <c r="W321" s="552">
        <v>0.34</v>
      </c>
      <c r="X321" s="552">
        <f>V321*W321/100</f>
        <v>432.14952000000005</v>
      </c>
      <c r="Y321" s="553">
        <v>0.2</v>
      </c>
      <c r="Z321" s="120">
        <f>V321*Y321/100</f>
        <v>254.2056</v>
      </c>
      <c r="AA321" s="123">
        <v>18080295</v>
      </c>
      <c r="AB321" s="230">
        <v>38130.839999999997</v>
      </c>
      <c r="AC321" s="234">
        <f t="shared" si="65"/>
        <v>2669.1588000000002</v>
      </c>
      <c r="AD321" s="234">
        <f t="shared" si="66"/>
        <v>40799.998799999994</v>
      </c>
      <c r="AE321" s="221">
        <v>43318</v>
      </c>
      <c r="AF321" s="121" t="s">
        <v>869</v>
      </c>
      <c r="AG321" s="121"/>
      <c r="AH321" s="121"/>
      <c r="AI321" s="222" t="s">
        <v>1027</v>
      </c>
      <c r="AJ321" s="128">
        <v>1</v>
      </c>
      <c r="AK321" s="129" t="s">
        <v>787</v>
      </c>
      <c r="AL321" s="130"/>
      <c r="AM321" s="130" t="s">
        <v>1205</v>
      </c>
      <c r="AN321" s="131">
        <v>4</v>
      </c>
      <c r="AO321" s="132" t="s">
        <v>634</v>
      </c>
      <c r="AP321" s="361"/>
      <c r="AQ321" s="361"/>
      <c r="AR321" s="128"/>
      <c r="AS321" s="128"/>
      <c r="AT321" s="361"/>
      <c r="AU321" s="133"/>
      <c r="AV321" s="361"/>
      <c r="AW321" s="361"/>
      <c r="AX321" s="128"/>
      <c r="AY321" s="128"/>
      <c r="AZ321" s="361"/>
      <c r="BA321" s="133"/>
      <c r="BB321" s="361"/>
      <c r="BC321" s="361"/>
      <c r="BD321" s="128"/>
      <c r="BE321" s="128"/>
      <c r="BF321" s="361"/>
      <c r="BG321" s="133"/>
      <c r="BH321" s="361"/>
      <c r="BI321" s="361"/>
      <c r="BJ321" s="128"/>
      <c r="BK321" s="128"/>
      <c r="BL321" s="361"/>
      <c r="BM321" s="361"/>
      <c r="BN321" s="361"/>
      <c r="BO321" s="361"/>
      <c r="BP321" s="128"/>
      <c r="BQ321" s="128"/>
      <c r="BR321" s="361"/>
      <c r="BS321" s="361"/>
      <c r="BT321" s="361"/>
      <c r="BU321" s="361"/>
      <c r="BV321" s="128"/>
      <c r="BW321" s="128"/>
      <c r="BX321" s="361"/>
      <c r="BY321" s="361"/>
      <c r="BZ321" s="361"/>
      <c r="CA321" s="128"/>
      <c r="CB321" s="128"/>
      <c r="CC321" s="128"/>
      <c r="CD321" s="128"/>
      <c r="CE321" s="128"/>
    </row>
    <row r="322" spans="1:83" x14ac:dyDescent="0.5">
      <c r="A322" s="262"/>
      <c r="B322" s="135"/>
      <c r="C322" s="136"/>
      <c r="D322" s="137"/>
      <c r="E322" s="138"/>
      <c r="F322" s="139"/>
      <c r="G322" s="178">
        <v>43299</v>
      </c>
      <c r="H322" s="171">
        <v>18245</v>
      </c>
      <c r="I322" s="152"/>
      <c r="J322" s="135"/>
      <c r="K322" s="255"/>
      <c r="L322" s="300"/>
      <c r="M322" s="135"/>
      <c r="N322" s="253"/>
      <c r="O322" s="253"/>
      <c r="P322" s="253"/>
      <c r="Q322" s="213"/>
      <c r="R322" s="172"/>
      <c r="S322" s="173"/>
      <c r="T322" s="174"/>
      <c r="U322" s="570"/>
      <c r="V322" s="555"/>
      <c r="W322" s="556"/>
      <c r="X322" s="556"/>
      <c r="Y322" s="557"/>
      <c r="Z322" s="151"/>
      <c r="AA322" s="292">
        <v>18080296</v>
      </c>
      <c r="AB322" s="293">
        <v>88971.96</v>
      </c>
      <c r="AC322" s="532">
        <f t="shared" ref="AC322" si="67">AB322*7/100</f>
        <v>6228.0372000000007</v>
      </c>
      <c r="AD322" s="532">
        <f t="shared" ref="AD322" si="68">AB322+AC322</f>
        <v>95199.997200000013</v>
      </c>
      <c r="AE322" s="295">
        <v>43348</v>
      </c>
      <c r="AF322" s="296" t="s">
        <v>869</v>
      </c>
      <c r="AG322" s="296"/>
      <c r="AH322" s="296"/>
      <c r="AI322" s="308" t="s">
        <v>1027</v>
      </c>
      <c r="AJ322" s="158"/>
      <c r="AK322" s="159"/>
      <c r="AL322" s="160"/>
      <c r="AM322" s="160"/>
      <c r="AN322" s="161"/>
      <c r="AO322" s="162"/>
      <c r="AP322" s="458"/>
      <c r="AQ322" s="458"/>
      <c r="AR322" s="158"/>
      <c r="AS322" s="158"/>
      <c r="AT322" s="458"/>
      <c r="AU322" s="163"/>
      <c r="AV322" s="458"/>
      <c r="AW322" s="458"/>
      <c r="AX322" s="158"/>
      <c r="AY322" s="158"/>
      <c r="AZ322" s="458"/>
      <c r="BA322" s="163"/>
      <c r="BB322" s="458"/>
      <c r="BC322" s="458"/>
      <c r="BD322" s="158"/>
      <c r="BE322" s="158"/>
      <c r="BF322" s="458"/>
      <c r="BG322" s="163"/>
      <c r="BH322" s="458"/>
      <c r="BI322" s="458"/>
      <c r="BJ322" s="158"/>
      <c r="BK322" s="158"/>
      <c r="BL322" s="458"/>
      <c r="BM322" s="458"/>
      <c r="BN322" s="458"/>
      <c r="BO322" s="458"/>
      <c r="BP322" s="158"/>
      <c r="BQ322" s="158"/>
      <c r="BR322" s="458"/>
      <c r="BS322" s="458"/>
      <c r="BT322" s="458"/>
      <c r="BU322" s="458"/>
      <c r="BV322" s="158"/>
      <c r="BW322" s="158"/>
      <c r="BX322" s="458"/>
      <c r="BY322" s="458"/>
      <c r="BZ322" s="458"/>
      <c r="CA322" s="158"/>
      <c r="CB322" s="158"/>
      <c r="CC322" s="158"/>
      <c r="CD322" s="158"/>
      <c r="CE322" s="158"/>
    </row>
    <row r="323" spans="1:83" x14ac:dyDescent="0.5">
      <c r="A323" s="262"/>
      <c r="B323" s="135"/>
      <c r="C323" s="136"/>
      <c r="D323" s="137"/>
      <c r="E323" s="138"/>
      <c r="F323" s="139"/>
      <c r="G323" s="170">
        <v>43299</v>
      </c>
      <c r="H323" s="251">
        <v>18246</v>
      </c>
      <c r="I323" s="152"/>
      <c r="J323" s="135"/>
      <c r="K323" s="255"/>
      <c r="L323" s="300"/>
      <c r="M323" s="135"/>
      <c r="N323" s="253"/>
      <c r="O323" s="253"/>
      <c r="P323" s="253"/>
      <c r="Q323" s="213"/>
      <c r="R323" s="172"/>
      <c r="S323" s="173"/>
      <c r="T323" s="174"/>
      <c r="U323" s="570"/>
      <c r="V323" s="555"/>
      <c r="W323" s="556"/>
      <c r="X323" s="556"/>
      <c r="Y323" s="557"/>
      <c r="Z323" s="151"/>
      <c r="AA323" s="154"/>
      <c r="AB323" s="155"/>
      <c r="AC323" s="263"/>
      <c r="AD323" s="263"/>
      <c r="AE323" s="157"/>
      <c r="AF323" s="152"/>
      <c r="AG323" s="152"/>
      <c r="AH323" s="152"/>
      <c r="AI323" s="134"/>
      <c r="AJ323" s="158"/>
      <c r="AK323" s="159"/>
      <c r="AL323" s="160"/>
      <c r="AM323" s="160"/>
      <c r="AN323" s="161"/>
      <c r="AO323" s="162"/>
      <c r="AP323" s="458"/>
      <c r="AQ323" s="458"/>
      <c r="AR323" s="158"/>
      <c r="AS323" s="158"/>
      <c r="AT323" s="458"/>
      <c r="AU323" s="163"/>
      <c r="AV323" s="458"/>
      <c r="AW323" s="458"/>
      <c r="AX323" s="158"/>
      <c r="AY323" s="158"/>
      <c r="AZ323" s="458"/>
      <c r="BA323" s="163"/>
      <c r="BB323" s="458"/>
      <c r="BC323" s="458"/>
      <c r="BD323" s="158"/>
      <c r="BE323" s="158"/>
      <c r="BF323" s="458"/>
      <c r="BG323" s="163"/>
      <c r="BH323" s="458"/>
      <c r="BI323" s="458"/>
      <c r="BJ323" s="158"/>
      <c r="BK323" s="158"/>
      <c r="BL323" s="458"/>
      <c r="BM323" s="458"/>
      <c r="BN323" s="458"/>
      <c r="BO323" s="458"/>
      <c r="BP323" s="158"/>
      <c r="BQ323" s="158"/>
      <c r="BR323" s="458"/>
      <c r="BS323" s="458"/>
      <c r="BT323" s="458"/>
      <c r="BU323" s="458"/>
      <c r="BV323" s="158"/>
      <c r="BW323" s="158"/>
      <c r="BX323" s="458"/>
      <c r="BY323" s="458"/>
      <c r="BZ323" s="458"/>
      <c r="CA323" s="158"/>
      <c r="CB323" s="158"/>
      <c r="CC323" s="158"/>
      <c r="CD323" s="158"/>
      <c r="CE323" s="158"/>
    </row>
    <row r="324" spans="1:83" x14ac:dyDescent="0.5">
      <c r="A324" s="268"/>
      <c r="B324" s="181"/>
      <c r="C324" s="182"/>
      <c r="D324" s="183"/>
      <c r="E324" s="184"/>
      <c r="F324" s="185"/>
      <c r="G324" s="186">
        <v>43299</v>
      </c>
      <c r="H324" s="187">
        <v>18247</v>
      </c>
      <c r="I324" s="199"/>
      <c r="J324" s="181"/>
      <c r="K324" s="240"/>
      <c r="L324" s="558"/>
      <c r="M324" s="181"/>
      <c r="N324" s="237"/>
      <c r="O324" s="237"/>
      <c r="P324" s="237"/>
      <c r="Q324" s="214"/>
      <c r="R324" s="191"/>
      <c r="S324" s="192"/>
      <c r="T324" s="193"/>
      <c r="U324" s="571"/>
      <c r="V324" s="560"/>
      <c r="W324" s="561"/>
      <c r="X324" s="561"/>
      <c r="Y324" s="562"/>
      <c r="Z324" s="198"/>
      <c r="AA324" s="200"/>
      <c r="AB324" s="201"/>
      <c r="AC324" s="238"/>
      <c r="AD324" s="238"/>
      <c r="AE324" s="203"/>
      <c r="AF324" s="199"/>
      <c r="AG324" s="199"/>
      <c r="AH324" s="199"/>
      <c r="AI324" s="180"/>
      <c r="AJ324" s="204"/>
      <c r="AK324" s="205"/>
      <c r="AL324" s="206"/>
      <c r="AM324" s="206"/>
      <c r="AN324" s="207"/>
      <c r="AO324" s="208"/>
      <c r="AP324" s="365"/>
      <c r="AQ324" s="365"/>
      <c r="AR324" s="204"/>
      <c r="AS324" s="204"/>
      <c r="AT324" s="365"/>
      <c r="AU324" s="210"/>
      <c r="AV324" s="365"/>
      <c r="AW324" s="365"/>
      <c r="AX324" s="204"/>
      <c r="AY324" s="204"/>
      <c r="AZ324" s="365"/>
      <c r="BA324" s="210"/>
      <c r="BB324" s="365"/>
      <c r="BC324" s="365"/>
      <c r="BD324" s="204"/>
      <c r="BE324" s="204"/>
      <c r="BF324" s="365"/>
      <c r="BG324" s="210"/>
      <c r="BH324" s="365"/>
      <c r="BI324" s="365"/>
      <c r="BJ324" s="204"/>
      <c r="BK324" s="204"/>
      <c r="BL324" s="365"/>
      <c r="BM324" s="365"/>
      <c r="BN324" s="365"/>
      <c r="BO324" s="365"/>
      <c r="BP324" s="204"/>
      <c r="BQ324" s="204"/>
      <c r="BR324" s="365"/>
      <c r="BS324" s="365"/>
      <c r="BT324" s="365"/>
      <c r="BU324" s="365"/>
      <c r="BV324" s="204"/>
      <c r="BW324" s="204"/>
      <c r="BX324" s="365"/>
      <c r="BY324" s="365"/>
      <c r="BZ324" s="365"/>
      <c r="CA324" s="204"/>
      <c r="CB324" s="204"/>
      <c r="CC324" s="204"/>
      <c r="CD324" s="204"/>
      <c r="CE324" s="204"/>
    </row>
    <row r="325" spans="1:83" x14ac:dyDescent="0.5">
      <c r="A325" s="21">
        <v>18075887</v>
      </c>
      <c r="B325" s="22">
        <v>18070601</v>
      </c>
      <c r="C325" s="23">
        <v>138</v>
      </c>
      <c r="D325" s="24" t="s">
        <v>184</v>
      </c>
      <c r="E325" s="25" t="s">
        <v>185</v>
      </c>
      <c r="F325" s="26">
        <v>161</v>
      </c>
      <c r="G325" s="62">
        <v>43295</v>
      </c>
      <c r="H325" s="27">
        <v>18239</v>
      </c>
      <c r="I325" s="39" t="s">
        <v>869</v>
      </c>
      <c r="J325" s="62">
        <v>43297</v>
      </c>
      <c r="K325" s="42" t="s">
        <v>84</v>
      </c>
      <c r="L325" s="520" t="s">
        <v>152</v>
      </c>
      <c r="M325" s="22" t="s">
        <v>51</v>
      </c>
      <c r="N325" s="63">
        <v>22550</v>
      </c>
      <c r="O325" s="63">
        <v>1578.5</v>
      </c>
      <c r="P325" s="63">
        <f t="shared" si="64"/>
        <v>24128.5</v>
      </c>
      <c r="AA325" s="40">
        <v>18090328</v>
      </c>
      <c r="AB325" s="41">
        <v>22550</v>
      </c>
      <c r="AC325" s="64">
        <f t="shared" si="65"/>
        <v>1578.5</v>
      </c>
      <c r="AD325" s="64">
        <f t="shared" si="66"/>
        <v>24128.5</v>
      </c>
      <c r="AE325" s="53">
        <v>43410</v>
      </c>
      <c r="AH325" s="39" t="s">
        <v>869</v>
      </c>
      <c r="AI325" s="21" t="s">
        <v>873</v>
      </c>
      <c r="AJ325" s="44">
        <v>1</v>
      </c>
      <c r="AK325" s="45" t="s">
        <v>786</v>
      </c>
      <c r="AM325" s="46" t="s">
        <v>1205</v>
      </c>
      <c r="AN325" s="47">
        <v>1</v>
      </c>
      <c r="AO325" s="48" t="s">
        <v>636</v>
      </c>
      <c r="AP325" s="356"/>
      <c r="AQ325" s="356"/>
      <c r="AR325" s="44"/>
      <c r="AS325" s="44"/>
      <c r="AT325" s="356"/>
      <c r="AU325" s="54"/>
      <c r="AV325" s="356"/>
      <c r="AW325" s="356"/>
      <c r="AX325" s="44"/>
      <c r="AY325" s="44"/>
      <c r="AZ325" s="356"/>
      <c r="BA325" s="54"/>
      <c r="BB325" s="356"/>
      <c r="BC325" s="356"/>
      <c r="BD325" s="44"/>
      <c r="BE325" s="44"/>
      <c r="BF325" s="356"/>
      <c r="BG325" s="54"/>
      <c r="BH325" s="356"/>
      <c r="BI325" s="356"/>
      <c r="BJ325" s="44"/>
      <c r="BK325" s="44"/>
      <c r="BL325" s="356"/>
      <c r="BM325" s="356"/>
      <c r="BN325" s="356"/>
      <c r="BO325" s="356"/>
      <c r="BP325" s="44"/>
      <c r="BQ325" s="44"/>
      <c r="BR325" s="356"/>
      <c r="BS325" s="356"/>
      <c r="BT325" s="356"/>
      <c r="BU325" s="356"/>
      <c r="BV325" s="44"/>
      <c r="BW325" s="44"/>
      <c r="BX325" s="356"/>
      <c r="BY325" s="356"/>
      <c r="BZ325" s="356"/>
      <c r="CA325" s="356"/>
      <c r="CB325" s="44"/>
      <c r="CC325" s="44"/>
      <c r="CD325" s="356"/>
      <c r="CE325" s="356"/>
    </row>
    <row r="326" spans="1:83" x14ac:dyDescent="0.5">
      <c r="A326" s="227">
        <v>18075886</v>
      </c>
      <c r="B326" s="22">
        <v>18070594</v>
      </c>
      <c r="C326" s="55"/>
      <c r="D326" s="56"/>
      <c r="E326" s="57"/>
      <c r="F326" s="58"/>
      <c r="G326" s="59"/>
      <c r="H326" s="60"/>
      <c r="I326" s="39" t="s">
        <v>869</v>
      </c>
      <c r="K326" s="42" t="s">
        <v>129</v>
      </c>
      <c r="L326" s="520" t="s">
        <v>128</v>
      </c>
      <c r="M326" s="22" t="s">
        <v>50</v>
      </c>
      <c r="N326" s="63">
        <v>15000</v>
      </c>
      <c r="O326" s="63">
        <v>1050</v>
      </c>
      <c r="P326" s="63">
        <f t="shared" si="64"/>
        <v>16050</v>
      </c>
      <c r="AA326" s="40">
        <v>18070246</v>
      </c>
      <c r="AB326" s="41">
        <v>15000</v>
      </c>
      <c r="AC326" s="63">
        <f t="shared" si="65"/>
        <v>1050</v>
      </c>
      <c r="AD326" s="63">
        <f t="shared" si="66"/>
        <v>16050</v>
      </c>
      <c r="AE326" s="53">
        <v>43285</v>
      </c>
      <c r="AF326" s="39" t="s">
        <v>869</v>
      </c>
      <c r="AI326" s="21" t="s">
        <v>1100</v>
      </c>
      <c r="AJ326" s="44">
        <v>1</v>
      </c>
      <c r="AK326" s="45" t="s">
        <v>404</v>
      </c>
      <c r="AN326" s="47">
        <v>2</v>
      </c>
      <c r="AO326" s="102"/>
      <c r="AP326" s="356"/>
      <c r="AQ326" s="356"/>
      <c r="AR326" s="44"/>
      <c r="AS326" s="44"/>
      <c r="AT326" s="356"/>
      <c r="AU326" s="54"/>
      <c r="AV326" s="356"/>
      <c r="AW326" s="356"/>
      <c r="AX326" s="44"/>
      <c r="AY326" s="44"/>
      <c r="AZ326" s="356"/>
      <c r="BA326" s="54"/>
      <c r="BB326" s="356"/>
      <c r="BC326" s="356"/>
      <c r="BD326" s="44"/>
      <c r="BE326" s="44"/>
      <c r="BF326" s="356"/>
      <c r="BG326" s="54"/>
      <c r="BH326" s="356"/>
      <c r="BI326" s="356"/>
      <c r="BJ326" s="44"/>
      <c r="BK326" s="44"/>
      <c r="BL326" s="356"/>
      <c r="BM326" s="356"/>
      <c r="BN326" s="356"/>
      <c r="BO326" s="356"/>
      <c r="BP326" s="44"/>
      <c r="BQ326" s="44"/>
      <c r="BR326" s="356"/>
      <c r="BS326" s="356"/>
      <c r="BT326" s="356"/>
      <c r="BU326" s="356"/>
      <c r="BV326" s="44"/>
      <c r="BW326" s="44"/>
      <c r="BX326" s="356"/>
      <c r="BY326" s="356"/>
      <c r="BZ326" s="356"/>
      <c r="CA326" s="44"/>
      <c r="CB326" s="44"/>
      <c r="CC326" s="44"/>
      <c r="CD326" s="44"/>
      <c r="CE326" s="44"/>
    </row>
    <row r="327" spans="1:83" x14ac:dyDescent="0.5">
      <c r="A327" s="259">
        <v>18075885</v>
      </c>
      <c r="B327" s="104">
        <v>18070592</v>
      </c>
      <c r="C327" s="105">
        <v>137</v>
      </c>
      <c r="D327" s="106" t="s">
        <v>184</v>
      </c>
      <c r="E327" s="107" t="s">
        <v>185</v>
      </c>
      <c r="F327" s="108">
        <v>154</v>
      </c>
      <c r="G327" s="211">
        <v>43286</v>
      </c>
      <c r="H327" s="164">
        <v>18227</v>
      </c>
      <c r="I327" s="127" t="s">
        <v>869</v>
      </c>
      <c r="J327" s="122">
        <v>43287</v>
      </c>
      <c r="K327" s="547" t="s">
        <v>129</v>
      </c>
      <c r="L327" s="548" t="s">
        <v>130</v>
      </c>
      <c r="M327" s="104" t="s">
        <v>50</v>
      </c>
      <c r="N327" s="260">
        <v>300000</v>
      </c>
      <c r="O327" s="260">
        <v>21000</v>
      </c>
      <c r="P327" s="260">
        <f t="shared" si="64"/>
        <v>321000</v>
      </c>
      <c r="Q327" s="311"/>
      <c r="R327" s="113"/>
      <c r="S327" s="114"/>
      <c r="T327" s="115"/>
      <c r="U327" s="550"/>
      <c r="V327" s="551"/>
      <c r="W327" s="552"/>
      <c r="X327" s="552">
        <v>720</v>
      </c>
      <c r="Y327" s="553"/>
      <c r="Z327" s="120"/>
      <c r="AA327" s="123">
        <v>18070247</v>
      </c>
      <c r="AB327" s="124">
        <v>300000</v>
      </c>
      <c r="AC327" s="260">
        <f t="shared" si="65"/>
        <v>21000</v>
      </c>
      <c r="AD327" s="260">
        <f t="shared" si="66"/>
        <v>321000</v>
      </c>
      <c r="AE327" s="126">
        <v>43285</v>
      </c>
      <c r="AF327" s="127" t="s">
        <v>869</v>
      </c>
      <c r="AG327" s="127"/>
      <c r="AH327" s="127"/>
      <c r="AI327" s="103" t="s">
        <v>1101</v>
      </c>
      <c r="AJ327" s="128">
        <v>1</v>
      </c>
      <c r="AK327" s="129" t="s">
        <v>663</v>
      </c>
      <c r="AL327" s="130"/>
      <c r="AM327" s="130" t="s">
        <v>1205</v>
      </c>
      <c r="AN327" s="131">
        <v>2</v>
      </c>
      <c r="AO327" s="132" t="s">
        <v>634</v>
      </c>
      <c r="AP327" s="361"/>
      <c r="AQ327" s="361"/>
      <c r="AR327" s="128"/>
      <c r="AS327" s="128"/>
      <c r="AT327" s="361"/>
      <c r="AU327" s="133"/>
      <c r="AV327" s="361"/>
      <c r="AW327" s="361"/>
      <c r="AX327" s="128"/>
      <c r="AY327" s="128"/>
      <c r="AZ327" s="361"/>
      <c r="BA327" s="133"/>
      <c r="BB327" s="361"/>
      <c r="BC327" s="361"/>
      <c r="BD327" s="128"/>
      <c r="BE327" s="128"/>
      <c r="BF327" s="361"/>
      <c r="BG327" s="133"/>
      <c r="BH327" s="361"/>
      <c r="BI327" s="361"/>
      <c r="BJ327" s="128"/>
      <c r="BK327" s="128"/>
      <c r="BL327" s="361"/>
      <c r="BM327" s="361"/>
      <c r="BN327" s="361"/>
      <c r="BO327" s="361"/>
      <c r="BP327" s="128"/>
      <c r="BQ327" s="128"/>
      <c r="BR327" s="361"/>
      <c r="BS327" s="361"/>
      <c r="BT327" s="361"/>
      <c r="BU327" s="361"/>
      <c r="BV327" s="128"/>
      <c r="BW327" s="128"/>
      <c r="BX327" s="361"/>
      <c r="BY327" s="361"/>
      <c r="BZ327" s="361"/>
      <c r="CA327" s="128"/>
      <c r="CB327" s="128"/>
      <c r="CC327" s="128"/>
      <c r="CD327" s="128"/>
      <c r="CE327" s="128"/>
    </row>
    <row r="328" spans="1:83" x14ac:dyDescent="0.5">
      <c r="A328" s="268"/>
      <c r="B328" s="181"/>
      <c r="C328" s="182"/>
      <c r="D328" s="183"/>
      <c r="E328" s="184"/>
      <c r="F328" s="185"/>
      <c r="G328" s="186">
        <v>43286</v>
      </c>
      <c r="H328" s="187">
        <v>18228</v>
      </c>
      <c r="I328" s="199"/>
      <c r="J328" s="186"/>
      <c r="K328" s="240"/>
      <c r="L328" s="558"/>
      <c r="M328" s="181"/>
      <c r="N328" s="237"/>
      <c r="O328" s="237"/>
      <c r="P328" s="237"/>
      <c r="Q328" s="190"/>
      <c r="R328" s="215"/>
      <c r="S328" s="216"/>
      <c r="T328" s="217"/>
      <c r="U328" s="544"/>
      <c r="V328" s="560"/>
      <c r="W328" s="561"/>
      <c r="X328" s="561"/>
      <c r="Y328" s="562"/>
      <c r="Z328" s="198"/>
      <c r="AA328" s="200"/>
      <c r="AB328" s="201"/>
      <c r="AC328" s="237"/>
      <c r="AD328" s="237"/>
      <c r="AE328" s="203"/>
      <c r="AF328" s="199"/>
      <c r="AG328" s="199"/>
      <c r="AH328" s="199"/>
      <c r="AI328" s="180"/>
      <c r="AJ328" s="204"/>
      <c r="AK328" s="205"/>
      <c r="AL328" s="206"/>
      <c r="AM328" s="206"/>
      <c r="AN328" s="207"/>
      <c r="AO328" s="208"/>
      <c r="AP328" s="365"/>
      <c r="AQ328" s="365"/>
      <c r="AR328" s="204"/>
      <c r="AS328" s="204"/>
      <c r="AT328" s="365"/>
      <c r="AU328" s="210"/>
      <c r="AV328" s="365"/>
      <c r="AW328" s="365"/>
      <c r="AX328" s="204"/>
      <c r="AY328" s="204"/>
      <c r="AZ328" s="365"/>
      <c r="BA328" s="210"/>
      <c r="BB328" s="365"/>
      <c r="BC328" s="365"/>
      <c r="BD328" s="204"/>
      <c r="BE328" s="204"/>
      <c r="BF328" s="365"/>
      <c r="BG328" s="210"/>
      <c r="BH328" s="365"/>
      <c r="BI328" s="365"/>
      <c r="BJ328" s="204"/>
      <c r="BK328" s="204"/>
      <c r="BL328" s="365"/>
      <c r="BM328" s="365"/>
      <c r="BN328" s="365"/>
      <c r="BO328" s="365"/>
      <c r="BP328" s="204"/>
      <c r="BQ328" s="204"/>
      <c r="BR328" s="365"/>
      <c r="BS328" s="365"/>
      <c r="BT328" s="365"/>
      <c r="BU328" s="365"/>
      <c r="BV328" s="204"/>
      <c r="BW328" s="204"/>
      <c r="BX328" s="365"/>
      <c r="BY328" s="365"/>
      <c r="BZ328" s="365"/>
      <c r="CA328" s="204"/>
      <c r="CB328" s="204"/>
      <c r="CC328" s="204"/>
      <c r="CD328" s="204"/>
      <c r="CE328" s="204"/>
    </row>
    <row r="329" spans="1:83" x14ac:dyDescent="0.5">
      <c r="A329" s="227">
        <v>18075884</v>
      </c>
      <c r="B329" s="22">
        <v>18050395</v>
      </c>
      <c r="C329" s="55"/>
      <c r="D329" s="56"/>
      <c r="E329" s="57"/>
      <c r="F329" s="58"/>
      <c r="G329" s="59"/>
      <c r="H329" s="60"/>
      <c r="I329" s="269" t="s">
        <v>869</v>
      </c>
      <c r="J329" s="59"/>
      <c r="K329" s="42" t="s">
        <v>18</v>
      </c>
      <c r="L329" s="520" t="s">
        <v>153</v>
      </c>
      <c r="M329" s="22" t="s">
        <v>50</v>
      </c>
      <c r="N329" s="63">
        <v>14000</v>
      </c>
      <c r="O329" s="63">
        <v>980</v>
      </c>
      <c r="P329" s="63">
        <f t="shared" si="64"/>
        <v>14980</v>
      </c>
      <c r="AA329" s="40">
        <v>18070245</v>
      </c>
      <c r="AB329" s="41">
        <v>14000</v>
      </c>
      <c r="AC329" s="63">
        <f t="shared" si="65"/>
        <v>980</v>
      </c>
      <c r="AD329" s="63">
        <f t="shared" si="66"/>
        <v>14980</v>
      </c>
      <c r="AE329" s="53">
        <v>43285</v>
      </c>
      <c r="AF329" s="39" t="s">
        <v>869</v>
      </c>
      <c r="AI329" s="21" t="s">
        <v>1104</v>
      </c>
      <c r="AJ329" s="44">
        <v>1</v>
      </c>
      <c r="AK329" s="45" t="s">
        <v>404</v>
      </c>
      <c r="AN329" s="47">
        <v>1</v>
      </c>
      <c r="AO329" s="102"/>
      <c r="AP329" s="356"/>
      <c r="AQ329" s="356"/>
      <c r="AR329" s="44"/>
      <c r="AS329" s="44"/>
      <c r="AT329" s="356"/>
      <c r="AU329" s="54"/>
      <c r="AV329" s="356"/>
      <c r="AW329" s="356"/>
      <c r="AX329" s="44"/>
      <c r="AY329" s="44"/>
      <c r="AZ329" s="356"/>
      <c r="BA329" s="54"/>
      <c r="BB329" s="356"/>
      <c r="BC329" s="356"/>
      <c r="BD329" s="44"/>
      <c r="BE329" s="44"/>
      <c r="BF329" s="356"/>
      <c r="BG329" s="54"/>
      <c r="BH329" s="356"/>
      <c r="BI329" s="356"/>
      <c r="BJ329" s="44"/>
      <c r="BK329" s="44"/>
      <c r="BL329" s="356"/>
      <c r="BM329" s="356"/>
      <c r="BN329" s="356"/>
      <c r="BO329" s="356"/>
      <c r="BP329" s="44"/>
      <c r="BQ329" s="44"/>
      <c r="BR329" s="356"/>
      <c r="BS329" s="356"/>
      <c r="BT329" s="356"/>
      <c r="BU329" s="356"/>
      <c r="BV329" s="44"/>
      <c r="BW329" s="44"/>
      <c r="BX329" s="356"/>
      <c r="BY329" s="356"/>
      <c r="BZ329" s="356"/>
      <c r="CA329" s="44"/>
      <c r="CB329" s="44"/>
      <c r="CC329" s="44"/>
      <c r="CD329" s="44"/>
      <c r="CE329" s="44"/>
    </row>
    <row r="330" spans="1:83" x14ac:dyDescent="0.5">
      <c r="A330" s="259">
        <v>18075883</v>
      </c>
      <c r="B330" s="104">
        <v>18070591</v>
      </c>
      <c r="C330" s="242"/>
      <c r="D330" s="243"/>
      <c r="E330" s="244"/>
      <c r="F330" s="245"/>
      <c r="G330" s="246"/>
      <c r="H330" s="247"/>
      <c r="I330" s="306" t="s">
        <v>869</v>
      </c>
      <c r="J330" s="246"/>
      <c r="K330" s="547" t="s">
        <v>154</v>
      </c>
      <c r="L330" s="548" t="s">
        <v>155</v>
      </c>
      <c r="M330" s="104" t="s">
        <v>51</v>
      </c>
      <c r="N330" s="260">
        <v>100000</v>
      </c>
      <c r="O330" s="260">
        <v>7000</v>
      </c>
      <c r="P330" s="260">
        <f t="shared" si="64"/>
        <v>107000</v>
      </c>
      <c r="Q330" s="212"/>
      <c r="R330" s="165"/>
      <c r="S330" s="166"/>
      <c r="T330" s="167"/>
      <c r="U330" s="568"/>
      <c r="V330" s="166"/>
      <c r="W330" s="568"/>
      <c r="X330" s="568"/>
      <c r="Y330" s="166"/>
      <c r="Z330" s="232"/>
      <c r="AA330" s="229">
        <v>18100387</v>
      </c>
      <c r="AB330" s="230">
        <v>75000</v>
      </c>
      <c r="AC330" s="234">
        <f t="shared" si="65"/>
        <v>5250</v>
      </c>
      <c r="AD330" s="234">
        <f t="shared" si="66"/>
        <v>80250</v>
      </c>
      <c r="AE330" s="221">
        <v>43413</v>
      </c>
      <c r="AF330" s="366" t="s">
        <v>869</v>
      </c>
      <c r="AG330" s="366"/>
      <c r="AH330" s="366"/>
      <c r="AI330" s="367" t="s">
        <v>1466</v>
      </c>
      <c r="AJ330" s="128">
        <v>1</v>
      </c>
      <c r="AK330" s="129"/>
      <c r="AL330" s="130"/>
      <c r="AM330" s="130"/>
      <c r="AN330" s="131"/>
      <c r="AO330" s="132"/>
      <c r="AP330" s="128">
        <v>2</v>
      </c>
      <c r="AQ330" s="123"/>
      <c r="AR330" s="131"/>
      <c r="AS330" s="131"/>
      <c r="AT330" s="131"/>
      <c r="AU330" s="169"/>
      <c r="AV330" s="128">
        <v>3</v>
      </c>
      <c r="AW330" s="123"/>
      <c r="AX330" s="131"/>
      <c r="AY330" s="131"/>
      <c r="AZ330" s="131"/>
      <c r="BA330" s="169"/>
      <c r="BB330" s="128">
        <v>4</v>
      </c>
      <c r="BC330" s="123"/>
      <c r="BD330" s="131"/>
      <c r="BE330" s="131"/>
      <c r="BF330" s="131"/>
      <c r="BG330" s="169"/>
      <c r="BH330" s="128">
        <v>5</v>
      </c>
      <c r="BI330" s="123"/>
      <c r="BJ330" s="131"/>
      <c r="BK330" s="131"/>
      <c r="BL330" s="131"/>
      <c r="BM330" s="351"/>
      <c r="BN330" s="128">
        <v>6</v>
      </c>
      <c r="BO330" s="123"/>
      <c r="BP330" s="131"/>
      <c r="BQ330" s="131"/>
      <c r="BR330" s="131"/>
      <c r="BS330" s="351"/>
      <c r="BT330" s="128">
        <v>7</v>
      </c>
      <c r="BU330" s="123"/>
      <c r="BV330" s="131"/>
      <c r="BW330" s="131"/>
      <c r="BX330" s="131"/>
      <c r="BY330" s="351"/>
      <c r="BZ330" s="128">
        <v>8</v>
      </c>
      <c r="CA330" s="123"/>
      <c r="CB330" s="131"/>
      <c r="CC330" s="131"/>
      <c r="CD330" s="131"/>
      <c r="CE330" s="351"/>
    </row>
    <row r="331" spans="1:83" x14ac:dyDescent="0.5">
      <c r="A331" s="268"/>
      <c r="B331" s="181"/>
      <c r="C331" s="285"/>
      <c r="D331" s="286"/>
      <c r="E331" s="287"/>
      <c r="F331" s="288"/>
      <c r="G331" s="289"/>
      <c r="H331" s="290"/>
      <c r="I331" s="832"/>
      <c r="J331" s="289"/>
      <c r="K331" s="240"/>
      <c r="L331" s="558"/>
      <c r="M331" s="181"/>
      <c r="N331" s="237"/>
      <c r="O331" s="237"/>
      <c r="P331" s="237"/>
      <c r="Q331" s="214"/>
      <c r="R331" s="191"/>
      <c r="S331" s="192"/>
      <c r="T331" s="193"/>
      <c r="U331" s="571"/>
      <c r="V331" s="192"/>
      <c r="W331" s="571"/>
      <c r="X331" s="571"/>
      <c r="Y331" s="192"/>
      <c r="Z331" s="236"/>
      <c r="AA331" s="200">
        <v>19040125</v>
      </c>
      <c r="AB331" s="201">
        <v>25000</v>
      </c>
      <c r="AC331" s="238">
        <f t="shared" si="65"/>
        <v>1750</v>
      </c>
      <c r="AD331" s="238">
        <f t="shared" si="66"/>
        <v>26750</v>
      </c>
      <c r="AE331" s="203">
        <v>43593</v>
      </c>
      <c r="AF331" s="363" t="s">
        <v>869</v>
      </c>
      <c r="AG331" s="363"/>
      <c r="AH331" s="363"/>
      <c r="AI331" s="364" t="s">
        <v>2172</v>
      </c>
      <c r="AJ331" s="204"/>
      <c r="AK331" s="205"/>
      <c r="AL331" s="206"/>
      <c r="AM331" s="206"/>
      <c r="AN331" s="207"/>
      <c r="AO331" s="208"/>
      <c r="AP331" s="204"/>
      <c r="AQ331" s="200"/>
      <c r="AR331" s="207"/>
      <c r="AS331" s="207"/>
      <c r="AT331" s="207"/>
      <c r="AU331" s="209"/>
      <c r="AV331" s="204"/>
      <c r="AW331" s="200"/>
      <c r="AX331" s="207"/>
      <c r="AY331" s="207"/>
      <c r="AZ331" s="207"/>
      <c r="BA331" s="209"/>
      <c r="BB331" s="204"/>
      <c r="BC331" s="200"/>
      <c r="BD331" s="207"/>
      <c r="BE331" s="207"/>
      <c r="BF331" s="207"/>
      <c r="BG331" s="209"/>
      <c r="BH331" s="204"/>
      <c r="BI331" s="200"/>
      <c r="BJ331" s="207"/>
      <c r="BK331" s="207"/>
      <c r="BL331" s="207"/>
      <c r="BM331" s="354"/>
      <c r="BN331" s="204"/>
      <c r="BO331" s="200"/>
      <c r="BP331" s="207"/>
      <c r="BQ331" s="207"/>
      <c r="BR331" s="207"/>
      <c r="BS331" s="354"/>
      <c r="BT331" s="204"/>
      <c r="BU331" s="200"/>
      <c r="BV331" s="207"/>
      <c r="BW331" s="207"/>
      <c r="BX331" s="207"/>
      <c r="BY331" s="354"/>
      <c r="BZ331" s="204"/>
      <c r="CA331" s="200"/>
      <c r="CB331" s="207"/>
      <c r="CC331" s="207"/>
      <c r="CD331" s="207"/>
      <c r="CE331" s="354"/>
    </row>
    <row r="332" spans="1:83" x14ac:dyDescent="0.5">
      <c r="A332" s="227">
        <v>18075882</v>
      </c>
      <c r="B332" s="22">
        <v>18070590</v>
      </c>
      <c r="C332" s="23">
        <v>136</v>
      </c>
      <c r="D332" s="24" t="s">
        <v>184</v>
      </c>
      <c r="E332" s="25" t="s">
        <v>185</v>
      </c>
      <c r="F332" s="26">
        <v>159</v>
      </c>
      <c r="G332" s="62">
        <v>43297</v>
      </c>
      <c r="H332" s="27">
        <v>18240</v>
      </c>
      <c r="I332" s="39" t="s">
        <v>869</v>
      </c>
      <c r="J332" s="62">
        <v>43297</v>
      </c>
      <c r="K332" s="42" t="s">
        <v>101</v>
      </c>
      <c r="L332" s="520" t="s">
        <v>156</v>
      </c>
      <c r="M332" s="22" t="s">
        <v>157</v>
      </c>
      <c r="N332" s="63">
        <v>21612.5</v>
      </c>
      <c r="O332" s="63">
        <v>1512.88</v>
      </c>
      <c r="P332" s="63">
        <f t="shared" si="64"/>
        <v>23125.38</v>
      </c>
      <c r="AA332" s="40">
        <v>18070262</v>
      </c>
      <c r="AB332" s="41">
        <v>21612.5</v>
      </c>
      <c r="AC332" s="64">
        <f t="shared" si="65"/>
        <v>1512.875</v>
      </c>
      <c r="AD332" s="64">
        <f t="shared" si="66"/>
        <v>23125.375</v>
      </c>
      <c r="AE332" s="53">
        <v>43291</v>
      </c>
      <c r="AF332" s="39" t="s">
        <v>869</v>
      </c>
      <c r="AI332" s="21" t="s">
        <v>1096</v>
      </c>
      <c r="AJ332" s="44">
        <v>1</v>
      </c>
      <c r="AK332" s="45" t="s">
        <v>784</v>
      </c>
      <c r="AM332" s="46" t="s">
        <v>1205</v>
      </c>
      <c r="AN332" s="47">
        <v>1</v>
      </c>
      <c r="AO332" s="48" t="s">
        <v>634</v>
      </c>
      <c r="AP332" s="356"/>
      <c r="AQ332" s="356"/>
      <c r="AR332" s="44"/>
      <c r="AS332" s="44"/>
      <c r="AT332" s="356"/>
      <c r="AU332" s="54"/>
      <c r="AV332" s="356"/>
      <c r="AW332" s="356"/>
      <c r="AX332" s="44"/>
      <c r="AY332" s="44"/>
      <c r="AZ332" s="356"/>
      <c r="BA332" s="54"/>
      <c r="BB332" s="356"/>
      <c r="BC332" s="356"/>
      <c r="BD332" s="44"/>
      <c r="BE332" s="44"/>
      <c r="BF332" s="356"/>
      <c r="BG332" s="54"/>
      <c r="BH332" s="356"/>
      <c r="BI332" s="356"/>
      <c r="BJ332" s="44"/>
      <c r="BK332" s="44"/>
      <c r="BL332" s="356"/>
      <c r="BM332" s="356"/>
      <c r="BN332" s="356"/>
      <c r="BO332" s="356"/>
      <c r="BP332" s="44"/>
      <c r="BQ332" s="44"/>
      <c r="BR332" s="356"/>
      <c r="BS332" s="356"/>
      <c r="BT332" s="356"/>
      <c r="BU332" s="356"/>
      <c r="BV332" s="44"/>
      <c r="BW332" s="44"/>
      <c r="BX332" s="356"/>
      <c r="BY332" s="356"/>
      <c r="BZ332" s="356"/>
      <c r="CA332" s="356"/>
      <c r="CB332" s="44"/>
      <c r="CC332" s="44"/>
      <c r="CD332" s="356"/>
      <c r="CE332" s="356"/>
    </row>
    <row r="333" spans="1:83" x14ac:dyDescent="0.5">
      <c r="A333" s="227">
        <v>18075881</v>
      </c>
      <c r="B333" s="22">
        <v>18070589</v>
      </c>
      <c r="C333" s="55"/>
      <c r="D333" s="56"/>
      <c r="E333" s="57"/>
      <c r="F333" s="58"/>
      <c r="G333" s="59"/>
      <c r="H333" s="60"/>
      <c r="I333" s="39" t="s">
        <v>869</v>
      </c>
      <c r="K333" s="42" t="s">
        <v>158</v>
      </c>
      <c r="L333" s="520" t="s">
        <v>159</v>
      </c>
      <c r="M333" s="22" t="s">
        <v>51</v>
      </c>
      <c r="N333" s="63">
        <v>7500</v>
      </c>
      <c r="O333" s="63">
        <v>525</v>
      </c>
      <c r="P333" s="63">
        <f t="shared" si="64"/>
        <v>8025</v>
      </c>
      <c r="AA333" s="40">
        <v>18070271</v>
      </c>
      <c r="AB333" s="41">
        <v>7500</v>
      </c>
      <c r="AC333" s="64">
        <f t="shared" si="65"/>
        <v>525</v>
      </c>
      <c r="AD333" s="64">
        <f t="shared" si="66"/>
        <v>8025</v>
      </c>
      <c r="AE333" s="53">
        <v>43293</v>
      </c>
      <c r="AF333" s="39" t="s">
        <v>869</v>
      </c>
      <c r="AI333" s="21" t="s">
        <v>1080</v>
      </c>
      <c r="AJ333" s="44">
        <v>1</v>
      </c>
      <c r="AK333" s="45" t="s">
        <v>659</v>
      </c>
      <c r="AN333" s="47">
        <v>1</v>
      </c>
      <c r="AO333" s="102"/>
      <c r="AP333" s="356"/>
      <c r="AQ333" s="356"/>
      <c r="AR333" s="44"/>
      <c r="AS333" s="44"/>
      <c r="AT333" s="356"/>
      <c r="AU333" s="54"/>
      <c r="AV333" s="356"/>
      <c r="AW333" s="356"/>
      <c r="AX333" s="44"/>
      <c r="AY333" s="44"/>
      <c r="AZ333" s="356"/>
      <c r="BA333" s="54"/>
      <c r="BB333" s="356"/>
      <c r="BC333" s="356"/>
      <c r="BD333" s="44"/>
      <c r="BE333" s="44"/>
      <c r="BF333" s="356"/>
      <c r="BG333" s="54"/>
      <c r="BH333" s="356"/>
      <c r="BI333" s="356"/>
      <c r="BJ333" s="44"/>
      <c r="BK333" s="44"/>
      <c r="BL333" s="356"/>
      <c r="BM333" s="356"/>
      <c r="BN333" s="356"/>
      <c r="BO333" s="356"/>
      <c r="BP333" s="44"/>
      <c r="BQ333" s="44"/>
      <c r="BR333" s="356"/>
      <c r="BS333" s="356"/>
      <c r="BT333" s="356"/>
      <c r="BU333" s="356"/>
      <c r="BV333" s="44"/>
      <c r="BW333" s="44"/>
      <c r="BX333" s="356"/>
      <c r="BY333" s="356"/>
      <c r="BZ333" s="356"/>
      <c r="CA333" s="356"/>
      <c r="CB333" s="44"/>
      <c r="CC333" s="44"/>
      <c r="CD333" s="356"/>
      <c r="CE333" s="356"/>
    </row>
    <row r="334" spans="1:83" x14ac:dyDescent="0.5">
      <c r="A334" s="227">
        <v>18075880</v>
      </c>
      <c r="B334" s="22">
        <v>18070588</v>
      </c>
      <c r="C334" s="23">
        <v>135</v>
      </c>
      <c r="D334" s="24" t="s">
        <v>184</v>
      </c>
      <c r="E334" s="25" t="s">
        <v>185</v>
      </c>
      <c r="F334" s="26">
        <v>169</v>
      </c>
      <c r="G334" s="62">
        <v>43306</v>
      </c>
      <c r="H334" s="27">
        <v>18256</v>
      </c>
      <c r="I334" s="39" t="s">
        <v>869</v>
      </c>
      <c r="J334" s="62">
        <v>43306</v>
      </c>
      <c r="K334" s="42" t="s">
        <v>119</v>
      </c>
      <c r="L334" s="520" t="s">
        <v>160</v>
      </c>
      <c r="M334" s="22" t="s">
        <v>51</v>
      </c>
      <c r="N334" s="63">
        <v>72000</v>
      </c>
      <c r="O334" s="63">
        <v>5040</v>
      </c>
      <c r="P334" s="63">
        <f t="shared" si="64"/>
        <v>77040</v>
      </c>
      <c r="AA334" s="40">
        <v>18080294</v>
      </c>
      <c r="AB334" s="41">
        <v>72000</v>
      </c>
      <c r="AC334" s="64">
        <f t="shared" si="65"/>
        <v>5040</v>
      </c>
      <c r="AD334" s="64">
        <f t="shared" si="66"/>
        <v>77040</v>
      </c>
      <c r="AE334" s="53">
        <v>43318</v>
      </c>
      <c r="AF334" s="39" t="s">
        <v>869</v>
      </c>
      <c r="AI334" s="21" t="s">
        <v>1083</v>
      </c>
      <c r="AJ334" s="44">
        <v>1</v>
      </c>
      <c r="AK334" s="45" t="s">
        <v>792</v>
      </c>
      <c r="AM334" s="46" t="s">
        <v>1205</v>
      </c>
      <c r="AN334" s="47">
        <v>1</v>
      </c>
      <c r="AO334" s="48" t="s">
        <v>633</v>
      </c>
      <c r="AP334" s="356"/>
      <c r="AQ334" s="356"/>
      <c r="AR334" s="44"/>
      <c r="AS334" s="44"/>
      <c r="AT334" s="356"/>
      <c r="AU334" s="54"/>
      <c r="AV334" s="356"/>
      <c r="AW334" s="356"/>
      <c r="AX334" s="44"/>
      <c r="AY334" s="44"/>
      <c r="AZ334" s="356"/>
      <c r="BA334" s="54"/>
      <c r="BB334" s="356"/>
      <c r="BC334" s="356"/>
      <c r="BD334" s="44"/>
      <c r="BE334" s="44"/>
      <c r="BF334" s="356"/>
      <c r="BG334" s="54"/>
      <c r="BH334" s="356"/>
      <c r="BI334" s="356"/>
      <c r="BJ334" s="44"/>
      <c r="BK334" s="44"/>
      <c r="BL334" s="356"/>
      <c r="BM334" s="356"/>
      <c r="BN334" s="356"/>
      <c r="BO334" s="356"/>
      <c r="BP334" s="44"/>
      <c r="BQ334" s="44"/>
      <c r="BR334" s="356"/>
      <c r="BS334" s="356"/>
      <c r="BT334" s="356"/>
      <c r="BU334" s="356"/>
      <c r="BV334" s="44"/>
      <c r="BW334" s="44"/>
      <c r="BX334" s="356"/>
      <c r="BY334" s="356"/>
      <c r="BZ334" s="356"/>
      <c r="CA334" s="356"/>
      <c r="CB334" s="44"/>
      <c r="CC334" s="44"/>
      <c r="CD334" s="356"/>
      <c r="CE334" s="356"/>
    </row>
    <row r="335" spans="1:83" x14ac:dyDescent="0.5">
      <c r="A335" s="227">
        <v>18075879</v>
      </c>
      <c r="B335" s="22">
        <v>18070587</v>
      </c>
      <c r="C335" s="23">
        <v>134</v>
      </c>
      <c r="D335" s="24" t="s">
        <v>184</v>
      </c>
      <c r="E335" s="25" t="s">
        <v>185</v>
      </c>
      <c r="F335" s="26">
        <v>147</v>
      </c>
      <c r="G335" s="62">
        <v>43284</v>
      </c>
      <c r="H335" s="27">
        <v>18219</v>
      </c>
      <c r="I335" s="39" t="s">
        <v>869</v>
      </c>
      <c r="J335" s="62">
        <v>43285</v>
      </c>
      <c r="K335" s="42" t="s">
        <v>161</v>
      </c>
      <c r="L335" s="520" t="s">
        <v>162</v>
      </c>
      <c r="M335" s="22" t="s">
        <v>50</v>
      </c>
      <c r="N335" s="63">
        <v>78900</v>
      </c>
      <c r="O335" s="63">
        <v>5523</v>
      </c>
      <c r="P335" s="63">
        <f t="shared" si="64"/>
        <v>84423</v>
      </c>
      <c r="U335" s="516">
        <v>3795</v>
      </c>
      <c r="X335" s="518">
        <v>115</v>
      </c>
      <c r="AA335" s="40">
        <v>18070272</v>
      </c>
      <c r="AB335" s="41">
        <v>78900</v>
      </c>
      <c r="AC335" s="64">
        <f t="shared" si="65"/>
        <v>5523</v>
      </c>
      <c r="AD335" s="64">
        <f t="shared" si="66"/>
        <v>84423</v>
      </c>
      <c r="AE335" s="53">
        <v>43323</v>
      </c>
      <c r="AF335" s="39" t="s">
        <v>869</v>
      </c>
      <c r="AI335" s="21" t="s">
        <v>1050</v>
      </c>
      <c r="AJ335" s="44">
        <v>1</v>
      </c>
      <c r="AK335" s="45" t="s">
        <v>662</v>
      </c>
      <c r="AM335" s="46" t="s">
        <v>1205</v>
      </c>
      <c r="AN335" s="47">
        <v>1</v>
      </c>
      <c r="AO335" s="48" t="s">
        <v>634</v>
      </c>
      <c r="AP335" s="356"/>
      <c r="AQ335" s="356"/>
      <c r="AR335" s="44"/>
      <c r="AS335" s="44"/>
      <c r="AT335" s="356"/>
      <c r="AU335" s="54"/>
      <c r="AV335" s="356"/>
      <c r="AW335" s="356"/>
      <c r="AX335" s="44"/>
      <c r="AY335" s="44"/>
      <c r="AZ335" s="356"/>
      <c r="BA335" s="54"/>
      <c r="BB335" s="356"/>
      <c r="BC335" s="356"/>
      <c r="BD335" s="44"/>
      <c r="BE335" s="44"/>
      <c r="BF335" s="356"/>
      <c r="BG335" s="54"/>
      <c r="BH335" s="356"/>
      <c r="BI335" s="356"/>
      <c r="BJ335" s="44"/>
      <c r="BK335" s="44"/>
      <c r="BL335" s="356"/>
      <c r="BM335" s="356"/>
      <c r="BN335" s="356"/>
      <c r="BO335" s="356"/>
      <c r="BP335" s="44"/>
      <c r="BQ335" s="44"/>
      <c r="BR335" s="356"/>
      <c r="BS335" s="356"/>
      <c r="BT335" s="356"/>
      <c r="BU335" s="356"/>
      <c r="BV335" s="44"/>
      <c r="BW335" s="44"/>
      <c r="BX335" s="356"/>
      <c r="BY335" s="356"/>
      <c r="BZ335" s="356"/>
      <c r="CA335" s="356"/>
      <c r="CB335" s="44"/>
      <c r="CC335" s="44"/>
      <c r="CD335" s="356"/>
      <c r="CE335" s="356"/>
    </row>
    <row r="336" spans="1:83" x14ac:dyDescent="0.5">
      <c r="A336" s="259">
        <v>18065878</v>
      </c>
      <c r="B336" s="104">
        <v>18065878</v>
      </c>
      <c r="C336" s="105">
        <v>133</v>
      </c>
      <c r="D336" s="106" t="s">
        <v>184</v>
      </c>
      <c r="E336" s="107" t="s">
        <v>1324</v>
      </c>
      <c r="F336" s="108" t="s">
        <v>1354</v>
      </c>
      <c r="G336" s="211">
        <v>43469</v>
      </c>
      <c r="H336" s="164">
        <v>19001</v>
      </c>
      <c r="I336" s="127" t="s">
        <v>869</v>
      </c>
      <c r="J336" s="122">
        <v>43470</v>
      </c>
      <c r="K336" s="547" t="s">
        <v>189</v>
      </c>
      <c r="L336" s="548" t="s">
        <v>190</v>
      </c>
      <c r="M336" s="104" t="s">
        <v>157</v>
      </c>
      <c r="N336" s="260">
        <v>180200</v>
      </c>
      <c r="O336" s="260">
        <v>12614</v>
      </c>
      <c r="P336" s="260">
        <f t="shared" si="64"/>
        <v>192814</v>
      </c>
      <c r="Q336" s="311">
        <v>33200</v>
      </c>
      <c r="R336" s="270" t="s">
        <v>575</v>
      </c>
      <c r="S336" s="114">
        <f>N336-Q336</f>
        <v>147000</v>
      </c>
      <c r="T336" s="115">
        <v>5</v>
      </c>
      <c r="U336" s="550">
        <f>S336*T336/100</f>
        <v>7350</v>
      </c>
      <c r="V336" s="551">
        <f>S336-U336</f>
        <v>139650</v>
      </c>
      <c r="W336" s="552">
        <v>0.34</v>
      </c>
      <c r="X336" s="552">
        <f>V336*W336/100</f>
        <v>474.81</v>
      </c>
      <c r="Y336" s="553">
        <v>0.2</v>
      </c>
      <c r="Z336" s="120">
        <f>V336*Y336/100</f>
        <v>279.3</v>
      </c>
      <c r="AA336" s="123">
        <v>18120486</v>
      </c>
      <c r="AB336" s="124">
        <v>180200</v>
      </c>
      <c r="AC336" s="260">
        <f t="shared" si="65"/>
        <v>12614</v>
      </c>
      <c r="AD336" s="260">
        <f t="shared" si="66"/>
        <v>192814</v>
      </c>
      <c r="AE336" s="126">
        <v>43440</v>
      </c>
      <c r="AF336" s="127" t="s">
        <v>869</v>
      </c>
      <c r="AG336" s="127"/>
      <c r="AH336" s="127"/>
      <c r="AI336" s="103" t="s">
        <v>1675</v>
      </c>
      <c r="AJ336" s="128">
        <v>1</v>
      </c>
      <c r="AK336" s="129" t="s">
        <v>660</v>
      </c>
      <c r="AL336" s="130"/>
      <c r="AM336" s="130" t="s">
        <v>1205</v>
      </c>
      <c r="AN336" s="131">
        <v>4</v>
      </c>
      <c r="AO336" s="132" t="s">
        <v>634</v>
      </c>
      <c r="AP336" s="361"/>
      <c r="AQ336" s="361"/>
      <c r="AR336" s="128"/>
      <c r="AS336" s="128"/>
      <c r="AT336" s="361"/>
      <c r="AU336" s="133"/>
      <c r="AV336" s="361"/>
      <c r="AW336" s="361"/>
      <c r="AX336" s="128"/>
      <c r="AY336" s="128"/>
      <c r="AZ336" s="361"/>
      <c r="BA336" s="133"/>
      <c r="BB336" s="361"/>
      <c r="BC336" s="361"/>
      <c r="BD336" s="128"/>
      <c r="BE336" s="128"/>
      <c r="BF336" s="361"/>
      <c r="BG336" s="133"/>
      <c r="BH336" s="361"/>
      <c r="BI336" s="361"/>
      <c r="BJ336" s="128"/>
      <c r="BK336" s="128"/>
      <c r="BL336" s="361"/>
      <c r="BM336" s="361"/>
      <c r="BN336" s="361"/>
      <c r="BO336" s="361"/>
      <c r="BP336" s="128"/>
      <c r="BQ336" s="128"/>
      <c r="BR336" s="361"/>
      <c r="BS336" s="361"/>
      <c r="BT336" s="361"/>
      <c r="BU336" s="361"/>
      <c r="BV336" s="128"/>
      <c r="BW336" s="128"/>
      <c r="BX336" s="361"/>
      <c r="BY336" s="361"/>
      <c r="BZ336" s="361"/>
      <c r="CA336" s="361"/>
      <c r="CB336" s="128"/>
      <c r="CC336" s="128"/>
      <c r="CD336" s="128"/>
      <c r="CE336" s="128"/>
    </row>
    <row r="337" spans="1:83" x14ac:dyDescent="0.5">
      <c r="A337" s="262"/>
      <c r="B337" s="135"/>
      <c r="C337" s="136"/>
      <c r="D337" s="137"/>
      <c r="E337" s="138"/>
      <c r="F337" s="139"/>
      <c r="G337" s="170">
        <v>43469</v>
      </c>
      <c r="H337" s="251">
        <v>19002</v>
      </c>
      <c r="I337" s="152"/>
      <c r="J337" s="176"/>
      <c r="K337" s="255"/>
      <c r="L337" s="300"/>
      <c r="M337" s="135"/>
      <c r="N337" s="253"/>
      <c r="O337" s="253"/>
      <c r="P337" s="253"/>
      <c r="Q337" s="143"/>
      <c r="R337" s="632"/>
      <c r="S337" s="145"/>
      <c r="T337" s="146"/>
      <c r="U337" s="529"/>
      <c r="V337" s="555"/>
      <c r="W337" s="556"/>
      <c r="X337" s="556"/>
      <c r="Y337" s="557"/>
      <c r="Z337" s="151"/>
      <c r="AA337" s="154"/>
      <c r="AB337" s="155"/>
      <c r="AC337" s="253"/>
      <c r="AD337" s="253"/>
      <c r="AE337" s="157"/>
      <c r="AF337" s="152"/>
      <c r="AG337" s="152"/>
      <c r="AH337" s="152"/>
      <c r="AI337" s="134"/>
      <c r="AJ337" s="158"/>
      <c r="AK337" s="159"/>
      <c r="AL337" s="160"/>
      <c r="AM337" s="160"/>
      <c r="AN337" s="161"/>
      <c r="AO337" s="162"/>
      <c r="AP337" s="458"/>
      <c r="AQ337" s="458"/>
      <c r="AR337" s="158"/>
      <c r="AS337" s="158"/>
      <c r="AT337" s="458"/>
      <c r="AU337" s="163"/>
      <c r="AV337" s="458"/>
      <c r="AW337" s="458"/>
      <c r="AX337" s="158"/>
      <c r="AY337" s="158"/>
      <c r="AZ337" s="458"/>
      <c r="BA337" s="163"/>
      <c r="BB337" s="458"/>
      <c r="BC337" s="458"/>
      <c r="BD337" s="158"/>
      <c r="BE337" s="158"/>
      <c r="BF337" s="458"/>
      <c r="BG337" s="163"/>
      <c r="BH337" s="458"/>
      <c r="BI337" s="458"/>
      <c r="BJ337" s="158"/>
      <c r="BK337" s="158"/>
      <c r="BL337" s="458"/>
      <c r="BM337" s="458"/>
      <c r="BN337" s="458"/>
      <c r="BO337" s="458"/>
      <c r="BP337" s="158"/>
      <c r="BQ337" s="158"/>
      <c r="BR337" s="458"/>
      <c r="BS337" s="458"/>
      <c r="BT337" s="458"/>
      <c r="BU337" s="458"/>
      <c r="BV337" s="158"/>
      <c r="BW337" s="158"/>
      <c r="BX337" s="458"/>
      <c r="BY337" s="458"/>
      <c r="BZ337" s="458"/>
      <c r="CA337" s="458"/>
      <c r="CB337" s="158"/>
      <c r="CC337" s="158"/>
      <c r="CD337" s="158"/>
      <c r="CE337" s="158"/>
    </row>
    <row r="338" spans="1:83" x14ac:dyDescent="0.5">
      <c r="A338" s="262">
        <v>18065878</v>
      </c>
      <c r="B338" s="135"/>
      <c r="C338" s="136"/>
      <c r="D338" s="137"/>
      <c r="E338" s="138" t="s">
        <v>1324</v>
      </c>
      <c r="F338" s="139" t="s">
        <v>1355</v>
      </c>
      <c r="G338" s="170">
        <v>43473</v>
      </c>
      <c r="H338" s="251">
        <v>19006</v>
      </c>
      <c r="I338" s="152"/>
      <c r="J338" s="176">
        <v>43474</v>
      </c>
      <c r="K338" s="255" t="s">
        <v>189</v>
      </c>
      <c r="L338" s="300" t="s">
        <v>190</v>
      </c>
      <c r="M338" s="135"/>
      <c r="N338" s="253"/>
      <c r="O338" s="253"/>
      <c r="P338" s="253"/>
      <c r="Q338" s="143"/>
      <c r="R338" s="632"/>
      <c r="S338" s="145"/>
      <c r="T338" s="146"/>
      <c r="U338" s="529"/>
      <c r="V338" s="555"/>
      <c r="W338" s="556"/>
      <c r="X338" s="556"/>
      <c r="Y338" s="557"/>
      <c r="Z338" s="151"/>
      <c r="AA338" s="154"/>
      <c r="AB338" s="155"/>
      <c r="AC338" s="253"/>
      <c r="AD338" s="253"/>
      <c r="AE338" s="157"/>
      <c r="AF338" s="152"/>
      <c r="AG338" s="152"/>
      <c r="AH338" s="152"/>
      <c r="AI338" s="134"/>
      <c r="AJ338" s="158"/>
      <c r="AK338" s="159"/>
      <c r="AL338" s="160"/>
      <c r="AM338" s="160"/>
      <c r="AN338" s="161"/>
      <c r="AO338" s="162"/>
      <c r="AP338" s="458"/>
      <c r="AQ338" s="458"/>
      <c r="AR338" s="158"/>
      <c r="AS338" s="158"/>
      <c r="AT338" s="458"/>
      <c r="AU338" s="163"/>
      <c r="AV338" s="458"/>
      <c r="AW338" s="458"/>
      <c r="AX338" s="158"/>
      <c r="AY338" s="158"/>
      <c r="AZ338" s="458"/>
      <c r="BA338" s="163"/>
      <c r="BB338" s="458"/>
      <c r="BC338" s="458"/>
      <c r="BD338" s="158"/>
      <c r="BE338" s="158"/>
      <c r="BF338" s="458"/>
      <c r="BG338" s="163"/>
      <c r="BH338" s="458"/>
      <c r="BI338" s="458"/>
      <c r="BJ338" s="158"/>
      <c r="BK338" s="158"/>
      <c r="BL338" s="458"/>
      <c r="BM338" s="458"/>
      <c r="BN338" s="458"/>
      <c r="BO338" s="458"/>
      <c r="BP338" s="158"/>
      <c r="BQ338" s="158"/>
      <c r="BR338" s="458"/>
      <c r="BS338" s="458"/>
      <c r="BT338" s="458"/>
      <c r="BU338" s="458"/>
      <c r="BV338" s="158"/>
      <c r="BW338" s="158"/>
      <c r="BX338" s="458"/>
      <c r="BY338" s="458"/>
      <c r="BZ338" s="458"/>
      <c r="CA338" s="458"/>
      <c r="CB338" s="158"/>
      <c r="CC338" s="158"/>
      <c r="CD338" s="158"/>
      <c r="CE338" s="158"/>
    </row>
    <row r="339" spans="1:83" x14ac:dyDescent="0.5">
      <c r="A339" s="268"/>
      <c r="B339" s="181"/>
      <c r="C339" s="182"/>
      <c r="D339" s="183"/>
      <c r="E339" s="184"/>
      <c r="F339" s="185"/>
      <c r="G339" s="186">
        <v>43473</v>
      </c>
      <c r="H339" s="187">
        <v>19007</v>
      </c>
      <c r="I339" s="199"/>
      <c r="J339" s="181"/>
      <c r="K339" s="240"/>
      <c r="L339" s="558"/>
      <c r="M339" s="181"/>
      <c r="N339" s="237"/>
      <c r="O339" s="237"/>
      <c r="P339" s="237"/>
      <c r="Q339" s="190"/>
      <c r="R339" s="272"/>
      <c r="S339" s="216"/>
      <c r="T339" s="217"/>
      <c r="U339" s="544"/>
      <c r="V339" s="560"/>
      <c r="W339" s="561"/>
      <c r="X339" s="561"/>
      <c r="Y339" s="562"/>
      <c r="Z339" s="198"/>
      <c r="AA339" s="200"/>
      <c r="AB339" s="201"/>
      <c r="AC339" s="237"/>
      <c r="AD339" s="237"/>
      <c r="AE339" s="203"/>
      <c r="AF339" s="199"/>
      <c r="AG339" s="199"/>
      <c r="AH339" s="199"/>
      <c r="AI339" s="180"/>
      <c r="AJ339" s="204"/>
      <c r="AK339" s="205"/>
      <c r="AL339" s="206"/>
      <c r="AM339" s="206"/>
      <c r="AN339" s="207"/>
      <c r="AO339" s="208"/>
      <c r="AP339" s="365"/>
      <c r="AQ339" s="365"/>
      <c r="AR339" s="204"/>
      <c r="AS339" s="204"/>
      <c r="AT339" s="365"/>
      <c r="AU339" s="210"/>
      <c r="AV339" s="365"/>
      <c r="AW339" s="365"/>
      <c r="AX339" s="204"/>
      <c r="AY339" s="204"/>
      <c r="AZ339" s="365"/>
      <c r="BA339" s="210"/>
      <c r="BB339" s="365"/>
      <c r="BC339" s="365"/>
      <c r="BD339" s="204"/>
      <c r="BE339" s="204"/>
      <c r="BF339" s="365"/>
      <c r="BG339" s="210"/>
      <c r="BH339" s="365"/>
      <c r="BI339" s="365"/>
      <c r="BJ339" s="204"/>
      <c r="BK339" s="204"/>
      <c r="BL339" s="365"/>
      <c r="BM339" s="365"/>
      <c r="BN339" s="365"/>
      <c r="BO339" s="365"/>
      <c r="BP339" s="204"/>
      <c r="BQ339" s="204"/>
      <c r="BR339" s="365"/>
      <c r="BS339" s="365"/>
      <c r="BT339" s="365"/>
      <c r="BU339" s="365"/>
      <c r="BV339" s="204"/>
      <c r="BW339" s="204"/>
      <c r="BX339" s="365"/>
      <c r="BY339" s="365"/>
      <c r="BZ339" s="365"/>
      <c r="CA339" s="365"/>
      <c r="CB339" s="204"/>
      <c r="CC339" s="204"/>
      <c r="CD339" s="204"/>
      <c r="CE339" s="204"/>
    </row>
    <row r="340" spans="1:83" x14ac:dyDescent="0.5">
      <c r="A340" s="227">
        <v>18065877</v>
      </c>
      <c r="B340" s="22">
        <v>18060586</v>
      </c>
      <c r="C340" s="23">
        <v>132</v>
      </c>
      <c r="D340" s="24" t="s">
        <v>184</v>
      </c>
      <c r="E340" s="25" t="s">
        <v>185</v>
      </c>
      <c r="F340" s="26">
        <v>168</v>
      </c>
      <c r="G340" s="62">
        <v>43304</v>
      </c>
      <c r="H340" s="27">
        <v>18252</v>
      </c>
      <c r="I340" s="39" t="s">
        <v>869</v>
      </c>
      <c r="J340" s="62">
        <v>43305</v>
      </c>
      <c r="K340" s="42" t="s">
        <v>15</v>
      </c>
      <c r="L340" s="520" t="s">
        <v>4</v>
      </c>
      <c r="M340" s="22" t="s">
        <v>51</v>
      </c>
      <c r="N340" s="63">
        <v>149500</v>
      </c>
      <c r="O340" s="63">
        <v>10465</v>
      </c>
      <c r="P340" s="63">
        <f t="shared" ref="P340:P347" si="69">SUM(N340:O340)</f>
        <v>159965</v>
      </c>
      <c r="AA340" s="40">
        <v>18070289</v>
      </c>
      <c r="AB340" s="41">
        <v>149500</v>
      </c>
      <c r="AC340" s="64">
        <f>AB340*7/100</f>
        <v>10465</v>
      </c>
      <c r="AD340" s="64">
        <f>AB340+AC340</f>
        <v>159965</v>
      </c>
      <c r="AE340" s="53">
        <v>43350</v>
      </c>
      <c r="AF340" s="39" t="s">
        <v>869</v>
      </c>
      <c r="AI340" s="21" t="s">
        <v>1085</v>
      </c>
      <c r="AJ340" s="44">
        <v>1</v>
      </c>
      <c r="AK340" s="45" t="s">
        <v>790</v>
      </c>
      <c r="AM340" s="46" t="s">
        <v>1205</v>
      </c>
      <c r="AN340" s="47">
        <v>1</v>
      </c>
      <c r="AO340" s="48" t="s">
        <v>633</v>
      </c>
      <c r="AP340" s="44">
        <v>2</v>
      </c>
      <c r="AQ340" s="40" t="s">
        <v>791</v>
      </c>
      <c r="AT340" s="47">
        <v>1</v>
      </c>
      <c r="AU340" s="59"/>
      <c r="AV340" s="356"/>
      <c r="AW340" s="356"/>
      <c r="AX340" s="44"/>
      <c r="AY340" s="44"/>
      <c r="AZ340" s="356"/>
      <c r="BA340" s="54"/>
      <c r="BB340" s="356"/>
      <c r="BC340" s="356"/>
      <c r="BD340" s="44"/>
      <c r="BE340" s="44"/>
      <c r="BF340" s="356"/>
      <c r="BG340" s="54"/>
      <c r="BH340" s="356"/>
      <c r="BI340" s="356"/>
      <c r="BJ340" s="44"/>
      <c r="BK340" s="44"/>
      <c r="BL340" s="356"/>
      <c r="BM340" s="356"/>
      <c r="BN340" s="356"/>
      <c r="BO340" s="356"/>
      <c r="BP340" s="44"/>
      <c r="BQ340" s="44"/>
      <c r="BR340" s="356"/>
      <c r="BS340" s="356"/>
      <c r="BT340" s="356"/>
      <c r="BU340" s="356"/>
      <c r="BV340" s="44"/>
      <c r="BW340" s="44"/>
      <c r="BX340" s="356"/>
      <c r="BY340" s="356"/>
      <c r="BZ340" s="356"/>
      <c r="CA340" s="356"/>
      <c r="CB340" s="44"/>
      <c r="CC340" s="44"/>
      <c r="CD340" s="44"/>
      <c r="CE340" s="44"/>
    </row>
    <row r="341" spans="1:83" s="95" customFormat="1" x14ac:dyDescent="0.5">
      <c r="A341" s="65">
        <v>18065876</v>
      </c>
      <c r="B341" s="66">
        <v>18060585</v>
      </c>
      <c r="C341" s="312"/>
      <c r="D341" s="313"/>
      <c r="E341" s="314"/>
      <c r="F341" s="315"/>
      <c r="G341" s="316"/>
      <c r="H341" s="317"/>
      <c r="I341" s="835"/>
      <c r="J341" s="316"/>
      <c r="K341" s="86" t="s">
        <v>129</v>
      </c>
      <c r="L341" s="589" t="s">
        <v>191</v>
      </c>
      <c r="M341" s="66" t="s">
        <v>50</v>
      </c>
      <c r="N341" s="590">
        <v>37500</v>
      </c>
      <c r="O341" s="590">
        <v>2625</v>
      </c>
      <c r="P341" s="590">
        <f t="shared" si="69"/>
        <v>40125</v>
      </c>
      <c r="Q341" s="74"/>
      <c r="R341" s="75"/>
      <c r="S341" s="76"/>
      <c r="T341" s="77"/>
      <c r="U341" s="591"/>
      <c r="V341" s="592"/>
      <c r="W341" s="593"/>
      <c r="X341" s="593"/>
      <c r="Y341" s="594"/>
      <c r="Z341" s="82"/>
      <c r="AA341" s="84"/>
      <c r="AB341" s="85"/>
      <c r="AC341" s="86"/>
      <c r="AD341" s="86"/>
      <c r="AE341" s="87"/>
      <c r="AF341" s="83"/>
      <c r="AG341" s="83"/>
      <c r="AH341" s="83"/>
      <c r="AI341" s="65"/>
      <c r="AJ341" s="88">
        <v>1</v>
      </c>
      <c r="AK341" s="89" t="s">
        <v>404</v>
      </c>
      <c r="AL341" s="90"/>
      <c r="AM341" s="90"/>
      <c r="AN341" s="91">
        <v>5</v>
      </c>
      <c r="AO341" s="633"/>
      <c r="AP341" s="356"/>
      <c r="AQ341" s="356"/>
      <c r="AR341" s="44"/>
      <c r="AS341" s="44"/>
      <c r="AT341" s="356"/>
      <c r="AU341" s="54"/>
      <c r="AV341" s="356"/>
      <c r="AW341" s="356"/>
      <c r="AX341" s="44"/>
      <c r="AY341" s="44"/>
      <c r="AZ341" s="356"/>
      <c r="BA341" s="54"/>
      <c r="BB341" s="356"/>
      <c r="BC341" s="356"/>
      <c r="BD341" s="44"/>
      <c r="BE341" s="44"/>
      <c r="BF341" s="356"/>
      <c r="BG341" s="54"/>
      <c r="BH341" s="356"/>
      <c r="BI341" s="356"/>
      <c r="BJ341" s="44"/>
      <c r="BK341" s="44"/>
      <c r="BL341" s="356"/>
      <c r="BM341" s="356"/>
      <c r="BN341" s="356"/>
      <c r="BO341" s="356"/>
      <c r="BP341" s="44"/>
      <c r="BQ341" s="44"/>
      <c r="BR341" s="356"/>
      <c r="BS341" s="356"/>
      <c r="BT341" s="356"/>
      <c r="BU341" s="356"/>
      <c r="BV341" s="44"/>
      <c r="BW341" s="44"/>
      <c r="BX341" s="356"/>
      <c r="BY341" s="356"/>
      <c r="BZ341" s="356"/>
      <c r="CA341" s="356"/>
      <c r="CB341" s="44"/>
      <c r="CC341" s="44"/>
      <c r="CD341" s="44"/>
      <c r="CE341" s="44"/>
    </row>
    <row r="342" spans="1:83" s="95" customFormat="1" x14ac:dyDescent="0.5">
      <c r="A342" s="65">
        <v>18065875</v>
      </c>
      <c r="B342" s="66">
        <v>18060584</v>
      </c>
      <c r="C342" s="312"/>
      <c r="D342" s="313"/>
      <c r="E342" s="314"/>
      <c r="F342" s="315"/>
      <c r="G342" s="316"/>
      <c r="H342" s="317"/>
      <c r="I342" s="835"/>
      <c r="J342" s="316"/>
      <c r="K342" s="86" t="s">
        <v>192</v>
      </c>
      <c r="L342" s="589" t="s">
        <v>193</v>
      </c>
      <c r="M342" s="66" t="s">
        <v>51</v>
      </c>
      <c r="N342" s="590">
        <v>69000</v>
      </c>
      <c r="O342" s="590">
        <v>4830</v>
      </c>
      <c r="P342" s="590">
        <f t="shared" si="69"/>
        <v>73830</v>
      </c>
      <c r="Q342" s="74"/>
      <c r="R342" s="75"/>
      <c r="S342" s="76"/>
      <c r="T342" s="77"/>
      <c r="U342" s="591"/>
      <c r="V342" s="592"/>
      <c r="W342" s="593"/>
      <c r="X342" s="593"/>
      <c r="Y342" s="594"/>
      <c r="Z342" s="82"/>
      <c r="AA342" s="84"/>
      <c r="AB342" s="85"/>
      <c r="AC342" s="86"/>
      <c r="AD342" s="86"/>
      <c r="AE342" s="87"/>
      <c r="AF342" s="83"/>
      <c r="AG342" s="83"/>
      <c r="AH342" s="83"/>
      <c r="AI342" s="65"/>
      <c r="AJ342" s="88">
        <v>1</v>
      </c>
      <c r="AK342" s="89" t="s">
        <v>604</v>
      </c>
      <c r="AL342" s="90"/>
      <c r="AM342" s="90"/>
      <c r="AN342" s="91">
        <v>1</v>
      </c>
      <c r="AO342" s="92" t="s">
        <v>628</v>
      </c>
      <c r="AP342" s="607"/>
      <c r="AQ342" s="607"/>
      <c r="AR342" s="88"/>
      <c r="AS342" s="88"/>
      <c r="AT342" s="607"/>
      <c r="AU342" s="94"/>
      <c r="AV342" s="607"/>
      <c r="AW342" s="607"/>
      <c r="AX342" s="88"/>
      <c r="AY342" s="88"/>
      <c r="AZ342" s="607"/>
      <c r="BA342" s="94"/>
      <c r="BB342" s="607"/>
      <c r="BC342" s="607"/>
      <c r="BD342" s="88"/>
      <c r="BE342" s="88"/>
      <c r="BF342" s="607"/>
      <c r="BG342" s="94"/>
      <c r="BH342" s="607"/>
      <c r="BI342" s="607"/>
      <c r="BJ342" s="88"/>
      <c r="BK342" s="88"/>
      <c r="BL342" s="607"/>
      <c r="BM342" s="607"/>
      <c r="BN342" s="607"/>
      <c r="BO342" s="607"/>
      <c r="BP342" s="88"/>
      <c r="BQ342" s="88"/>
      <c r="BR342" s="607"/>
      <c r="BS342" s="607"/>
      <c r="BT342" s="607"/>
      <c r="BU342" s="607"/>
      <c r="BV342" s="88"/>
      <c r="BW342" s="88"/>
      <c r="BX342" s="607"/>
      <c r="BY342" s="607"/>
      <c r="BZ342" s="607"/>
      <c r="CA342" s="607"/>
      <c r="CB342" s="88"/>
      <c r="CC342" s="88"/>
      <c r="CD342" s="607"/>
      <c r="CE342" s="607"/>
    </row>
    <row r="343" spans="1:83" s="95" customFormat="1" x14ac:dyDescent="0.5">
      <c r="A343" s="65">
        <v>18065874</v>
      </c>
      <c r="B343" s="66">
        <v>18060583</v>
      </c>
      <c r="C343" s="312"/>
      <c r="D343" s="313"/>
      <c r="E343" s="314"/>
      <c r="F343" s="315"/>
      <c r="G343" s="316"/>
      <c r="H343" s="317"/>
      <c r="I343" s="835"/>
      <c r="J343" s="316"/>
      <c r="K343" s="86" t="s">
        <v>194</v>
      </c>
      <c r="L343" s="589" t="s">
        <v>195</v>
      </c>
      <c r="M343" s="66" t="s">
        <v>51</v>
      </c>
      <c r="N343" s="590">
        <v>67000</v>
      </c>
      <c r="O343" s="590">
        <v>4690</v>
      </c>
      <c r="P343" s="590">
        <f t="shared" si="69"/>
        <v>71690</v>
      </c>
      <c r="Q343" s="74"/>
      <c r="R343" s="75"/>
      <c r="S343" s="76"/>
      <c r="T343" s="77"/>
      <c r="U343" s="591"/>
      <c r="V343" s="592"/>
      <c r="W343" s="593"/>
      <c r="X343" s="593"/>
      <c r="Y343" s="594"/>
      <c r="Z343" s="82"/>
      <c r="AA343" s="84"/>
      <c r="AB343" s="85"/>
      <c r="AC343" s="86"/>
      <c r="AD343" s="86"/>
      <c r="AE343" s="87"/>
      <c r="AF343" s="83"/>
      <c r="AG343" s="83"/>
      <c r="AH343" s="83"/>
      <c r="AI343" s="65"/>
      <c r="AJ343" s="88">
        <v>1</v>
      </c>
      <c r="AK343" s="89" t="s">
        <v>602</v>
      </c>
      <c r="AL343" s="90"/>
      <c r="AM343" s="90"/>
      <c r="AN343" s="91">
        <v>1</v>
      </c>
      <c r="AO343" s="92" t="s">
        <v>628</v>
      </c>
      <c r="AP343" s="607"/>
      <c r="AQ343" s="607"/>
      <c r="AR343" s="88"/>
      <c r="AS343" s="88"/>
      <c r="AT343" s="607"/>
      <c r="AU343" s="94"/>
      <c r="AV343" s="607"/>
      <c r="AW343" s="607"/>
      <c r="AX343" s="88"/>
      <c r="AY343" s="88"/>
      <c r="AZ343" s="607"/>
      <c r="BA343" s="94"/>
      <c r="BB343" s="607"/>
      <c r="BC343" s="607"/>
      <c r="BD343" s="88"/>
      <c r="BE343" s="88"/>
      <c r="BF343" s="607"/>
      <c r="BG343" s="94"/>
      <c r="BH343" s="607"/>
      <c r="BI343" s="607"/>
      <c r="BJ343" s="88"/>
      <c r="BK343" s="88"/>
      <c r="BL343" s="607"/>
      <c r="BM343" s="607"/>
      <c r="BN343" s="607"/>
      <c r="BO343" s="607"/>
      <c r="BP343" s="88"/>
      <c r="BQ343" s="88"/>
      <c r="BR343" s="607"/>
      <c r="BS343" s="607"/>
      <c r="BT343" s="607"/>
      <c r="BU343" s="607"/>
      <c r="BV343" s="88"/>
      <c r="BW343" s="88"/>
      <c r="BX343" s="607"/>
      <c r="BY343" s="607"/>
      <c r="BZ343" s="607"/>
      <c r="CA343" s="607"/>
      <c r="CB343" s="88"/>
      <c r="CC343" s="88"/>
      <c r="CD343" s="607"/>
      <c r="CE343" s="607"/>
    </row>
    <row r="344" spans="1:83" s="95" customFormat="1" x14ac:dyDescent="0.5">
      <c r="A344" s="65">
        <v>18065873</v>
      </c>
      <c r="B344" s="66">
        <v>18060582</v>
      </c>
      <c r="C344" s="312"/>
      <c r="D344" s="313"/>
      <c r="E344" s="314"/>
      <c r="F344" s="315"/>
      <c r="G344" s="316"/>
      <c r="H344" s="317"/>
      <c r="I344" s="835"/>
      <c r="J344" s="316"/>
      <c r="K344" s="86" t="s">
        <v>196</v>
      </c>
      <c r="L344" s="589" t="s">
        <v>197</v>
      </c>
      <c r="M344" s="66" t="s">
        <v>51</v>
      </c>
      <c r="N344" s="590">
        <v>77000</v>
      </c>
      <c r="O344" s="590">
        <v>5390</v>
      </c>
      <c r="P344" s="590">
        <f t="shared" si="69"/>
        <v>82390</v>
      </c>
      <c r="Q344" s="74"/>
      <c r="R344" s="75"/>
      <c r="S344" s="76"/>
      <c r="T344" s="77"/>
      <c r="U344" s="591"/>
      <c r="V344" s="592"/>
      <c r="W344" s="593"/>
      <c r="X344" s="593"/>
      <c r="Y344" s="594"/>
      <c r="Z344" s="82"/>
      <c r="AA344" s="84"/>
      <c r="AB344" s="85"/>
      <c r="AC344" s="86"/>
      <c r="AD344" s="86"/>
      <c r="AE344" s="87"/>
      <c r="AF344" s="83"/>
      <c r="AG344" s="83"/>
      <c r="AH344" s="83"/>
      <c r="AI344" s="65"/>
      <c r="AJ344" s="88">
        <v>1</v>
      </c>
      <c r="AK344" s="89" t="s">
        <v>606</v>
      </c>
      <c r="AL344" s="90"/>
      <c r="AM344" s="90"/>
      <c r="AN344" s="91">
        <v>1</v>
      </c>
      <c r="AO344" s="92" t="s">
        <v>628</v>
      </c>
      <c r="AP344" s="607"/>
      <c r="AQ344" s="607"/>
      <c r="AR344" s="88"/>
      <c r="AS344" s="88"/>
      <c r="AT344" s="607"/>
      <c r="AU344" s="94"/>
      <c r="AV344" s="607"/>
      <c r="AW344" s="607"/>
      <c r="AX344" s="88"/>
      <c r="AY344" s="88"/>
      <c r="AZ344" s="607"/>
      <c r="BA344" s="94"/>
      <c r="BB344" s="607"/>
      <c r="BC344" s="607"/>
      <c r="BD344" s="88"/>
      <c r="BE344" s="88"/>
      <c r="BF344" s="607"/>
      <c r="BG344" s="94"/>
      <c r="BH344" s="607"/>
      <c r="BI344" s="607"/>
      <c r="BJ344" s="88"/>
      <c r="BK344" s="88"/>
      <c r="BL344" s="607"/>
      <c r="BM344" s="607"/>
      <c r="BN344" s="607"/>
      <c r="BO344" s="607"/>
      <c r="BP344" s="88"/>
      <c r="BQ344" s="88"/>
      <c r="BR344" s="607"/>
      <c r="BS344" s="607"/>
      <c r="BT344" s="607"/>
      <c r="BU344" s="607"/>
      <c r="BV344" s="88"/>
      <c r="BW344" s="88"/>
      <c r="BX344" s="607"/>
      <c r="BY344" s="607"/>
      <c r="BZ344" s="607"/>
      <c r="CA344" s="607"/>
      <c r="CB344" s="88"/>
      <c r="CC344" s="88"/>
      <c r="CD344" s="607"/>
      <c r="CE344" s="607"/>
    </row>
    <row r="345" spans="1:83" s="95" customFormat="1" x14ac:dyDescent="0.5">
      <c r="A345" s="65">
        <v>18065872</v>
      </c>
      <c r="B345" s="66">
        <v>18060541</v>
      </c>
      <c r="C345" s="312"/>
      <c r="D345" s="313"/>
      <c r="E345" s="314"/>
      <c r="F345" s="315"/>
      <c r="G345" s="316"/>
      <c r="H345" s="317"/>
      <c r="I345" s="835"/>
      <c r="J345" s="316"/>
      <c r="K345" s="86" t="s">
        <v>177</v>
      </c>
      <c r="L345" s="589" t="s">
        <v>198</v>
      </c>
      <c r="M345" s="66" t="s">
        <v>51</v>
      </c>
      <c r="N345" s="590">
        <v>67000</v>
      </c>
      <c r="O345" s="590">
        <v>4690</v>
      </c>
      <c r="P345" s="590">
        <f t="shared" si="69"/>
        <v>71690</v>
      </c>
      <c r="Q345" s="74"/>
      <c r="R345" s="75"/>
      <c r="S345" s="76"/>
      <c r="T345" s="77"/>
      <c r="U345" s="591"/>
      <c r="V345" s="592"/>
      <c r="W345" s="593"/>
      <c r="X345" s="593"/>
      <c r="Y345" s="594"/>
      <c r="Z345" s="82"/>
      <c r="AA345" s="84"/>
      <c r="AB345" s="85"/>
      <c r="AC345" s="86"/>
      <c r="AD345" s="86"/>
      <c r="AE345" s="87"/>
      <c r="AF345" s="83"/>
      <c r="AG345" s="83"/>
      <c r="AH345" s="83"/>
      <c r="AI345" s="65"/>
      <c r="AJ345" s="88">
        <v>1</v>
      </c>
      <c r="AK345" s="89" t="s">
        <v>603</v>
      </c>
      <c r="AL345" s="90"/>
      <c r="AM345" s="90"/>
      <c r="AN345" s="91">
        <v>1</v>
      </c>
      <c r="AO345" s="92" t="s">
        <v>628</v>
      </c>
      <c r="AP345" s="607"/>
      <c r="AQ345" s="607"/>
      <c r="AR345" s="88"/>
      <c r="AS345" s="88"/>
      <c r="AT345" s="607"/>
      <c r="AU345" s="94"/>
      <c r="AV345" s="607"/>
      <c r="AW345" s="607"/>
      <c r="AX345" s="88"/>
      <c r="AY345" s="88"/>
      <c r="AZ345" s="607"/>
      <c r="BA345" s="94"/>
      <c r="BB345" s="607"/>
      <c r="BC345" s="607"/>
      <c r="BD345" s="88"/>
      <c r="BE345" s="88"/>
      <c r="BF345" s="607"/>
      <c r="BG345" s="94"/>
      <c r="BH345" s="607"/>
      <c r="BI345" s="607"/>
      <c r="BJ345" s="88"/>
      <c r="BK345" s="88"/>
      <c r="BL345" s="607"/>
      <c r="BM345" s="607"/>
      <c r="BN345" s="607"/>
      <c r="BO345" s="607"/>
      <c r="BP345" s="88"/>
      <c r="BQ345" s="88"/>
      <c r="BR345" s="607"/>
      <c r="BS345" s="607"/>
      <c r="BT345" s="607"/>
      <c r="BU345" s="607"/>
      <c r="BV345" s="88"/>
      <c r="BW345" s="88"/>
      <c r="BX345" s="607"/>
      <c r="BY345" s="607"/>
      <c r="BZ345" s="607"/>
      <c r="CA345" s="607"/>
      <c r="CB345" s="88"/>
      <c r="CC345" s="88"/>
      <c r="CD345" s="607"/>
      <c r="CE345" s="607"/>
    </row>
    <row r="346" spans="1:83" s="95" customFormat="1" x14ac:dyDescent="0.5">
      <c r="A346" s="65">
        <v>18065871</v>
      </c>
      <c r="B346" s="66">
        <v>18060540</v>
      </c>
      <c r="C346" s="312"/>
      <c r="D346" s="313"/>
      <c r="E346" s="314"/>
      <c r="F346" s="315"/>
      <c r="G346" s="316"/>
      <c r="H346" s="317"/>
      <c r="I346" s="835"/>
      <c r="J346" s="316"/>
      <c r="K346" s="86" t="s">
        <v>199</v>
      </c>
      <c r="L346" s="589" t="s">
        <v>200</v>
      </c>
      <c r="M346" s="66" t="s">
        <v>51</v>
      </c>
      <c r="N346" s="590">
        <v>63000</v>
      </c>
      <c r="O346" s="590">
        <v>4410</v>
      </c>
      <c r="P346" s="590">
        <f t="shared" si="69"/>
        <v>67410</v>
      </c>
      <c r="Q346" s="74"/>
      <c r="R346" s="75"/>
      <c r="S346" s="76"/>
      <c r="T346" s="77"/>
      <c r="U346" s="591"/>
      <c r="V346" s="592"/>
      <c r="W346" s="593"/>
      <c r="X346" s="593"/>
      <c r="Y346" s="594"/>
      <c r="Z346" s="82"/>
      <c r="AA346" s="84"/>
      <c r="AB346" s="85"/>
      <c r="AC346" s="86"/>
      <c r="AD346" s="86"/>
      <c r="AE346" s="87"/>
      <c r="AF346" s="83"/>
      <c r="AG346" s="83"/>
      <c r="AH346" s="83"/>
      <c r="AI346" s="65"/>
      <c r="AJ346" s="88">
        <v>1</v>
      </c>
      <c r="AK346" s="89" t="s">
        <v>601</v>
      </c>
      <c r="AL346" s="90"/>
      <c r="AM346" s="90"/>
      <c r="AN346" s="91">
        <v>1</v>
      </c>
      <c r="AO346" s="92" t="s">
        <v>628</v>
      </c>
      <c r="AP346" s="607"/>
      <c r="AQ346" s="607"/>
      <c r="AR346" s="88"/>
      <c r="AS346" s="88"/>
      <c r="AT346" s="607"/>
      <c r="AU346" s="94"/>
      <c r="AV346" s="607"/>
      <c r="AW346" s="607"/>
      <c r="AX346" s="88"/>
      <c r="AY346" s="88"/>
      <c r="AZ346" s="607"/>
      <c r="BA346" s="94"/>
      <c r="BB346" s="607"/>
      <c r="BC346" s="607"/>
      <c r="BD346" s="88"/>
      <c r="BE346" s="88"/>
      <c r="BF346" s="607"/>
      <c r="BG346" s="94"/>
      <c r="BH346" s="607"/>
      <c r="BI346" s="607"/>
      <c r="BJ346" s="88"/>
      <c r="BK346" s="88"/>
      <c r="BL346" s="607"/>
      <c r="BM346" s="607"/>
      <c r="BN346" s="607"/>
      <c r="BO346" s="607"/>
      <c r="BP346" s="88"/>
      <c r="BQ346" s="88"/>
      <c r="BR346" s="607"/>
      <c r="BS346" s="607"/>
      <c r="BT346" s="607"/>
      <c r="BU346" s="607"/>
      <c r="BV346" s="88"/>
      <c r="BW346" s="88"/>
      <c r="BX346" s="607"/>
      <c r="BY346" s="607"/>
      <c r="BZ346" s="607"/>
      <c r="CA346" s="607"/>
      <c r="CB346" s="88"/>
      <c r="CC346" s="88"/>
      <c r="CD346" s="607"/>
      <c r="CE346" s="607"/>
    </row>
    <row r="347" spans="1:83" x14ac:dyDescent="0.5">
      <c r="A347" s="259">
        <v>18065870</v>
      </c>
      <c r="B347" s="104">
        <v>18060560</v>
      </c>
      <c r="C347" s="105">
        <v>131</v>
      </c>
      <c r="D347" s="106" t="s">
        <v>184</v>
      </c>
      <c r="E347" s="107" t="s">
        <v>185</v>
      </c>
      <c r="F347" s="108">
        <v>174</v>
      </c>
      <c r="G347" s="211">
        <v>43315</v>
      </c>
      <c r="H347" s="164">
        <v>18259</v>
      </c>
      <c r="I347" s="127" t="s">
        <v>869</v>
      </c>
      <c r="J347" s="122">
        <v>43315</v>
      </c>
      <c r="K347" s="547" t="s">
        <v>66</v>
      </c>
      <c r="L347" s="548" t="s">
        <v>201</v>
      </c>
      <c r="M347" s="104" t="s">
        <v>68</v>
      </c>
      <c r="N347" s="260">
        <v>1400000</v>
      </c>
      <c r="O347" s="260">
        <v>98000</v>
      </c>
      <c r="P347" s="260">
        <f t="shared" si="69"/>
        <v>1498000</v>
      </c>
      <c r="Q347" s="311"/>
      <c r="R347" s="113"/>
      <c r="S347" s="114"/>
      <c r="T347" s="115"/>
      <c r="U347" s="550">
        <v>20000</v>
      </c>
      <c r="V347" s="551"/>
      <c r="W347" s="552"/>
      <c r="X347" s="552">
        <v>4339.2</v>
      </c>
      <c r="Y347" s="553"/>
      <c r="Z347" s="120"/>
      <c r="AA347" s="229">
        <v>18070239</v>
      </c>
      <c r="AB347" s="230">
        <v>420000</v>
      </c>
      <c r="AC347" s="234">
        <f>AB347*7/100</f>
        <v>29400</v>
      </c>
      <c r="AD347" s="234">
        <f>AB347+AC347</f>
        <v>449400</v>
      </c>
      <c r="AE347" s="221">
        <v>43280</v>
      </c>
      <c r="AF347" s="121" t="s">
        <v>869</v>
      </c>
      <c r="AG347" s="121"/>
      <c r="AH347" s="121"/>
      <c r="AI347" s="222" t="s">
        <v>946</v>
      </c>
      <c r="AJ347" s="128">
        <v>1</v>
      </c>
      <c r="AK347" s="129" t="s">
        <v>749</v>
      </c>
      <c r="AL347" s="130" t="s">
        <v>1205</v>
      </c>
      <c r="AM347" s="130"/>
      <c r="AN347" s="131">
        <v>2</v>
      </c>
      <c r="AO347" s="132" t="s">
        <v>634</v>
      </c>
      <c r="AP347" s="128">
        <v>2</v>
      </c>
      <c r="AQ347" s="123" t="s">
        <v>750</v>
      </c>
      <c r="AR347" s="131" t="s">
        <v>1205</v>
      </c>
      <c r="AS347" s="131"/>
      <c r="AT347" s="131">
        <v>1</v>
      </c>
      <c r="AU347" s="169" t="s">
        <v>634</v>
      </c>
      <c r="AV347" s="361"/>
      <c r="AW347" s="361"/>
      <c r="AX347" s="128"/>
      <c r="AY347" s="128"/>
      <c r="AZ347" s="361"/>
      <c r="BA347" s="133"/>
      <c r="BB347" s="361"/>
      <c r="BC347" s="361"/>
      <c r="BD347" s="128"/>
      <c r="BE347" s="128"/>
      <c r="BF347" s="361"/>
      <c r="BG347" s="133"/>
      <c r="BH347" s="361"/>
      <c r="BI347" s="361"/>
      <c r="BJ347" s="128"/>
      <c r="BK347" s="128"/>
      <c r="BL347" s="361"/>
      <c r="BM347" s="361"/>
      <c r="BN347" s="361"/>
      <c r="BO347" s="361"/>
      <c r="BP347" s="128"/>
      <c r="BQ347" s="128"/>
      <c r="BR347" s="361"/>
      <c r="BS347" s="361"/>
      <c r="BT347" s="361"/>
      <c r="BU347" s="361"/>
      <c r="BV347" s="128"/>
      <c r="BW347" s="128"/>
      <c r="BX347" s="361"/>
      <c r="BY347" s="361"/>
      <c r="BZ347" s="361"/>
      <c r="CA347" s="361"/>
      <c r="CB347" s="128"/>
      <c r="CC347" s="128"/>
      <c r="CD347" s="361"/>
      <c r="CE347" s="361"/>
    </row>
    <row r="348" spans="1:83" x14ac:dyDescent="0.5">
      <c r="A348" s="262"/>
      <c r="B348" s="135"/>
      <c r="C348" s="136"/>
      <c r="D348" s="137"/>
      <c r="E348" s="138"/>
      <c r="F348" s="139"/>
      <c r="G348" s="170">
        <v>43315</v>
      </c>
      <c r="H348" s="251">
        <v>18260</v>
      </c>
      <c r="I348" s="152"/>
      <c r="J348" s="179"/>
      <c r="K348" s="255"/>
      <c r="L348" s="300"/>
      <c r="M348" s="135"/>
      <c r="N348" s="253"/>
      <c r="O348" s="253"/>
      <c r="P348" s="253"/>
      <c r="Q348" s="143"/>
      <c r="R348" s="144"/>
      <c r="S348" s="145"/>
      <c r="T348" s="146"/>
      <c r="U348" s="529"/>
      <c r="V348" s="555"/>
      <c r="W348" s="556"/>
      <c r="X348" s="556"/>
      <c r="Y348" s="557"/>
      <c r="Z348" s="151"/>
      <c r="AA348" s="154"/>
      <c r="AB348" s="155"/>
      <c r="AC348" s="263"/>
      <c r="AD348" s="263"/>
      <c r="AE348" s="157"/>
      <c r="AF348" s="152"/>
      <c r="AG348" s="152"/>
      <c r="AH348" s="152"/>
      <c r="AI348" s="134"/>
      <c r="AJ348" s="158"/>
      <c r="AK348" s="159"/>
      <c r="AL348" s="160"/>
      <c r="AM348" s="160"/>
      <c r="AN348" s="161"/>
      <c r="AO348" s="162"/>
      <c r="AP348" s="158"/>
      <c r="AQ348" s="154"/>
      <c r="AR348" s="161"/>
      <c r="AS348" s="161"/>
      <c r="AT348" s="161"/>
      <c r="AU348" s="177"/>
      <c r="AV348" s="458"/>
      <c r="AW348" s="458"/>
      <c r="AX348" s="158"/>
      <c r="AY348" s="158"/>
      <c r="AZ348" s="458"/>
      <c r="BA348" s="163"/>
      <c r="BB348" s="458"/>
      <c r="BC348" s="458"/>
      <c r="BD348" s="158"/>
      <c r="BE348" s="158"/>
      <c r="BF348" s="458"/>
      <c r="BG348" s="163"/>
      <c r="BH348" s="458"/>
      <c r="BI348" s="458"/>
      <c r="BJ348" s="158"/>
      <c r="BK348" s="158"/>
      <c r="BL348" s="458"/>
      <c r="BM348" s="458"/>
      <c r="BN348" s="458"/>
      <c r="BO348" s="458"/>
      <c r="BP348" s="158"/>
      <c r="BQ348" s="158"/>
      <c r="BR348" s="458"/>
      <c r="BS348" s="458"/>
      <c r="BT348" s="458"/>
      <c r="BU348" s="458"/>
      <c r="BV348" s="158"/>
      <c r="BW348" s="158"/>
      <c r="BX348" s="458"/>
      <c r="BY348" s="458"/>
      <c r="BZ348" s="458"/>
      <c r="CA348" s="458"/>
      <c r="CB348" s="158"/>
      <c r="CC348" s="158"/>
      <c r="CD348" s="458"/>
      <c r="CE348" s="458"/>
    </row>
    <row r="349" spans="1:83" x14ac:dyDescent="0.5">
      <c r="A349" s="268"/>
      <c r="B349" s="181"/>
      <c r="C349" s="182"/>
      <c r="D349" s="183"/>
      <c r="E349" s="184"/>
      <c r="F349" s="185"/>
      <c r="G349" s="186">
        <v>43315</v>
      </c>
      <c r="H349" s="187">
        <v>18261</v>
      </c>
      <c r="I349" s="199"/>
      <c r="J349" s="186"/>
      <c r="K349" s="240"/>
      <c r="L349" s="558"/>
      <c r="M349" s="181"/>
      <c r="N349" s="237"/>
      <c r="O349" s="237"/>
      <c r="P349" s="237"/>
      <c r="Q349" s="190"/>
      <c r="R349" s="215"/>
      <c r="S349" s="216"/>
      <c r="T349" s="217"/>
      <c r="U349" s="544"/>
      <c r="V349" s="560"/>
      <c r="W349" s="561"/>
      <c r="X349" s="561"/>
      <c r="Y349" s="562"/>
      <c r="Z349" s="198"/>
      <c r="AA349" s="200">
        <v>18080297</v>
      </c>
      <c r="AB349" s="201">
        <v>980000</v>
      </c>
      <c r="AC349" s="238">
        <f>AB349*7/100</f>
        <v>68600</v>
      </c>
      <c r="AD349" s="238">
        <f>AB349+AC349</f>
        <v>1048600</v>
      </c>
      <c r="AE349" s="203">
        <v>43318</v>
      </c>
      <c r="AF349" s="199" t="s">
        <v>869</v>
      </c>
      <c r="AG349" s="199"/>
      <c r="AH349" s="199"/>
      <c r="AI349" s="180" t="s">
        <v>1079</v>
      </c>
      <c r="AJ349" s="204"/>
      <c r="AK349" s="205"/>
      <c r="AL349" s="206"/>
      <c r="AM349" s="206"/>
      <c r="AN349" s="207"/>
      <c r="AO349" s="208"/>
      <c r="AP349" s="204"/>
      <c r="AQ349" s="200"/>
      <c r="AR349" s="207"/>
      <c r="AS349" s="207"/>
      <c r="AT349" s="207"/>
      <c r="AU349" s="209"/>
      <c r="AV349" s="365"/>
      <c r="AW349" s="365"/>
      <c r="AX349" s="204"/>
      <c r="AY349" s="204"/>
      <c r="AZ349" s="365"/>
      <c r="BA349" s="210"/>
      <c r="BB349" s="365"/>
      <c r="BC349" s="365"/>
      <c r="BD349" s="204"/>
      <c r="BE349" s="204"/>
      <c r="BF349" s="365"/>
      <c r="BG349" s="210"/>
      <c r="BH349" s="365"/>
      <c r="BI349" s="365"/>
      <c r="BJ349" s="204"/>
      <c r="BK349" s="204"/>
      <c r="BL349" s="365"/>
      <c r="BM349" s="365"/>
      <c r="BN349" s="365"/>
      <c r="BO349" s="365"/>
      <c r="BP349" s="204"/>
      <c r="BQ349" s="204"/>
      <c r="BR349" s="365"/>
      <c r="BS349" s="365"/>
      <c r="BT349" s="365"/>
      <c r="BU349" s="365"/>
      <c r="BV349" s="204"/>
      <c r="BW349" s="204"/>
      <c r="BX349" s="365"/>
      <c r="BY349" s="365"/>
      <c r="BZ349" s="365"/>
      <c r="CA349" s="365"/>
      <c r="CB349" s="204"/>
      <c r="CC349" s="204"/>
      <c r="CD349" s="365"/>
      <c r="CE349" s="365"/>
    </row>
    <row r="350" spans="1:83" x14ac:dyDescent="0.5">
      <c r="A350" s="259">
        <v>18065869</v>
      </c>
      <c r="B350" s="104">
        <v>18060575</v>
      </c>
      <c r="C350" s="105">
        <v>130</v>
      </c>
      <c r="D350" s="106" t="s">
        <v>184</v>
      </c>
      <c r="E350" s="721" t="s">
        <v>185</v>
      </c>
      <c r="F350" s="722">
        <v>157</v>
      </c>
      <c r="G350" s="723">
        <v>43292</v>
      </c>
      <c r="H350" s="724">
        <v>18237</v>
      </c>
      <c r="I350" s="248"/>
      <c r="J350" s="635"/>
      <c r="K350" s="547" t="s">
        <v>20</v>
      </c>
      <c r="L350" s="548" t="s">
        <v>202</v>
      </c>
      <c r="M350" s="104" t="s">
        <v>51</v>
      </c>
      <c r="N350" s="260">
        <v>60000</v>
      </c>
      <c r="O350" s="260">
        <f>N350*7/100</f>
        <v>4200</v>
      </c>
      <c r="P350" s="260">
        <f>N350+O350</f>
        <v>64200</v>
      </c>
      <c r="Q350" s="311"/>
      <c r="R350" s="113"/>
      <c r="S350" s="114"/>
      <c r="T350" s="115"/>
      <c r="U350" s="550"/>
      <c r="V350" s="551"/>
      <c r="W350" s="552"/>
      <c r="X350" s="552"/>
      <c r="Y350" s="553"/>
      <c r="Z350" s="120"/>
      <c r="AA350" s="123">
        <v>19030065</v>
      </c>
      <c r="AB350" s="124">
        <v>60000</v>
      </c>
      <c r="AC350" s="125">
        <f>AB350*7/100</f>
        <v>4200</v>
      </c>
      <c r="AD350" s="125">
        <f>AB350+AC350</f>
        <v>64200</v>
      </c>
      <c r="AE350" s="126">
        <v>43558</v>
      </c>
      <c r="AF350" s="127" t="s">
        <v>869</v>
      </c>
      <c r="AG350" s="127"/>
      <c r="AH350" s="127"/>
      <c r="AI350" s="103" t="s">
        <v>2036</v>
      </c>
      <c r="AJ350" s="128">
        <v>1</v>
      </c>
      <c r="AK350" s="129" t="s">
        <v>729</v>
      </c>
      <c r="AL350" s="130"/>
      <c r="AM350" s="130" t="s">
        <v>1205</v>
      </c>
      <c r="AN350" s="131">
        <v>1</v>
      </c>
      <c r="AO350" s="132" t="s">
        <v>633</v>
      </c>
      <c r="AP350" s="361"/>
      <c r="AQ350" s="361"/>
      <c r="AR350" s="128"/>
      <c r="AS350" s="128"/>
      <c r="AT350" s="361"/>
      <c r="AU350" s="133"/>
      <c r="AV350" s="361"/>
      <c r="AW350" s="361"/>
      <c r="AX350" s="128"/>
      <c r="AY350" s="128"/>
      <c r="AZ350" s="361"/>
      <c r="BA350" s="133"/>
      <c r="BB350" s="361"/>
      <c r="BC350" s="361"/>
      <c r="BD350" s="128"/>
      <c r="BE350" s="128"/>
      <c r="BF350" s="361"/>
      <c r="BG350" s="133"/>
      <c r="BH350" s="361"/>
      <c r="BI350" s="361"/>
      <c r="BJ350" s="128"/>
      <c r="BK350" s="128"/>
      <c r="BL350" s="361"/>
      <c r="BM350" s="361"/>
      <c r="BN350" s="361"/>
      <c r="BO350" s="361"/>
      <c r="BP350" s="128"/>
      <c r="BQ350" s="128"/>
      <c r="BR350" s="361"/>
      <c r="BS350" s="361"/>
      <c r="BT350" s="361"/>
      <c r="BU350" s="361"/>
      <c r="BV350" s="128"/>
      <c r="BW350" s="128"/>
      <c r="BX350" s="361"/>
      <c r="BY350" s="361"/>
      <c r="BZ350" s="361"/>
      <c r="CA350" s="361"/>
      <c r="CB350" s="128"/>
      <c r="CC350" s="128"/>
      <c r="CD350" s="128"/>
      <c r="CE350" s="128"/>
    </row>
    <row r="351" spans="1:83" x14ac:dyDescent="0.5">
      <c r="A351" s="268">
        <v>18065869</v>
      </c>
      <c r="B351" s="181">
        <v>18060575</v>
      </c>
      <c r="C351" s="182" t="s">
        <v>1734</v>
      </c>
      <c r="D351" s="183" t="s">
        <v>184</v>
      </c>
      <c r="E351" s="184" t="s">
        <v>1324</v>
      </c>
      <c r="F351" s="185" t="s">
        <v>1423</v>
      </c>
      <c r="G351" s="186">
        <v>43522</v>
      </c>
      <c r="H351" s="187">
        <v>19074</v>
      </c>
      <c r="I351" s="257" t="s">
        <v>869</v>
      </c>
      <c r="J351" s="636">
        <v>43523</v>
      </c>
      <c r="K351" s="240" t="s">
        <v>20</v>
      </c>
      <c r="L351" s="558" t="s">
        <v>202</v>
      </c>
      <c r="M351" s="181"/>
      <c r="N351" s="237"/>
      <c r="O351" s="237"/>
      <c r="P351" s="237"/>
      <c r="Q351" s="190"/>
      <c r="R351" s="215"/>
      <c r="S351" s="216"/>
      <c r="T351" s="217"/>
      <c r="U351" s="544"/>
      <c r="V351" s="560"/>
      <c r="W351" s="561"/>
      <c r="X351" s="561"/>
      <c r="Y351" s="562"/>
      <c r="Z351" s="198"/>
      <c r="AA351" s="200"/>
      <c r="AB351" s="201"/>
      <c r="AC351" s="240"/>
      <c r="AD351" s="240"/>
      <c r="AE351" s="241"/>
      <c r="AF351" s="199"/>
      <c r="AG351" s="199"/>
      <c r="AH351" s="199"/>
      <c r="AI351" s="180"/>
      <c r="AJ351" s="204"/>
      <c r="AK351" s="205"/>
      <c r="AL351" s="206"/>
      <c r="AM351" s="206"/>
      <c r="AN351" s="207"/>
      <c r="AO351" s="208"/>
      <c r="AP351" s="365"/>
      <c r="AQ351" s="365"/>
      <c r="AR351" s="204"/>
      <c r="AS351" s="204"/>
      <c r="AT351" s="365"/>
      <c r="AU351" s="210"/>
      <c r="AV351" s="365"/>
      <c r="AW351" s="365"/>
      <c r="AX351" s="204"/>
      <c r="AY351" s="204"/>
      <c r="AZ351" s="365"/>
      <c r="BA351" s="210"/>
      <c r="BB351" s="365"/>
      <c r="BC351" s="365"/>
      <c r="BD351" s="204"/>
      <c r="BE351" s="204"/>
      <c r="BF351" s="365"/>
      <c r="BG351" s="210"/>
      <c r="BH351" s="365"/>
      <c r="BI351" s="365"/>
      <c r="BJ351" s="204"/>
      <c r="BK351" s="204"/>
      <c r="BL351" s="365"/>
      <c r="BM351" s="365"/>
      <c r="BN351" s="365"/>
      <c r="BO351" s="365"/>
      <c r="BP351" s="204"/>
      <c r="BQ351" s="204"/>
      <c r="BR351" s="365"/>
      <c r="BS351" s="365"/>
      <c r="BT351" s="365"/>
      <c r="BU351" s="365"/>
      <c r="BV351" s="204"/>
      <c r="BW351" s="204"/>
      <c r="BX351" s="365"/>
      <c r="BY351" s="365"/>
      <c r="BZ351" s="365"/>
      <c r="CA351" s="365"/>
      <c r="CB351" s="204"/>
      <c r="CC351" s="204"/>
      <c r="CD351" s="204"/>
      <c r="CE351" s="204"/>
    </row>
    <row r="352" spans="1:83" x14ac:dyDescent="0.5">
      <c r="A352" s="227">
        <v>18065868</v>
      </c>
      <c r="B352" s="22">
        <v>18060573</v>
      </c>
      <c r="C352" s="23">
        <v>129</v>
      </c>
      <c r="D352" s="24" t="s">
        <v>184</v>
      </c>
      <c r="E352" s="25" t="s">
        <v>185</v>
      </c>
      <c r="F352" s="26">
        <v>152</v>
      </c>
      <c r="G352" s="62">
        <v>43287</v>
      </c>
      <c r="H352" s="27">
        <v>18232</v>
      </c>
      <c r="I352" s="39" t="s">
        <v>869</v>
      </c>
      <c r="J352" s="62">
        <v>43288</v>
      </c>
      <c r="K352" s="42" t="s">
        <v>23</v>
      </c>
      <c r="L352" s="520" t="s">
        <v>160</v>
      </c>
      <c r="M352" s="22" t="s">
        <v>51</v>
      </c>
      <c r="N352" s="63">
        <v>185000</v>
      </c>
      <c r="O352" s="63">
        <v>12950</v>
      </c>
      <c r="P352" s="63">
        <f t="shared" ref="P352:P479" si="70">SUM(N352:O352)</f>
        <v>197950</v>
      </c>
      <c r="AA352" s="40">
        <v>18070244</v>
      </c>
      <c r="AB352" s="41">
        <v>185000</v>
      </c>
      <c r="AC352" s="64">
        <f>AB352*7/100</f>
        <v>12950</v>
      </c>
      <c r="AD352" s="64">
        <f>AB352+AC352</f>
        <v>197950</v>
      </c>
      <c r="AE352" s="53">
        <v>43285</v>
      </c>
      <c r="AF352" s="39" t="s">
        <v>869</v>
      </c>
      <c r="AI352" s="21" t="s">
        <v>1097</v>
      </c>
      <c r="AJ352" s="44">
        <v>1</v>
      </c>
      <c r="AK352" s="45" t="s">
        <v>777</v>
      </c>
      <c r="AM352" s="46" t="s">
        <v>1205</v>
      </c>
      <c r="AN352" s="47">
        <v>1</v>
      </c>
      <c r="AO352" s="48" t="s">
        <v>633</v>
      </c>
      <c r="AP352" s="44">
        <v>2</v>
      </c>
      <c r="AQ352" s="40" t="s">
        <v>778</v>
      </c>
      <c r="AS352" s="47" t="s">
        <v>1205</v>
      </c>
      <c r="AT352" s="47">
        <v>1</v>
      </c>
      <c r="AU352" s="49" t="s">
        <v>633</v>
      </c>
      <c r="AV352" s="356"/>
      <c r="AW352" s="356"/>
      <c r="AX352" s="44"/>
      <c r="AY352" s="44"/>
      <c r="AZ352" s="356"/>
      <c r="BA352" s="54"/>
      <c r="BB352" s="356"/>
      <c r="BC352" s="356"/>
      <c r="BD352" s="44"/>
      <c r="BE352" s="44"/>
      <c r="BF352" s="356"/>
      <c r="BG352" s="54"/>
      <c r="BH352" s="356"/>
      <c r="BI352" s="356"/>
      <c r="BJ352" s="44"/>
      <c r="BK352" s="44"/>
      <c r="BL352" s="356"/>
      <c r="BM352" s="356"/>
      <c r="BN352" s="356"/>
      <c r="BO352" s="356"/>
      <c r="BP352" s="44"/>
      <c r="BQ352" s="44"/>
      <c r="BR352" s="356"/>
      <c r="BS352" s="356"/>
      <c r="BT352" s="356"/>
      <c r="BU352" s="356"/>
      <c r="BV352" s="44"/>
      <c r="BW352" s="44"/>
      <c r="BX352" s="356"/>
      <c r="BY352" s="356"/>
      <c r="BZ352" s="356"/>
      <c r="CA352" s="356"/>
      <c r="CB352" s="44"/>
      <c r="CC352" s="44"/>
      <c r="CD352" s="44"/>
      <c r="CE352" s="44"/>
    </row>
    <row r="353" spans="1:83" x14ac:dyDescent="0.5">
      <c r="A353" s="227">
        <v>18065867</v>
      </c>
      <c r="B353" s="22">
        <v>18060567</v>
      </c>
      <c r="C353" s="23">
        <v>128</v>
      </c>
      <c r="D353" s="24" t="s">
        <v>184</v>
      </c>
      <c r="E353" s="25" t="s">
        <v>185</v>
      </c>
      <c r="F353" s="26">
        <v>165</v>
      </c>
      <c r="G353" s="62">
        <v>43300</v>
      </c>
      <c r="H353" s="27">
        <v>18250</v>
      </c>
      <c r="I353" s="39" t="s">
        <v>869</v>
      </c>
      <c r="J353" s="62">
        <v>43301</v>
      </c>
      <c r="K353" s="42" t="s">
        <v>15</v>
      </c>
      <c r="L353" s="520" t="s">
        <v>203</v>
      </c>
      <c r="M353" s="22" t="s">
        <v>51</v>
      </c>
      <c r="N353" s="63">
        <v>225440</v>
      </c>
      <c r="O353" s="63">
        <v>15780.8</v>
      </c>
      <c r="P353" s="63">
        <f t="shared" si="70"/>
        <v>241220.8</v>
      </c>
      <c r="AA353" s="40">
        <v>18070290</v>
      </c>
      <c r="AB353" s="41">
        <v>225440</v>
      </c>
      <c r="AC353" s="64">
        <f>AB353*7/100</f>
        <v>15780.8</v>
      </c>
      <c r="AD353" s="64">
        <f>AB353+AC353</f>
        <v>241220.8</v>
      </c>
      <c r="AE353" s="53">
        <v>43350</v>
      </c>
      <c r="AF353" s="39" t="s">
        <v>869</v>
      </c>
      <c r="AI353" s="21" t="s">
        <v>1085</v>
      </c>
      <c r="AJ353" s="44">
        <v>1</v>
      </c>
      <c r="AK353" s="45" t="s">
        <v>788</v>
      </c>
      <c r="AM353" s="46" t="s">
        <v>1205</v>
      </c>
      <c r="AN353" s="47">
        <v>1</v>
      </c>
      <c r="AO353" s="48" t="s">
        <v>633</v>
      </c>
      <c r="AP353" s="44">
        <v>2</v>
      </c>
      <c r="AQ353" s="40" t="s">
        <v>789</v>
      </c>
      <c r="AS353" s="47" t="s">
        <v>1205</v>
      </c>
      <c r="AT353" s="47">
        <v>1</v>
      </c>
      <c r="AU353" s="49" t="s">
        <v>633</v>
      </c>
      <c r="AV353" s="356"/>
      <c r="AW353" s="356"/>
      <c r="AX353" s="44"/>
      <c r="AY353" s="44"/>
      <c r="AZ353" s="356"/>
      <c r="BA353" s="54"/>
      <c r="BB353" s="356"/>
      <c r="BC353" s="356"/>
      <c r="BD353" s="44"/>
      <c r="BE353" s="44"/>
      <c r="BF353" s="356"/>
      <c r="BG353" s="54"/>
      <c r="BH353" s="356"/>
      <c r="BI353" s="356"/>
      <c r="BJ353" s="44"/>
      <c r="BK353" s="44"/>
      <c r="BL353" s="356"/>
      <c r="BM353" s="356"/>
      <c r="BN353" s="356"/>
      <c r="BO353" s="356"/>
      <c r="BP353" s="44"/>
      <c r="BQ353" s="44"/>
      <c r="BR353" s="356"/>
      <c r="BS353" s="356"/>
      <c r="BT353" s="356"/>
      <c r="BU353" s="356"/>
      <c r="BV353" s="44"/>
      <c r="BW353" s="44"/>
      <c r="BX353" s="356"/>
      <c r="BY353" s="356"/>
      <c r="BZ353" s="356"/>
      <c r="CA353" s="356"/>
      <c r="CB353" s="44"/>
      <c r="CC353" s="44"/>
      <c r="CD353" s="44"/>
      <c r="CE353" s="44"/>
    </row>
    <row r="354" spans="1:83" x14ac:dyDescent="0.5">
      <c r="A354" s="21">
        <v>18065866</v>
      </c>
      <c r="B354" s="22">
        <v>18060566</v>
      </c>
      <c r="C354" s="23">
        <v>127</v>
      </c>
      <c r="D354" s="24" t="s">
        <v>184</v>
      </c>
      <c r="K354" s="42" t="s">
        <v>204</v>
      </c>
      <c r="L354" s="520" t="s">
        <v>205</v>
      </c>
      <c r="M354" s="22" t="s">
        <v>51</v>
      </c>
      <c r="N354" s="63">
        <v>13200</v>
      </c>
      <c r="O354" s="63">
        <v>924</v>
      </c>
      <c r="P354" s="63">
        <f t="shared" si="70"/>
        <v>14124</v>
      </c>
      <c r="AJ354" s="44">
        <v>1</v>
      </c>
      <c r="AK354" s="45" t="s">
        <v>661</v>
      </c>
      <c r="AM354" s="46" t="s">
        <v>1205</v>
      </c>
      <c r="AN354" s="47">
        <v>1</v>
      </c>
      <c r="AO354" s="48" t="s">
        <v>634</v>
      </c>
      <c r="AP354" s="356"/>
      <c r="AQ354" s="356"/>
      <c r="AR354" s="44"/>
      <c r="AS354" s="44"/>
      <c r="AT354" s="356"/>
      <c r="AU354" s="54"/>
      <c r="AV354" s="356"/>
      <c r="AW354" s="356"/>
      <c r="AX354" s="44"/>
      <c r="AY354" s="44"/>
      <c r="AZ354" s="356"/>
      <c r="BA354" s="54"/>
      <c r="BB354" s="356"/>
      <c r="BC354" s="356"/>
      <c r="BD354" s="44"/>
      <c r="BE354" s="44"/>
      <c r="BF354" s="356"/>
      <c r="BG354" s="54"/>
      <c r="BH354" s="356"/>
      <c r="BI354" s="356"/>
      <c r="BJ354" s="44"/>
      <c r="BK354" s="44"/>
      <c r="BL354" s="356"/>
      <c r="BM354" s="356"/>
      <c r="BN354" s="356"/>
      <c r="BO354" s="356"/>
      <c r="BP354" s="44"/>
      <c r="BQ354" s="44"/>
      <c r="BR354" s="356"/>
      <c r="BS354" s="356"/>
      <c r="BT354" s="356"/>
      <c r="BU354" s="356"/>
      <c r="BV354" s="44"/>
      <c r="BW354" s="44"/>
      <c r="BX354" s="356"/>
      <c r="BY354" s="356"/>
      <c r="BZ354" s="356"/>
      <c r="CA354" s="356"/>
      <c r="CB354" s="44"/>
      <c r="CC354" s="44"/>
      <c r="CD354" s="44"/>
      <c r="CE354" s="44"/>
    </row>
    <row r="355" spans="1:83" x14ac:dyDescent="0.5">
      <c r="A355" s="227">
        <v>18065865</v>
      </c>
      <c r="B355" s="22">
        <v>18060558</v>
      </c>
      <c r="C355" s="23">
        <v>126</v>
      </c>
      <c r="D355" s="24" t="s">
        <v>184</v>
      </c>
      <c r="E355" s="25" t="s">
        <v>185</v>
      </c>
      <c r="F355" s="26">
        <v>171</v>
      </c>
      <c r="G355" s="62">
        <v>43305</v>
      </c>
      <c r="H355" s="27">
        <v>18253</v>
      </c>
      <c r="I355" s="39" t="s">
        <v>869</v>
      </c>
      <c r="J355" s="62">
        <v>43306</v>
      </c>
      <c r="K355" s="42" t="s">
        <v>206</v>
      </c>
      <c r="L355" s="520" t="s">
        <v>207</v>
      </c>
      <c r="M355" s="22" t="s">
        <v>52</v>
      </c>
      <c r="N355" s="63">
        <v>69900</v>
      </c>
      <c r="O355" s="63">
        <v>4893</v>
      </c>
      <c r="P355" s="63">
        <f t="shared" si="70"/>
        <v>74793</v>
      </c>
      <c r="AA355" s="40">
        <v>18070292</v>
      </c>
      <c r="AB355" s="41">
        <v>69900</v>
      </c>
      <c r="AC355" s="64">
        <f>AB355*7/100</f>
        <v>4893</v>
      </c>
      <c r="AD355" s="64">
        <f>AB355+AC355</f>
        <v>74793</v>
      </c>
      <c r="AE355" s="53">
        <v>43306</v>
      </c>
      <c r="AF355" s="39" t="s">
        <v>869</v>
      </c>
      <c r="AI355" s="21" t="s">
        <v>1088</v>
      </c>
      <c r="AJ355" s="44">
        <v>1</v>
      </c>
      <c r="AK355" s="45" t="s">
        <v>599</v>
      </c>
      <c r="AM355" s="46" t="s">
        <v>1205</v>
      </c>
      <c r="AN355" s="47">
        <v>1</v>
      </c>
      <c r="AO355" s="48" t="s">
        <v>634</v>
      </c>
      <c r="AP355" s="44">
        <v>2</v>
      </c>
      <c r="AQ355" s="40" t="s">
        <v>600</v>
      </c>
      <c r="AS355" s="47" t="s">
        <v>1205</v>
      </c>
      <c r="AT355" s="47">
        <v>1</v>
      </c>
      <c r="AU355" s="49" t="s">
        <v>636</v>
      </c>
      <c r="AV355" s="356"/>
      <c r="AW355" s="356"/>
      <c r="AX355" s="44"/>
      <c r="AY355" s="44"/>
      <c r="AZ355" s="356"/>
      <c r="BA355" s="54"/>
      <c r="BB355" s="356"/>
      <c r="BC355" s="356"/>
      <c r="BD355" s="44"/>
      <c r="BE355" s="44"/>
      <c r="BF355" s="356"/>
      <c r="BG355" s="54"/>
      <c r="BH355" s="356"/>
      <c r="BI355" s="356"/>
      <c r="BJ355" s="44"/>
      <c r="BK355" s="44"/>
      <c r="BL355" s="356"/>
      <c r="BM355" s="356"/>
      <c r="BN355" s="356"/>
      <c r="BO355" s="356"/>
      <c r="BP355" s="44"/>
      <c r="BQ355" s="44"/>
      <c r="BR355" s="356"/>
      <c r="BS355" s="356"/>
      <c r="BT355" s="356"/>
      <c r="BU355" s="356"/>
      <c r="BV355" s="44"/>
      <c r="BW355" s="44"/>
      <c r="BX355" s="356"/>
      <c r="BY355" s="356"/>
      <c r="BZ355" s="356"/>
      <c r="CA355" s="356"/>
      <c r="CB355" s="44"/>
      <c r="CC355" s="44"/>
      <c r="CD355" s="44"/>
      <c r="CE355" s="44"/>
    </row>
    <row r="356" spans="1:83" s="95" customFormat="1" x14ac:dyDescent="0.5">
      <c r="A356" s="65">
        <v>18065864</v>
      </c>
      <c r="B356" s="66">
        <v>18060563</v>
      </c>
      <c r="C356" s="67">
        <v>125</v>
      </c>
      <c r="D356" s="24" t="s">
        <v>184</v>
      </c>
      <c r="E356" s="69"/>
      <c r="F356" s="70"/>
      <c r="G356" s="66"/>
      <c r="H356" s="71"/>
      <c r="I356" s="83"/>
      <c r="J356" s="66"/>
      <c r="K356" s="86" t="s">
        <v>208</v>
      </c>
      <c r="L356" s="589" t="s">
        <v>209</v>
      </c>
      <c r="M356" s="66" t="s">
        <v>50</v>
      </c>
      <c r="N356" s="590">
        <v>78900</v>
      </c>
      <c r="O356" s="590">
        <v>5523</v>
      </c>
      <c r="P356" s="590">
        <f t="shared" si="70"/>
        <v>84423</v>
      </c>
      <c r="Q356" s="74"/>
      <c r="R356" s="75"/>
      <c r="S356" s="76"/>
      <c r="T356" s="77"/>
      <c r="U356" s="591">
        <v>3795</v>
      </c>
      <c r="V356" s="592"/>
      <c r="W356" s="593"/>
      <c r="X356" s="593">
        <v>115</v>
      </c>
      <c r="Y356" s="594"/>
      <c r="Z356" s="82"/>
      <c r="AA356" s="84"/>
      <c r="AB356" s="85"/>
      <c r="AC356" s="86"/>
      <c r="AD356" s="86"/>
      <c r="AE356" s="87"/>
      <c r="AF356" s="83"/>
      <c r="AG356" s="83"/>
      <c r="AH356" s="83"/>
      <c r="AI356" s="65"/>
      <c r="AJ356" s="88">
        <v>1</v>
      </c>
      <c r="AK356" s="89" t="s">
        <v>662</v>
      </c>
      <c r="AL356" s="90"/>
      <c r="AM356" s="46" t="s">
        <v>1205</v>
      </c>
      <c r="AN356" s="91">
        <v>1</v>
      </c>
      <c r="AO356" s="92" t="s">
        <v>634</v>
      </c>
      <c r="AP356" s="356"/>
      <c r="AQ356" s="356"/>
      <c r="AR356" s="44"/>
      <c r="AS356" s="44"/>
      <c r="AT356" s="356"/>
      <c r="AU356" s="54"/>
      <c r="AV356" s="356"/>
      <c r="AW356" s="356"/>
      <c r="AX356" s="44"/>
      <c r="AY356" s="44"/>
      <c r="AZ356" s="356"/>
      <c r="BA356" s="54"/>
      <c r="BB356" s="356"/>
      <c r="BC356" s="356"/>
      <c r="BD356" s="44"/>
      <c r="BE356" s="44"/>
      <c r="BF356" s="356"/>
      <c r="BG356" s="54"/>
      <c r="BH356" s="356"/>
      <c r="BI356" s="356"/>
      <c r="BJ356" s="44"/>
      <c r="BK356" s="44"/>
      <c r="BL356" s="356"/>
      <c r="BM356" s="356"/>
      <c r="BN356" s="356"/>
      <c r="BO356" s="356"/>
      <c r="BP356" s="44"/>
      <c r="BQ356" s="44"/>
      <c r="BR356" s="356"/>
      <c r="BS356" s="356"/>
      <c r="BT356" s="356"/>
      <c r="BU356" s="356"/>
      <c r="BV356" s="44"/>
      <c r="BW356" s="44"/>
      <c r="BX356" s="356"/>
      <c r="BY356" s="356"/>
      <c r="BZ356" s="356"/>
      <c r="CA356" s="356"/>
      <c r="CB356" s="44"/>
      <c r="CC356" s="44"/>
      <c r="CD356" s="44"/>
      <c r="CE356" s="44"/>
    </row>
    <row r="357" spans="1:83" s="95" customFormat="1" x14ac:dyDescent="0.5">
      <c r="A357" s="65">
        <v>18065863</v>
      </c>
      <c r="B357" s="66">
        <v>18060514</v>
      </c>
      <c r="C357" s="67">
        <v>124</v>
      </c>
      <c r="D357" s="24" t="s">
        <v>184</v>
      </c>
      <c r="E357" s="69"/>
      <c r="F357" s="70"/>
      <c r="G357" s="66"/>
      <c r="H357" s="71"/>
      <c r="I357" s="83"/>
      <c r="J357" s="66"/>
      <c r="K357" s="86" t="s">
        <v>129</v>
      </c>
      <c r="L357" s="589" t="s">
        <v>130</v>
      </c>
      <c r="M357" s="66" t="s">
        <v>50</v>
      </c>
      <c r="N357" s="590">
        <v>853875</v>
      </c>
      <c r="O357" s="590">
        <v>59771.25</v>
      </c>
      <c r="P357" s="590">
        <f t="shared" si="70"/>
        <v>913646.25</v>
      </c>
      <c r="Q357" s="74"/>
      <c r="R357" s="75"/>
      <c r="S357" s="76"/>
      <c r="T357" s="77"/>
      <c r="U357" s="591"/>
      <c r="V357" s="592"/>
      <c r="W357" s="593"/>
      <c r="X357" s="593"/>
      <c r="Y357" s="594"/>
      <c r="Z357" s="82"/>
      <c r="AA357" s="84"/>
      <c r="AB357" s="85"/>
      <c r="AC357" s="86"/>
      <c r="AD357" s="86"/>
      <c r="AE357" s="87"/>
      <c r="AF357" s="83"/>
      <c r="AG357" s="83"/>
      <c r="AH357" s="83"/>
      <c r="AI357" s="65"/>
      <c r="AJ357" s="88">
        <v>1</v>
      </c>
      <c r="AK357" s="89" t="s">
        <v>663</v>
      </c>
      <c r="AL357" s="46" t="s">
        <v>1205</v>
      </c>
      <c r="AM357" s="90"/>
      <c r="AN357" s="91">
        <v>5</v>
      </c>
      <c r="AO357" s="92" t="s">
        <v>634</v>
      </c>
      <c r="AP357" s="356"/>
      <c r="AQ357" s="356"/>
      <c r="AR357" s="44"/>
      <c r="AS357" s="44"/>
      <c r="AT357" s="356"/>
      <c r="AU357" s="54"/>
      <c r="AV357" s="356"/>
      <c r="AW357" s="356"/>
      <c r="AX357" s="44"/>
      <c r="AY357" s="44"/>
      <c r="AZ357" s="356"/>
      <c r="BA357" s="54"/>
      <c r="BB357" s="356"/>
      <c r="BC357" s="356"/>
      <c r="BD357" s="44"/>
      <c r="BE357" s="44"/>
      <c r="BF357" s="356"/>
      <c r="BG357" s="54"/>
      <c r="BH357" s="356"/>
      <c r="BI357" s="356"/>
      <c r="BJ357" s="44"/>
      <c r="BK357" s="44"/>
      <c r="BL357" s="356"/>
      <c r="BM357" s="356"/>
      <c r="BN357" s="356"/>
      <c r="BO357" s="356"/>
      <c r="BP357" s="44"/>
      <c r="BQ357" s="44"/>
      <c r="BR357" s="356"/>
      <c r="BS357" s="356"/>
      <c r="BT357" s="356"/>
      <c r="BU357" s="356"/>
      <c r="BV357" s="44"/>
      <c r="BW357" s="44"/>
      <c r="BX357" s="356"/>
      <c r="BY357" s="356"/>
      <c r="BZ357" s="356"/>
      <c r="CA357" s="356"/>
      <c r="CB357" s="44"/>
      <c r="CC357" s="44"/>
      <c r="CD357" s="356"/>
      <c r="CE357" s="356"/>
    </row>
    <row r="358" spans="1:83" x14ac:dyDescent="0.5">
      <c r="A358" s="259">
        <v>18065862</v>
      </c>
      <c r="B358" s="104">
        <v>18060553</v>
      </c>
      <c r="C358" s="242"/>
      <c r="D358" s="243"/>
      <c r="E358" s="244"/>
      <c r="F358" s="245"/>
      <c r="G358" s="246"/>
      <c r="H358" s="247"/>
      <c r="I358" s="306"/>
      <c r="J358" s="246"/>
      <c r="K358" s="547" t="s">
        <v>210</v>
      </c>
      <c r="L358" s="548" t="s">
        <v>211</v>
      </c>
      <c r="M358" s="104" t="s">
        <v>51</v>
      </c>
      <c r="N358" s="260">
        <v>66000</v>
      </c>
      <c r="O358" s="260">
        <v>4620</v>
      </c>
      <c r="P358" s="260">
        <f t="shared" si="70"/>
        <v>70620</v>
      </c>
      <c r="Q358" s="311"/>
      <c r="R358" s="113"/>
      <c r="S358" s="114"/>
      <c r="T358" s="115"/>
      <c r="U358" s="550"/>
      <c r="V358" s="551"/>
      <c r="W358" s="552"/>
      <c r="X358" s="552"/>
      <c r="Y358" s="553"/>
      <c r="Z358" s="120"/>
      <c r="AA358" s="229">
        <v>18070248</v>
      </c>
      <c r="AB358" s="230">
        <v>16500</v>
      </c>
      <c r="AC358" s="220">
        <f t="shared" ref="AC358:AC390" si="71">AB358*7/100</f>
        <v>1155</v>
      </c>
      <c r="AD358" s="220">
        <f t="shared" ref="AD358:AD390" si="72">AB358+AC358</f>
        <v>17655</v>
      </c>
      <c r="AE358" s="221">
        <v>43317</v>
      </c>
      <c r="AF358" s="121" t="s">
        <v>869</v>
      </c>
      <c r="AG358" s="121"/>
      <c r="AH358" s="121"/>
      <c r="AI358" s="222" t="s">
        <v>2200</v>
      </c>
      <c r="AJ358" s="128">
        <v>1</v>
      </c>
      <c r="AK358" s="129" t="s">
        <v>664</v>
      </c>
      <c r="AL358" s="130"/>
      <c r="AM358" s="130"/>
      <c r="AN358" s="131">
        <v>1</v>
      </c>
      <c r="AO358" s="132" t="s">
        <v>628</v>
      </c>
      <c r="AP358" s="361"/>
      <c r="AQ358" s="361"/>
      <c r="AR358" s="128"/>
      <c r="AS358" s="128"/>
      <c r="AT358" s="361"/>
      <c r="AU358" s="133"/>
      <c r="AV358" s="361"/>
      <c r="AW358" s="361"/>
      <c r="AX358" s="128"/>
      <c r="AY358" s="128"/>
      <c r="AZ358" s="361"/>
      <c r="BA358" s="133"/>
      <c r="BB358" s="361"/>
      <c r="BC358" s="361"/>
      <c r="BD358" s="128"/>
      <c r="BE358" s="128"/>
      <c r="BF358" s="361"/>
      <c r="BG358" s="133"/>
      <c r="BH358" s="361"/>
      <c r="BI358" s="361"/>
      <c r="BJ358" s="128"/>
      <c r="BK358" s="128"/>
      <c r="BL358" s="361"/>
      <c r="BM358" s="361"/>
      <c r="BN358" s="361"/>
      <c r="BO358" s="361"/>
      <c r="BP358" s="128"/>
      <c r="BQ358" s="128"/>
      <c r="BR358" s="361"/>
      <c r="BS358" s="361"/>
      <c r="BT358" s="361"/>
      <c r="BU358" s="361"/>
      <c r="BV358" s="128"/>
      <c r="BW358" s="128"/>
      <c r="BX358" s="361"/>
      <c r="BY358" s="361"/>
      <c r="BZ358" s="361"/>
      <c r="CA358" s="361"/>
      <c r="CB358" s="128"/>
      <c r="CC358" s="128"/>
      <c r="CD358" s="361"/>
      <c r="CE358" s="361"/>
    </row>
    <row r="359" spans="1:83" x14ac:dyDescent="0.5">
      <c r="A359" s="262"/>
      <c r="B359" s="135"/>
      <c r="C359" s="276"/>
      <c r="D359" s="277"/>
      <c r="E359" s="278"/>
      <c r="F359" s="279"/>
      <c r="G359" s="280"/>
      <c r="H359" s="281"/>
      <c r="I359" s="836"/>
      <c r="J359" s="280"/>
      <c r="K359" s="255"/>
      <c r="L359" s="300"/>
      <c r="M359" s="135"/>
      <c r="N359" s="253"/>
      <c r="O359" s="253"/>
      <c r="P359" s="253"/>
      <c r="Q359" s="143"/>
      <c r="R359" s="144"/>
      <c r="S359" s="145"/>
      <c r="T359" s="146"/>
      <c r="U359" s="529"/>
      <c r="V359" s="555"/>
      <c r="W359" s="556"/>
      <c r="X359" s="556"/>
      <c r="Y359" s="557"/>
      <c r="Z359" s="151"/>
      <c r="AA359" s="292">
        <v>18120487</v>
      </c>
      <c r="AB359" s="293">
        <v>16500</v>
      </c>
      <c r="AC359" s="307">
        <f t="shared" si="71"/>
        <v>1155</v>
      </c>
      <c r="AD359" s="307">
        <f t="shared" si="72"/>
        <v>17655</v>
      </c>
      <c r="AE359" s="295">
        <v>43471</v>
      </c>
      <c r="AF359" s="296" t="s">
        <v>869</v>
      </c>
      <c r="AG359" s="296"/>
      <c r="AH359" s="296"/>
      <c r="AI359" s="308" t="s">
        <v>2201</v>
      </c>
      <c r="AJ359" s="158"/>
      <c r="AK359" s="159"/>
      <c r="AL359" s="160"/>
      <c r="AM359" s="160"/>
      <c r="AN359" s="161"/>
      <c r="AO359" s="162"/>
      <c r="AP359" s="458"/>
      <c r="AQ359" s="458"/>
      <c r="AR359" s="158"/>
      <c r="AS359" s="158"/>
      <c r="AT359" s="458"/>
      <c r="AU359" s="163"/>
      <c r="AV359" s="458"/>
      <c r="AW359" s="458"/>
      <c r="AX359" s="158"/>
      <c r="AY359" s="158"/>
      <c r="AZ359" s="458"/>
      <c r="BA359" s="163"/>
      <c r="BB359" s="458"/>
      <c r="BC359" s="458"/>
      <c r="BD359" s="158"/>
      <c r="BE359" s="158"/>
      <c r="BF359" s="458"/>
      <c r="BG359" s="163"/>
      <c r="BH359" s="458"/>
      <c r="BI359" s="458"/>
      <c r="BJ359" s="158"/>
      <c r="BK359" s="158"/>
      <c r="BL359" s="458"/>
      <c r="BM359" s="458"/>
      <c r="BN359" s="458"/>
      <c r="BO359" s="458"/>
      <c r="BP359" s="158"/>
      <c r="BQ359" s="158"/>
      <c r="BR359" s="458"/>
      <c r="BS359" s="458"/>
      <c r="BT359" s="458"/>
      <c r="BU359" s="458"/>
      <c r="BV359" s="158"/>
      <c r="BW359" s="158"/>
      <c r="BX359" s="458"/>
      <c r="BY359" s="458"/>
      <c r="BZ359" s="458"/>
      <c r="CA359" s="458"/>
      <c r="CB359" s="158"/>
      <c r="CC359" s="158"/>
      <c r="CD359" s="458"/>
      <c r="CE359" s="458"/>
    </row>
    <row r="360" spans="1:83" x14ac:dyDescent="0.5">
      <c r="A360" s="262"/>
      <c r="B360" s="135"/>
      <c r="C360" s="276"/>
      <c r="D360" s="277"/>
      <c r="E360" s="278"/>
      <c r="F360" s="279"/>
      <c r="G360" s="280"/>
      <c r="H360" s="281"/>
      <c r="I360" s="836"/>
      <c r="J360" s="280"/>
      <c r="K360" s="255"/>
      <c r="L360" s="300"/>
      <c r="M360" s="135"/>
      <c r="N360" s="253"/>
      <c r="O360" s="253"/>
      <c r="P360" s="253"/>
      <c r="Q360" s="143"/>
      <c r="R360" s="144"/>
      <c r="S360" s="145"/>
      <c r="T360" s="146"/>
      <c r="U360" s="529"/>
      <c r="V360" s="555"/>
      <c r="W360" s="556"/>
      <c r="X360" s="556"/>
      <c r="Y360" s="557"/>
      <c r="Z360" s="151"/>
      <c r="AA360" s="292">
        <v>19050159</v>
      </c>
      <c r="AB360" s="293">
        <v>16500</v>
      </c>
      <c r="AC360" s="307">
        <f>AB360*7/100</f>
        <v>1155</v>
      </c>
      <c r="AD360" s="307">
        <f>AB360+AC360</f>
        <v>17655</v>
      </c>
      <c r="AE360" s="295">
        <v>43622</v>
      </c>
      <c r="AF360" s="296" t="s">
        <v>869</v>
      </c>
      <c r="AG360" s="296"/>
      <c r="AH360" s="296"/>
      <c r="AI360" s="308" t="s">
        <v>2857</v>
      </c>
      <c r="AJ360" s="158"/>
      <c r="AK360" s="159"/>
      <c r="AL360" s="160"/>
      <c r="AM360" s="160"/>
      <c r="AN360" s="161"/>
      <c r="AO360" s="162"/>
      <c r="AP360" s="458"/>
      <c r="AQ360" s="458"/>
      <c r="AR360" s="158"/>
      <c r="AS360" s="158"/>
      <c r="AT360" s="458"/>
      <c r="AU360" s="163"/>
      <c r="AV360" s="458"/>
      <c r="AW360" s="458"/>
      <c r="AX360" s="158"/>
      <c r="AY360" s="158"/>
      <c r="AZ360" s="458"/>
      <c r="BA360" s="163"/>
      <c r="BB360" s="458"/>
      <c r="BC360" s="458"/>
      <c r="BD360" s="158"/>
      <c r="BE360" s="158"/>
      <c r="BF360" s="458"/>
      <c r="BG360" s="163"/>
      <c r="BH360" s="458"/>
      <c r="BI360" s="458"/>
      <c r="BJ360" s="158"/>
      <c r="BK360" s="158"/>
      <c r="BL360" s="458"/>
      <c r="BM360" s="458"/>
      <c r="BN360" s="458"/>
      <c r="BO360" s="458"/>
      <c r="BP360" s="158"/>
      <c r="BQ360" s="158"/>
      <c r="BR360" s="458"/>
      <c r="BS360" s="458"/>
      <c r="BT360" s="458"/>
      <c r="BU360" s="458"/>
      <c r="BV360" s="158"/>
      <c r="BW360" s="158"/>
      <c r="BX360" s="458"/>
      <c r="BY360" s="458"/>
      <c r="BZ360" s="458"/>
      <c r="CA360" s="458"/>
      <c r="CB360" s="158"/>
      <c r="CC360" s="158"/>
      <c r="CD360" s="458"/>
      <c r="CE360" s="458"/>
    </row>
    <row r="361" spans="1:83" x14ac:dyDescent="0.5">
      <c r="A361" s="262"/>
      <c r="B361" s="135"/>
      <c r="C361" s="276"/>
      <c r="D361" s="277"/>
      <c r="E361" s="278"/>
      <c r="F361" s="279"/>
      <c r="G361" s="280"/>
      <c r="H361" s="281"/>
      <c r="I361" s="836"/>
      <c r="J361" s="280"/>
      <c r="K361" s="255"/>
      <c r="L361" s="300"/>
      <c r="M361" s="135"/>
      <c r="N361" s="253"/>
      <c r="O361" s="253"/>
      <c r="P361" s="253"/>
      <c r="Q361" s="143"/>
      <c r="R361" s="144"/>
      <c r="S361" s="145"/>
      <c r="T361" s="146"/>
      <c r="U361" s="529"/>
      <c r="V361" s="555"/>
      <c r="W361" s="556"/>
      <c r="X361" s="556"/>
      <c r="Y361" s="557"/>
      <c r="Z361" s="151"/>
      <c r="AA361" s="154">
        <v>19110461</v>
      </c>
      <c r="AB361" s="155">
        <v>16500</v>
      </c>
      <c r="AC361" s="156">
        <f>AB361*7/100</f>
        <v>1155</v>
      </c>
      <c r="AD361" s="156">
        <f>AB361+AC361</f>
        <v>17655</v>
      </c>
      <c r="AE361" s="157">
        <v>43810</v>
      </c>
      <c r="AF361" s="152" t="s">
        <v>869</v>
      </c>
      <c r="AG361" s="152"/>
      <c r="AH361" s="152"/>
      <c r="AI361" s="134" t="s">
        <v>3489</v>
      </c>
      <c r="AJ361" s="158"/>
      <c r="AK361" s="159"/>
      <c r="AL361" s="160"/>
      <c r="AM361" s="160"/>
      <c r="AN361" s="161"/>
      <c r="AO361" s="162"/>
      <c r="AP361" s="458"/>
      <c r="AQ361" s="458"/>
      <c r="AR361" s="158"/>
      <c r="AS361" s="158"/>
      <c r="AT361" s="458"/>
      <c r="AU361" s="163"/>
      <c r="AV361" s="458"/>
      <c r="AW361" s="458"/>
      <c r="AX361" s="158"/>
      <c r="AY361" s="158"/>
      <c r="AZ361" s="458"/>
      <c r="BA361" s="163"/>
      <c r="BB361" s="458"/>
      <c r="BC361" s="458"/>
      <c r="BD361" s="158"/>
      <c r="BE361" s="158"/>
      <c r="BF361" s="458"/>
      <c r="BG361" s="163"/>
      <c r="BH361" s="458"/>
      <c r="BI361" s="458"/>
      <c r="BJ361" s="158"/>
      <c r="BK361" s="158"/>
      <c r="BL361" s="458"/>
      <c r="BM361" s="458"/>
      <c r="BN361" s="458"/>
      <c r="BO361" s="458"/>
      <c r="BP361" s="158"/>
      <c r="BQ361" s="158"/>
      <c r="BR361" s="458"/>
      <c r="BS361" s="458"/>
      <c r="BT361" s="458"/>
      <c r="BU361" s="458"/>
      <c r="BV361" s="158"/>
      <c r="BW361" s="158"/>
      <c r="BX361" s="458"/>
      <c r="BY361" s="458"/>
      <c r="BZ361" s="458"/>
      <c r="CA361" s="458"/>
      <c r="CB361" s="158"/>
      <c r="CC361" s="158"/>
      <c r="CD361" s="458"/>
      <c r="CE361" s="458"/>
    </row>
    <row r="362" spans="1:83" x14ac:dyDescent="0.5">
      <c r="A362" s="103">
        <v>18065861</v>
      </c>
      <c r="B362" s="104">
        <v>18060552</v>
      </c>
      <c r="C362" s="242"/>
      <c r="D362" s="243"/>
      <c r="E362" s="244"/>
      <c r="F362" s="245"/>
      <c r="G362" s="246"/>
      <c r="H362" s="247"/>
      <c r="I362" s="306"/>
      <c r="J362" s="246"/>
      <c r="K362" s="547" t="s">
        <v>212</v>
      </c>
      <c r="L362" s="548" t="s">
        <v>213</v>
      </c>
      <c r="M362" s="104" t="s">
        <v>51</v>
      </c>
      <c r="N362" s="260">
        <v>63200</v>
      </c>
      <c r="O362" s="260">
        <v>4424</v>
      </c>
      <c r="P362" s="260">
        <f t="shared" si="70"/>
        <v>67624</v>
      </c>
      <c r="Q362" s="311"/>
      <c r="R362" s="113"/>
      <c r="S362" s="114"/>
      <c r="T362" s="115"/>
      <c r="U362" s="550"/>
      <c r="V362" s="551"/>
      <c r="W362" s="552"/>
      <c r="X362" s="552"/>
      <c r="Y362" s="553"/>
      <c r="Z362" s="120"/>
      <c r="AA362" s="229" t="s">
        <v>1024</v>
      </c>
      <c r="AB362" s="230">
        <v>15750</v>
      </c>
      <c r="AC362" s="234">
        <f t="shared" si="71"/>
        <v>1102.5</v>
      </c>
      <c r="AD362" s="234">
        <f t="shared" si="72"/>
        <v>16852.5</v>
      </c>
      <c r="AE362" s="221">
        <v>43402</v>
      </c>
      <c r="AF362" s="121"/>
      <c r="AG362" s="121"/>
      <c r="AH362" s="121" t="s">
        <v>869</v>
      </c>
      <c r="AI362" s="222" t="s">
        <v>1025</v>
      </c>
      <c r="AJ362" s="128">
        <v>1</v>
      </c>
      <c r="AK362" s="129" t="s">
        <v>665</v>
      </c>
      <c r="AL362" s="130"/>
      <c r="AM362" s="130"/>
      <c r="AN362" s="131">
        <v>1</v>
      </c>
      <c r="AO362" s="132" t="s">
        <v>628</v>
      </c>
      <c r="AP362" s="361"/>
      <c r="AQ362" s="361"/>
      <c r="AR362" s="128"/>
      <c r="AS362" s="128"/>
      <c r="AT362" s="361"/>
      <c r="AU362" s="133"/>
      <c r="AV362" s="361"/>
      <c r="AW362" s="361"/>
      <c r="AX362" s="128"/>
      <c r="AY362" s="128"/>
      <c r="AZ362" s="361"/>
      <c r="BA362" s="133"/>
      <c r="BB362" s="361"/>
      <c r="BC362" s="361"/>
      <c r="BD362" s="128"/>
      <c r="BE362" s="128"/>
      <c r="BF362" s="361"/>
      <c r="BG362" s="133"/>
      <c r="BH362" s="361"/>
      <c r="BI362" s="361"/>
      <c r="BJ362" s="128"/>
      <c r="BK362" s="128"/>
      <c r="BL362" s="361"/>
      <c r="BM362" s="361"/>
      <c r="BN362" s="361"/>
      <c r="BO362" s="361"/>
      <c r="BP362" s="128"/>
      <c r="BQ362" s="128"/>
      <c r="BR362" s="361"/>
      <c r="BS362" s="361"/>
      <c r="BT362" s="361"/>
      <c r="BU362" s="361"/>
      <c r="BV362" s="128"/>
      <c r="BW362" s="128"/>
      <c r="BX362" s="361"/>
      <c r="BY362" s="361"/>
      <c r="BZ362" s="361"/>
      <c r="CA362" s="361"/>
      <c r="CB362" s="128"/>
      <c r="CC362" s="128"/>
      <c r="CD362" s="361"/>
      <c r="CE362" s="361"/>
    </row>
    <row r="363" spans="1:83" x14ac:dyDescent="0.5">
      <c r="A363" s="134"/>
      <c r="B363" s="135"/>
      <c r="C363" s="276"/>
      <c r="D363" s="277"/>
      <c r="E363" s="278"/>
      <c r="F363" s="279"/>
      <c r="G363" s="280"/>
      <c r="H363" s="281"/>
      <c r="I363" s="836"/>
      <c r="J363" s="280"/>
      <c r="K363" s="255"/>
      <c r="L363" s="300"/>
      <c r="M363" s="135"/>
      <c r="N363" s="253"/>
      <c r="O363" s="253"/>
      <c r="P363" s="253"/>
      <c r="Q363" s="143"/>
      <c r="R363" s="144"/>
      <c r="S363" s="145"/>
      <c r="T363" s="146"/>
      <c r="U363" s="529"/>
      <c r="V363" s="555"/>
      <c r="W363" s="556"/>
      <c r="X363" s="556"/>
      <c r="Y363" s="557"/>
      <c r="Z363" s="151"/>
      <c r="AA363" s="292">
        <v>18120488</v>
      </c>
      <c r="AB363" s="293">
        <v>15750</v>
      </c>
      <c r="AC363" s="532">
        <f t="shared" si="71"/>
        <v>1102.5</v>
      </c>
      <c r="AD363" s="532">
        <f t="shared" si="72"/>
        <v>16852.5</v>
      </c>
      <c r="AE363" s="295">
        <v>43471</v>
      </c>
      <c r="AF363" s="296" t="s">
        <v>869</v>
      </c>
      <c r="AG363" s="296"/>
      <c r="AH363" s="296"/>
      <c r="AI363" s="308" t="s">
        <v>2202</v>
      </c>
      <c r="AJ363" s="158"/>
      <c r="AK363" s="159"/>
      <c r="AL363" s="160"/>
      <c r="AM363" s="160"/>
      <c r="AN363" s="161"/>
      <c r="AO363" s="162"/>
      <c r="AP363" s="458"/>
      <c r="AQ363" s="458"/>
      <c r="AR363" s="158"/>
      <c r="AS363" s="158"/>
      <c r="AT363" s="458"/>
      <c r="AU363" s="163"/>
      <c r="AV363" s="458"/>
      <c r="AW363" s="458"/>
      <c r="AX363" s="158"/>
      <c r="AY363" s="158"/>
      <c r="AZ363" s="458"/>
      <c r="BA363" s="163"/>
      <c r="BB363" s="458"/>
      <c r="BC363" s="458"/>
      <c r="BD363" s="158"/>
      <c r="BE363" s="158"/>
      <c r="BF363" s="458"/>
      <c r="BG363" s="163"/>
      <c r="BH363" s="458"/>
      <c r="BI363" s="458"/>
      <c r="BJ363" s="158"/>
      <c r="BK363" s="158"/>
      <c r="BL363" s="458"/>
      <c r="BM363" s="458"/>
      <c r="BN363" s="458"/>
      <c r="BO363" s="458"/>
      <c r="BP363" s="158"/>
      <c r="BQ363" s="158"/>
      <c r="BR363" s="458"/>
      <c r="BS363" s="458"/>
      <c r="BT363" s="458"/>
      <c r="BU363" s="458"/>
      <c r="BV363" s="158"/>
      <c r="BW363" s="158"/>
      <c r="BX363" s="458"/>
      <c r="BY363" s="458"/>
      <c r="BZ363" s="458"/>
      <c r="CA363" s="458"/>
      <c r="CB363" s="158"/>
      <c r="CC363" s="158"/>
      <c r="CD363" s="458"/>
      <c r="CE363" s="458"/>
    </row>
    <row r="364" spans="1:83" x14ac:dyDescent="0.5">
      <c r="A364" s="134"/>
      <c r="B364" s="135"/>
      <c r="C364" s="276"/>
      <c r="D364" s="277"/>
      <c r="E364" s="278"/>
      <c r="F364" s="279"/>
      <c r="G364" s="280"/>
      <c r="H364" s="281"/>
      <c r="I364" s="836"/>
      <c r="J364" s="280"/>
      <c r="K364" s="255"/>
      <c r="L364" s="300"/>
      <c r="M364" s="135"/>
      <c r="N364" s="253"/>
      <c r="O364" s="253"/>
      <c r="P364" s="253"/>
      <c r="Q364" s="143"/>
      <c r="R364" s="144"/>
      <c r="S364" s="145"/>
      <c r="T364" s="146"/>
      <c r="U364" s="529"/>
      <c r="V364" s="555"/>
      <c r="W364" s="556"/>
      <c r="X364" s="556"/>
      <c r="Y364" s="557"/>
      <c r="Z364" s="151"/>
      <c r="AA364" s="292">
        <v>19050157</v>
      </c>
      <c r="AB364" s="293">
        <v>15750</v>
      </c>
      <c r="AC364" s="532">
        <f>AB364*7/100</f>
        <v>1102.5</v>
      </c>
      <c r="AD364" s="532">
        <f>AB364+AC364</f>
        <v>16852.5</v>
      </c>
      <c r="AE364" s="295">
        <v>43622</v>
      </c>
      <c r="AF364" s="296" t="s">
        <v>869</v>
      </c>
      <c r="AG364" s="296"/>
      <c r="AH364" s="296"/>
      <c r="AI364" s="308" t="s">
        <v>2729</v>
      </c>
      <c r="AJ364" s="158"/>
      <c r="AK364" s="159"/>
      <c r="AL364" s="160"/>
      <c r="AM364" s="160"/>
      <c r="AN364" s="161"/>
      <c r="AO364" s="162"/>
      <c r="AP364" s="458"/>
      <c r="AQ364" s="458"/>
      <c r="AR364" s="158"/>
      <c r="AS364" s="158"/>
      <c r="AT364" s="458"/>
      <c r="AU364" s="163"/>
      <c r="AV364" s="458"/>
      <c r="AW364" s="458"/>
      <c r="AX364" s="158"/>
      <c r="AY364" s="158"/>
      <c r="AZ364" s="458"/>
      <c r="BA364" s="163"/>
      <c r="BB364" s="458"/>
      <c r="BC364" s="458"/>
      <c r="BD364" s="158"/>
      <c r="BE364" s="158"/>
      <c r="BF364" s="458"/>
      <c r="BG364" s="163"/>
      <c r="BH364" s="458"/>
      <c r="BI364" s="458"/>
      <c r="BJ364" s="158"/>
      <c r="BK364" s="158"/>
      <c r="BL364" s="458"/>
      <c r="BM364" s="458"/>
      <c r="BN364" s="458"/>
      <c r="BO364" s="458"/>
      <c r="BP364" s="158"/>
      <c r="BQ364" s="158"/>
      <c r="BR364" s="458"/>
      <c r="BS364" s="458"/>
      <c r="BT364" s="458"/>
      <c r="BU364" s="458"/>
      <c r="BV364" s="158"/>
      <c r="BW364" s="158"/>
      <c r="BX364" s="458"/>
      <c r="BY364" s="458"/>
      <c r="BZ364" s="458"/>
      <c r="CA364" s="458"/>
      <c r="CB364" s="158"/>
      <c r="CC364" s="158"/>
      <c r="CD364" s="458"/>
      <c r="CE364" s="458"/>
    </row>
    <row r="365" spans="1:83" x14ac:dyDescent="0.5">
      <c r="A365" s="134"/>
      <c r="B365" s="135"/>
      <c r="C365" s="276"/>
      <c r="D365" s="277"/>
      <c r="E365" s="278"/>
      <c r="F365" s="279"/>
      <c r="G365" s="280"/>
      <c r="H365" s="281"/>
      <c r="I365" s="836"/>
      <c r="J365" s="280"/>
      <c r="K365" s="255"/>
      <c r="L365" s="300"/>
      <c r="M365" s="135"/>
      <c r="N365" s="253"/>
      <c r="O365" s="253"/>
      <c r="P365" s="253"/>
      <c r="Q365" s="143"/>
      <c r="R365" s="144"/>
      <c r="S365" s="145"/>
      <c r="T365" s="146"/>
      <c r="U365" s="529"/>
      <c r="V365" s="555"/>
      <c r="W365" s="556"/>
      <c r="X365" s="556"/>
      <c r="Y365" s="557"/>
      <c r="Z365" s="151"/>
      <c r="AA365" s="857">
        <v>19110460</v>
      </c>
      <c r="AB365" s="858">
        <v>15800</v>
      </c>
      <c r="AC365" s="1046">
        <f>AB365*7/100</f>
        <v>1106</v>
      </c>
      <c r="AD365" s="1046">
        <f>AB365+AC365</f>
        <v>16906</v>
      </c>
      <c r="AE365" s="860">
        <v>43810</v>
      </c>
      <c r="AF365" s="861"/>
      <c r="AG365" s="861"/>
      <c r="AH365" s="861" t="s">
        <v>869</v>
      </c>
      <c r="AI365" s="862" t="s">
        <v>2698</v>
      </c>
      <c r="AJ365" s="158"/>
      <c r="AK365" s="159"/>
      <c r="AL365" s="160"/>
      <c r="AM365" s="160"/>
      <c r="AN365" s="161"/>
      <c r="AO365" s="162"/>
      <c r="AP365" s="458"/>
      <c r="AQ365" s="458"/>
      <c r="AR365" s="158"/>
      <c r="AS365" s="158"/>
      <c r="AT365" s="458"/>
      <c r="AU365" s="163"/>
      <c r="AV365" s="458"/>
      <c r="AW365" s="458"/>
      <c r="AX365" s="158"/>
      <c r="AY365" s="158"/>
      <c r="AZ365" s="458"/>
      <c r="BA365" s="163"/>
      <c r="BB365" s="458"/>
      <c r="BC365" s="458"/>
      <c r="BD365" s="158"/>
      <c r="BE365" s="158"/>
      <c r="BF365" s="458"/>
      <c r="BG365" s="163"/>
      <c r="BH365" s="458"/>
      <c r="BI365" s="458"/>
      <c r="BJ365" s="158"/>
      <c r="BK365" s="158"/>
      <c r="BL365" s="458"/>
      <c r="BM365" s="458"/>
      <c r="BN365" s="458"/>
      <c r="BO365" s="458"/>
      <c r="BP365" s="158"/>
      <c r="BQ365" s="158"/>
      <c r="BR365" s="458"/>
      <c r="BS365" s="458"/>
      <c r="BT365" s="458"/>
      <c r="BU365" s="458"/>
      <c r="BV365" s="158"/>
      <c r="BW365" s="158"/>
      <c r="BX365" s="458"/>
      <c r="BY365" s="458"/>
      <c r="BZ365" s="458"/>
      <c r="CA365" s="458"/>
      <c r="CB365" s="158"/>
      <c r="CC365" s="158"/>
      <c r="CD365" s="458"/>
      <c r="CE365" s="458"/>
    </row>
    <row r="366" spans="1:83" x14ac:dyDescent="0.5">
      <c r="A366" s="134"/>
      <c r="B366" s="135"/>
      <c r="C366" s="276"/>
      <c r="D366" s="277"/>
      <c r="E366" s="278"/>
      <c r="F366" s="279"/>
      <c r="G366" s="280"/>
      <c r="H366" s="281"/>
      <c r="I366" s="836"/>
      <c r="J366" s="280"/>
      <c r="K366" s="255"/>
      <c r="L366" s="300"/>
      <c r="M366" s="135"/>
      <c r="N366" s="253"/>
      <c r="O366" s="253"/>
      <c r="P366" s="253"/>
      <c r="Q366" s="143"/>
      <c r="R366" s="144"/>
      <c r="S366" s="145"/>
      <c r="T366" s="146"/>
      <c r="U366" s="529"/>
      <c r="V366" s="555"/>
      <c r="W366" s="556"/>
      <c r="X366" s="556"/>
      <c r="Y366" s="557"/>
      <c r="Z366" s="151"/>
      <c r="AA366" s="857" t="s">
        <v>3940</v>
      </c>
      <c r="AB366" s="858">
        <v>15800</v>
      </c>
      <c r="AC366" s="1046">
        <f>AB366*7/100</f>
        <v>1106</v>
      </c>
      <c r="AD366" s="1046">
        <f>AB366+AC366</f>
        <v>16906</v>
      </c>
      <c r="AE366" s="860">
        <v>44008</v>
      </c>
      <c r="AF366" s="861"/>
      <c r="AG366" s="861"/>
      <c r="AH366" s="861" t="s">
        <v>869</v>
      </c>
      <c r="AI366" s="308"/>
      <c r="AJ366" s="158"/>
      <c r="AK366" s="159"/>
      <c r="AL366" s="160"/>
      <c r="AM366" s="160"/>
      <c r="AN366" s="161"/>
      <c r="AO366" s="162"/>
      <c r="AP366" s="458"/>
      <c r="AQ366" s="458"/>
      <c r="AR366" s="158"/>
      <c r="AS366" s="158"/>
      <c r="AT366" s="458"/>
      <c r="AU366" s="163"/>
      <c r="AV366" s="458"/>
      <c r="AW366" s="458"/>
      <c r="AX366" s="158"/>
      <c r="AY366" s="158"/>
      <c r="AZ366" s="458"/>
      <c r="BA366" s="163"/>
      <c r="BB366" s="458"/>
      <c r="BC366" s="458"/>
      <c r="BD366" s="158"/>
      <c r="BE366" s="158"/>
      <c r="BF366" s="458"/>
      <c r="BG366" s="163"/>
      <c r="BH366" s="458"/>
      <c r="BI366" s="458"/>
      <c r="BJ366" s="158"/>
      <c r="BK366" s="158"/>
      <c r="BL366" s="458"/>
      <c r="BM366" s="458"/>
      <c r="BN366" s="458"/>
      <c r="BO366" s="458"/>
      <c r="BP366" s="158"/>
      <c r="BQ366" s="158"/>
      <c r="BR366" s="458"/>
      <c r="BS366" s="458"/>
      <c r="BT366" s="458"/>
      <c r="BU366" s="458"/>
      <c r="BV366" s="158"/>
      <c r="BW366" s="158"/>
      <c r="BX366" s="458"/>
      <c r="BY366" s="458"/>
      <c r="BZ366" s="458"/>
      <c r="CA366" s="458"/>
      <c r="CB366" s="158"/>
      <c r="CC366" s="158"/>
      <c r="CD366" s="458"/>
      <c r="CE366" s="458"/>
    </row>
    <row r="367" spans="1:83" x14ac:dyDescent="0.5">
      <c r="A367" s="134"/>
      <c r="B367" s="135"/>
      <c r="C367" s="276"/>
      <c r="D367" s="277"/>
      <c r="E367" s="278"/>
      <c r="F367" s="279"/>
      <c r="G367" s="280"/>
      <c r="H367" s="281"/>
      <c r="I367" s="836"/>
      <c r="J367" s="280"/>
      <c r="K367" s="255"/>
      <c r="L367" s="300"/>
      <c r="M367" s="135"/>
      <c r="N367" s="253"/>
      <c r="O367" s="253"/>
      <c r="P367" s="253"/>
      <c r="Q367" s="143"/>
      <c r="R367" s="144"/>
      <c r="S367" s="145"/>
      <c r="T367" s="146"/>
      <c r="U367" s="529"/>
      <c r="V367" s="555"/>
      <c r="W367" s="556"/>
      <c r="X367" s="556"/>
      <c r="Y367" s="557"/>
      <c r="Z367" s="151"/>
      <c r="AA367" s="154" t="s">
        <v>4234</v>
      </c>
      <c r="AB367" s="155">
        <v>15750</v>
      </c>
      <c r="AC367" s="263">
        <f>AB367*7/100</f>
        <v>1102.5</v>
      </c>
      <c r="AD367" s="263">
        <f>AB367+AC367</f>
        <v>16852.5</v>
      </c>
      <c r="AE367" s="157">
        <v>44088</v>
      </c>
      <c r="AF367" s="152"/>
      <c r="AG367" s="152"/>
      <c r="AH367" s="152"/>
      <c r="AI367" s="134" t="s">
        <v>2698</v>
      </c>
      <c r="AJ367" s="158"/>
      <c r="AK367" s="159"/>
      <c r="AL367" s="160"/>
      <c r="AM367" s="160"/>
      <c r="AN367" s="161"/>
      <c r="AO367" s="162"/>
      <c r="AP367" s="458"/>
      <c r="AQ367" s="458"/>
      <c r="AR367" s="158"/>
      <c r="AS367" s="158"/>
      <c r="AT367" s="458"/>
      <c r="AU367" s="163"/>
      <c r="AV367" s="458"/>
      <c r="AW367" s="458"/>
      <c r="AX367" s="158"/>
      <c r="AY367" s="158"/>
      <c r="AZ367" s="458"/>
      <c r="BA367" s="163"/>
      <c r="BB367" s="458"/>
      <c r="BC367" s="458"/>
      <c r="BD367" s="158"/>
      <c r="BE367" s="158"/>
      <c r="BF367" s="458"/>
      <c r="BG367" s="163"/>
      <c r="BH367" s="458"/>
      <c r="BI367" s="458"/>
      <c r="BJ367" s="158"/>
      <c r="BK367" s="158"/>
      <c r="BL367" s="458"/>
      <c r="BM367" s="458"/>
      <c r="BN367" s="458"/>
      <c r="BO367" s="458"/>
      <c r="BP367" s="158"/>
      <c r="BQ367" s="158"/>
      <c r="BR367" s="458"/>
      <c r="BS367" s="458"/>
      <c r="BT367" s="458"/>
      <c r="BU367" s="458"/>
      <c r="BV367" s="158"/>
      <c r="BW367" s="158"/>
      <c r="BX367" s="458"/>
      <c r="BY367" s="458"/>
      <c r="BZ367" s="458"/>
      <c r="CA367" s="458"/>
      <c r="CB367" s="158"/>
      <c r="CC367" s="158"/>
      <c r="CD367" s="458"/>
      <c r="CE367" s="458"/>
    </row>
    <row r="368" spans="1:83" x14ac:dyDescent="0.5">
      <c r="A368" s="259">
        <v>18065860</v>
      </c>
      <c r="B368" s="104">
        <v>18060551</v>
      </c>
      <c r="C368" s="242"/>
      <c r="D368" s="243"/>
      <c r="E368" s="244"/>
      <c r="F368" s="245"/>
      <c r="G368" s="246"/>
      <c r="H368" s="247"/>
      <c r="I368" s="306"/>
      <c r="J368" s="246"/>
      <c r="K368" s="547" t="s">
        <v>214</v>
      </c>
      <c r="L368" s="548" t="s">
        <v>215</v>
      </c>
      <c r="M368" s="104" t="s">
        <v>51</v>
      </c>
      <c r="N368" s="260">
        <v>77000</v>
      </c>
      <c r="O368" s="260">
        <v>5390</v>
      </c>
      <c r="P368" s="260">
        <f t="shared" si="70"/>
        <v>82390</v>
      </c>
      <c r="Q368" s="311"/>
      <c r="R368" s="113"/>
      <c r="S368" s="114"/>
      <c r="T368" s="115"/>
      <c r="U368" s="550"/>
      <c r="V368" s="551"/>
      <c r="W368" s="552"/>
      <c r="X368" s="552"/>
      <c r="Y368" s="553"/>
      <c r="Z368" s="120"/>
      <c r="AA368" s="229">
        <v>18070250</v>
      </c>
      <c r="AB368" s="230">
        <v>19250</v>
      </c>
      <c r="AC368" s="220">
        <f t="shared" si="71"/>
        <v>1347.5</v>
      </c>
      <c r="AD368" s="220">
        <f t="shared" si="72"/>
        <v>20597.5</v>
      </c>
      <c r="AE368" s="221">
        <v>43317</v>
      </c>
      <c r="AF368" s="121" t="s">
        <v>869</v>
      </c>
      <c r="AG368" s="121"/>
      <c r="AH368" s="121"/>
      <c r="AI368" s="222" t="s">
        <v>2204</v>
      </c>
      <c r="AJ368" s="128">
        <v>1</v>
      </c>
      <c r="AK368" s="129" t="s">
        <v>666</v>
      </c>
      <c r="AL368" s="130"/>
      <c r="AM368" s="130"/>
      <c r="AN368" s="131">
        <v>1</v>
      </c>
      <c r="AO368" s="132" t="s">
        <v>628</v>
      </c>
      <c r="AP368" s="361"/>
      <c r="AQ368" s="361"/>
      <c r="AR368" s="128"/>
      <c r="AS368" s="128"/>
      <c r="AT368" s="361"/>
      <c r="AU368" s="133"/>
      <c r="AV368" s="361"/>
      <c r="AW368" s="361"/>
      <c r="AX368" s="128"/>
      <c r="AY368" s="128"/>
      <c r="AZ368" s="361"/>
      <c r="BA368" s="133"/>
      <c r="BB368" s="361"/>
      <c r="BC368" s="361"/>
      <c r="BD368" s="128"/>
      <c r="BE368" s="128"/>
      <c r="BF368" s="361"/>
      <c r="BG368" s="133"/>
      <c r="BH368" s="361"/>
      <c r="BI368" s="361"/>
      <c r="BJ368" s="128"/>
      <c r="BK368" s="128"/>
      <c r="BL368" s="361"/>
      <c r="BM368" s="361"/>
      <c r="BN368" s="361"/>
      <c r="BO368" s="361"/>
      <c r="BP368" s="128"/>
      <c r="BQ368" s="128"/>
      <c r="BR368" s="361"/>
      <c r="BS368" s="361"/>
      <c r="BT368" s="361"/>
      <c r="BU368" s="361"/>
      <c r="BV368" s="128"/>
      <c r="BW368" s="128"/>
      <c r="BX368" s="361"/>
      <c r="BY368" s="361"/>
      <c r="BZ368" s="361"/>
      <c r="CA368" s="361"/>
      <c r="CB368" s="128"/>
      <c r="CC368" s="128"/>
      <c r="CD368" s="361"/>
      <c r="CE368" s="361"/>
    </row>
    <row r="369" spans="1:84" x14ac:dyDescent="0.5">
      <c r="A369" s="262"/>
      <c r="B369" s="135"/>
      <c r="C369" s="276"/>
      <c r="D369" s="277"/>
      <c r="E369" s="278"/>
      <c r="F369" s="279"/>
      <c r="G369" s="280"/>
      <c r="H369" s="281"/>
      <c r="I369" s="836"/>
      <c r="J369" s="280"/>
      <c r="K369" s="255"/>
      <c r="L369" s="300"/>
      <c r="M369" s="135"/>
      <c r="N369" s="253"/>
      <c r="O369" s="253"/>
      <c r="P369" s="253"/>
      <c r="Q369" s="143"/>
      <c r="R369" s="144"/>
      <c r="S369" s="145"/>
      <c r="T369" s="146"/>
      <c r="U369" s="529"/>
      <c r="V369" s="555"/>
      <c r="W369" s="556"/>
      <c r="X369" s="556"/>
      <c r="Y369" s="557"/>
      <c r="Z369" s="151"/>
      <c r="AA369" s="292">
        <v>18120489</v>
      </c>
      <c r="AB369" s="293">
        <v>19250</v>
      </c>
      <c r="AC369" s="307">
        <f t="shared" si="71"/>
        <v>1347.5</v>
      </c>
      <c r="AD369" s="307">
        <f t="shared" si="72"/>
        <v>20597.5</v>
      </c>
      <c r="AE369" s="295">
        <v>43471</v>
      </c>
      <c r="AF369" s="296" t="s">
        <v>869</v>
      </c>
      <c r="AG369" s="296"/>
      <c r="AH369" s="296"/>
      <c r="AI369" s="308" t="s">
        <v>2205</v>
      </c>
      <c r="AJ369" s="158"/>
      <c r="AK369" s="159"/>
      <c r="AL369" s="160"/>
      <c r="AM369" s="160"/>
      <c r="AN369" s="161"/>
      <c r="AO369" s="162"/>
      <c r="AP369" s="458"/>
      <c r="AQ369" s="458"/>
      <c r="AR369" s="158"/>
      <c r="AS369" s="158"/>
      <c r="AT369" s="458"/>
      <c r="AU369" s="163"/>
      <c r="AV369" s="458"/>
      <c r="AW369" s="458"/>
      <c r="AX369" s="158"/>
      <c r="AY369" s="158"/>
      <c r="AZ369" s="458"/>
      <c r="BA369" s="163"/>
      <c r="BB369" s="458"/>
      <c r="BC369" s="458"/>
      <c r="BD369" s="158"/>
      <c r="BE369" s="158"/>
      <c r="BF369" s="458"/>
      <c r="BG369" s="163"/>
      <c r="BH369" s="458"/>
      <c r="BI369" s="458"/>
      <c r="BJ369" s="158"/>
      <c r="BK369" s="158"/>
      <c r="BL369" s="458"/>
      <c r="BM369" s="458"/>
      <c r="BN369" s="458"/>
      <c r="BO369" s="458"/>
      <c r="BP369" s="158"/>
      <c r="BQ369" s="158"/>
      <c r="BR369" s="458"/>
      <c r="BS369" s="458"/>
      <c r="BT369" s="458"/>
      <c r="BU369" s="458"/>
      <c r="BV369" s="158"/>
      <c r="BW369" s="158"/>
      <c r="BX369" s="458"/>
      <c r="BY369" s="458"/>
      <c r="BZ369" s="458"/>
      <c r="CA369" s="458"/>
      <c r="CB369" s="158"/>
      <c r="CC369" s="158"/>
      <c r="CD369" s="458"/>
      <c r="CE369" s="458"/>
    </row>
    <row r="370" spans="1:84" x14ac:dyDescent="0.5">
      <c r="A370" s="262"/>
      <c r="B370" s="135"/>
      <c r="C370" s="276"/>
      <c r="D370" s="277"/>
      <c r="E370" s="278"/>
      <c r="F370" s="279"/>
      <c r="G370" s="280"/>
      <c r="H370" s="281"/>
      <c r="I370" s="836"/>
      <c r="J370" s="280"/>
      <c r="K370" s="255"/>
      <c r="L370" s="300"/>
      <c r="M370" s="135"/>
      <c r="N370" s="253"/>
      <c r="O370" s="253"/>
      <c r="P370" s="253"/>
      <c r="Q370" s="143"/>
      <c r="R370" s="144"/>
      <c r="S370" s="145"/>
      <c r="T370" s="146"/>
      <c r="U370" s="529"/>
      <c r="V370" s="555"/>
      <c r="W370" s="556"/>
      <c r="X370" s="556"/>
      <c r="Y370" s="557"/>
      <c r="Z370" s="151"/>
      <c r="AA370" s="292">
        <v>19050169</v>
      </c>
      <c r="AB370" s="293">
        <v>19250</v>
      </c>
      <c r="AC370" s="307">
        <f t="shared" si="71"/>
        <v>1347.5</v>
      </c>
      <c r="AD370" s="307">
        <f t="shared" si="72"/>
        <v>20597.5</v>
      </c>
      <c r="AE370" s="295">
        <v>43592</v>
      </c>
      <c r="AF370" s="296" t="s">
        <v>869</v>
      </c>
      <c r="AG370" s="296"/>
      <c r="AH370" s="296"/>
      <c r="AI370" s="308" t="s">
        <v>2765</v>
      </c>
      <c r="AJ370" s="158"/>
      <c r="AK370" s="159"/>
      <c r="AL370" s="160"/>
      <c r="AM370" s="160"/>
      <c r="AN370" s="161"/>
      <c r="AO370" s="162"/>
      <c r="AP370" s="458"/>
      <c r="AQ370" s="458"/>
      <c r="AR370" s="158"/>
      <c r="AS370" s="158"/>
      <c r="AT370" s="458"/>
      <c r="AU370" s="163"/>
      <c r="AV370" s="458"/>
      <c r="AW370" s="458"/>
      <c r="AX370" s="158"/>
      <c r="AY370" s="158"/>
      <c r="AZ370" s="458"/>
      <c r="BA370" s="163"/>
      <c r="BB370" s="458"/>
      <c r="BC370" s="458"/>
      <c r="BD370" s="158"/>
      <c r="BE370" s="158"/>
      <c r="BF370" s="458"/>
      <c r="BG370" s="163"/>
      <c r="BH370" s="458"/>
      <c r="BI370" s="458"/>
      <c r="BJ370" s="158"/>
      <c r="BK370" s="158"/>
      <c r="BL370" s="458"/>
      <c r="BM370" s="458"/>
      <c r="BN370" s="458"/>
      <c r="BO370" s="458"/>
      <c r="BP370" s="158"/>
      <c r="BQ370" s="158"/>
      <c r="BR370" s="458"/>
      <c r="BS370" s="458"/>
      <c r="BT370" s="458"/>
      <c r="BU370" s="458"/>
      <c r="BV370" s="158"/>
      <c r="BW370" s="158"/>
      <c r="BX370" s="458"/>
      <c r="BY370" s="458"/>
      <c r="BZ370" s="458"/>
      <c r="CA370" s="458"/>
      <c r="CB370" s="158"/>
      <c r="CC370" s="158"/>
      <c r="CD370" s="458"/>
      <c r="CE370" s="458"/>
    </row>
    <row r="371" spans="1:84" x14ac:dyDescent="0.5">
      <c r="A371" s="262"/>
      <c r="B371" s="135"/>
      <c r="C371" s="276"/>
      <c r="D371" s="277"/>
      <c r="E371" s="278"/>
      <c r="F371" s="279"/>
      <c r="G371" s="280"/>
      <c r="H371" s="281"/>
      <c r="I371" s="836"/>
      <c r="J371" s="280"/>
      <c r="K371" s="255"/>
      <c r="L371" s="300"/>
      <c r="M371" s="135"/>
      <c r="N371" s="253"/>
      <c r="O371" s="253"/>
      <c r="P371" s="253"/>
      <c r="Q371" s="143"/>
      <c r="R371" s="144"/>
      <c r="S371" s="145"/>
      <c r="T371" s="146"/>
      <c r="U371" s="529"/>
      <c r="V371" s="555"/>
      <c r="W371" s="556"/>
      <c r="X371" s="556"/>
      <c r="Y371" s="557"/>
      <c r="Z371" s="151"/>
      <c r="AA371" s="154">
        <v>19110459</v>
      </c>
      <c r="AB371" s="155">
        <v>19250</v>
      </c>
      <c r="AC371" s="156">
        <f t="shared" si="71"/>
        <v>1347.5</v>
      </c>
      <c r="AD371" s="156">
        <f t="shared" si="72"/>
        <v>20597.5</v>
      </c>
      <c r="AE371" s="157">
        <v>43810</v>
      </c>
      <c r="AF371" s="152" t="s">
        <v>869</v>
      </c>
      <c r="AG371" s="152"/>
      <c r="AH371" s="152"/>
      <c r="AI371" s="134" t="s">
        <v>3617</v>
      </c>
      <c r="AJ371" s="158"/>
      <c r="AK371" s="159"/>
      <c r="AL371" s="160"/>
      <c r="AM371" s="160"/>
      <c r="AN371" s="161"/>
      <c r="AO371" s="162"/>
      <c r="AP371" s="458"/>
      <c r="AQ371" s="458"/>
      <c r="AR371" s="158"/>
      <c r="AS371" s="158"/>
      <c r="AT371" s="458"/>
      <c r="AU371" s="163"/>
      <c r="AV371" s="458"/>
      <c r="AW371" s="458"/>
      <c r="AX371" s="158"/>
      <c r="AY371" s="158"/>
      <c r="AZ371" s="458"/>
      <c r="BA371" s="163"/>
      <c r="BB371" s="458"/>
      <c r="BC371" s="458"/>
      <c r="BD371" s="158"/>
      <c r="BE371" s="158"/>
      <c r="BF371" s="458"/>
      <c r="BG371" s="163"/>
      <c r="BH371" s="458"/>
      <c r="BI371" s="458"/>
      <c r="BJ371" s="158"/>
      <c r="BK371" s="158"/>
      <c r="BL371" s="458"/>
      <c r="BM371" s="458"/>
      <c r="BN371" s="458"/>
      <c r="BO371" s="458"/>
      <c r="BP371" s="158"/>
      <c r="BQ371" s="158"/>
      <c r="BR371" s="458"/>
      <c r="BS371" s="458"/>
      <c r="BT371" s="458"/>
      <c r="BU371" s="458"/>
      <c r="BV371" s="158"/>
      <c r="BW371" s="158"/>
      <c r="BX371" s="458"/>
      <c r="BY371" s="458"/>
      <c r="BZ371" s="458"/>
      <c r="CA371" s="458"/>
      <c r="CB371" s="158"/>
      <c r="CC371" s="158"/>
      <c r="CD371" s="458"/>
      <c r="CE371" s="458"/>
    </row>
    <row r="372" spans="1:84" x14ac:dyDescent="0.5">
      <c r="A372" s="635">
        <v>18065859</v>
      </c>
      <c r="B372" s="104">
        <v>18060550</v>
      </c>
      <c r="C372" s="242"/>
      <c r="D372" s="243"/>
      <c r="E372" s="244"/>
      <c r="F372" s="245"/>
      <c r="G372" s="246"/>
      <c r="H372" s="247"/>
      <c r="I372" s="306"/>
      <c r="J372" s="246"/>
      <c r="K372" s="547" t="s">
        <v>216</v>
      </c>
      <c r="L372" s="548" t="s">
        <v>217</v>
      </c>
      <c r="M372" s="104" t="s">
        <v>51</v>
      </c>
      <c r="N372" s="260">
        <v>66000</v>
      </c>
      <c r="O372" s="260">
        <v>4620</v>
      </c>
      <c r="P372" s="260">
        <f t="shared" si="70"/>
        <v>70620</v>
      </c>
      <c r="Q372" s="311"/>
      <c r="R372" s="113"/>
      <c r="S372" s="114"/>
      <c r="T372" s="115"/>
      <c r="U372" s="550"/>
      <c r="V372" s="551"/>
      <c r="W372" s="552"/>
      <c r="X372" s="552"/>
      <c r="Y372" s="553"/>
      <c r="Z372" s="120"/>
      <c r="AA372" s="229">
        <v>18120492</v>
      </c>
      <c r="AB372" s="230">
        <v>16500</v>
      </c>
      <c r="AC372" s="233">
        <f t="shared" si="71"/>
        <v>1155</v>
      </c>
      <c r="AD372" s="233">
        <f t="shared" si="72"/>
        <v>17655</v>
      </c>
      <c r="AE372" s="221">
        <v>43471</v>
      </c>
      <c r="AF372" s="121" t="s">
        <v>869</v>
      </c>
      <c r="AG372" s="121"/>
      <c r="AH372" s="121"/>
      <c r="AI372" s="222" t="s">
        <v>2203</v>
      </c>
      <c r="AJ372" s="128">
        <v>1</v>
      </c>
      <c r="AK372" s="129" t="s">
        <v>667</v>
      </c>
      <c r="AL372" s="130"/>
      <c r="AM372" s="130"/>
      <c r="AN372" s="131">
        <v>1</v>
      </c>
      <c r="AO372" s="132" t="s">
        <v>628</v>
      </c>
      <c r="AP372" s="361"/>
      <c r="AQ372" s="361"/>
      <c r="AR372" s="128"/>
      <c r="AS372" s="128"/>
      <c r="AT372" s="361"/>
      <c r="AU372" s="133"/>
      <c r="AV372" s="361"/>
      <c r="AW372" s="361"/>
      <c r="AX372" s="128"/>
      <c r="AY372" s="128"/>
      <c r="AZ372" s="361"/>
      <c r="BA372" s="133"/>
      <c r="BB372" s="361"/>
      <c r="BC372" s="361"/>
      <c r="BD372" s="128"/>
      <c r="BE372" s="128"/>
      <c r="BF372" s="361"/>
      <c r="BG372" s="133"/>
      <c r="BH372" s="361"/>
      <c r="BI372" s="361"/>
      <c r="BJ372" s="128"/>
      <c r="BK372" s="128"/>
      <c r="BL372" s="361"/>
      <c r="BM372" s="361"/>
      <c r="BN372" s="361"/>
      <c r="BO372" s="361"/>
      <c r="BP372" s="128"/>
      <c r="BQ372" s="128"/>
      <c r="BR372" s="361"/>
      <c r="BS372" s="361"/>
      <c r="BT372" s="361"/>
      <c r="BU372" s="361"/>
      <c r="BV372" s="128"/>
      <c r="BW372" s="128"/>
      <c r="BX372" s="361"/>
      <c r="BY372" s="361"/>
      <c r="BZ372" s="361"/>
      <c r="CA372" s="361"/>
      <c r="CB372" s="128"/>
      <c r="CC372" s="128"/>
      <c r="CD372" s="361"/>
      <c r="CE372" s="361"/>
    </row>
    <row r="373" spans="1:84" x14ac:dyDescent="0.5">
      <c r="A373" s="900"/>
      <c r="B373" s="135"/>
      <c r="C373" s="276"/>
      <c r="D373" s="277"/>
      <c r="E373" s="278"/>
      <c r="F373" s="279"/>
      <c r="G373" s="280"/>
      <c r="H373" s="281"/>
      <c r="I373" s="836"/>
      <c r="J373" s="280"/>
      <c r="K373" s="255"/>
      <c r="L373" s="300"/>
      <c r="M373" s="135"/>
      <c r="N373" s="253"/>
      <c r="O373" s="253"/>
      <c r="P373" s="253"/>
      <c r="Q373" s="143"/>
      <c r="R373" s="144"/>
      <c r="S373" s="145"/>
      <c r="T373" s="146"/>
      <c r="U373" s="529"/>
      <c r="V373" s="555"/>
      <c r="W373" s="556"/>
      <c r="X373" s="556"/>
      <c r="Y373" s="557"/>
      <c r="Z373" s="151"/>
      <c r="AA373" s="292">
        <v>18070251</v>
      </c>
      <c r="AB373" s="293">
        <v>16500</v>
      </c>
      <c r="AC373" s="294">
        <f t="shared" si="71"/>
        <v>1155</v>
      </c>
      <c r="AD373" s="294">
        <f t="shared" si="72"/>
        <v>17655</v>
      </c>
      <c r="AE373" s="295">
        <v>43317</v>
      </c>
      <c r="AF373" s="296"/>
      <c r="AG373" s="296"/>
      <c r="AH373" s="296"/>
      <c r="AI373" s="308" t="s">
        <v>1025</v>
      </c>
      <c r="AJ373" s="158"/>
      <c r="AK373" s="159"/>
      <c r="AL373" s="160"/>
      <c r="AM373" s="160"/>
      <c r="AN373" s="161"/>
      <c r="AO373" s="162"/>
      <c r="AP373" s="458"/>
      <c r="AQ373" s="458"/>
      <c r="AR373" s="158"/>
      <c r="AS373" s="158"/>
      <c r="AT373" s="458"/>
      <c r="AU373" s="163"/>
      <c r="AV373" s="458"/>
      <c r="AW373" s="458"/>
      <c r="AX373" s="158"/>
      <c r="AY373" s="158"/>
      <c r="AZ373" s="458"/>
      <c r="BA373" s="163"/>
      <c r="BB373" s="458"/>
      <c r="BC373" s="458"/>
      <c r="BD373" s="158"/>
      <c r="BE373" s="158"/>
      <c r="BF373" s="458"/>
      <c r="BG373" s="163"/>
      <c r="BH373" s="458"/>
      <c r="BI373" s="458"/>
      <c r="BJ373" s="158"/>
      <c r="BK373" s="158"/>
      <c r="BL373" s="458"/>
      <c r="BM373" s="458"/>
      <c r="BN373" s="458"/>
      <c r="BO373" s="458"/>
      <c r="BP373" s="158"/>
      <c r="BQ373" s="158"/>
      <c r="BR373" s="458"/>
      <c r="BS373" s="458"/>
      <c r="BT373" s="458"/>
      <c r="BU373" s="458"/>
      <c r="BV373" s="158"/>
      <c r="BW373" s="158"/>
      <c r="BX373" s="458"/>
      <c r="BY373" s="458"/>
      <c r="BZ373" s="458"/>
      <c r="CA373" s="458"/>
      <c r="CB373" s="158"/>
      <c r="CC373" s="158"/>
      <c r="CD373" s="458"/>
      <c r="CE373" s="458"/>
    </row>
    <row r="374" spans="1:84" x14ac:dyDescent="0.5">
      <c r="A374" s="900"/>
      <c r="B374" s="135"/>
      <c r="C374" s="276"/>
      <c r="D374" s="277"/>
      <c r="E374" s="278"/>
      <c r="F374" s="279"/>
      <c r="G374" s="280"/>
      <c r="H374" s="281"/>
      <c r="I374" s="836"/>
      <c r="J374" s="280"/>
      <c r="K374" s="255"/>
      <c r="L374" s="300"/>
      <c r="M374" s="135"/>
      <c r="N374" s="253"/>
      <c r="O374" s="253"/>
      <c r="P374" s="253"/>
      <c r="Q374" s="143"/>
      <c r="R374" s="144"/>
      <c r="S374" s="145"/>
      <c r="T374" s="146"/>
      <c r="U374" s="529"/>
      <c r="V374" s="555"/>
      <c r="W374" s="556"/>
      <c r="X374" s="556"/>
      <c r="Y374" s="557"/>
      <c r="Z374" s="151"/>
      <c r="AA374" s="292">
        <v>19050158</v>
      </c>
      <c r="AB374" s="293">
        <v>16500</v>
      </c>
      <c r="AC374" s="294">
        <f t="shared" si="71"/>
        <v>1155</v>
      </c>
      <c r="AD374" s="294">
        <f t="shared" si="72"/>
        <v>17655</v>
      </c>
      <c r="AE374" s="295">
        <v>43622</v>
      </c>
      <c r="AF374" s="296" t="s">
        <v>869</v>
      </c>
      <c r="AG374" s="296"/>
      <c r="AH374" s="296"/>
      <c r="AI374" s="308" t="s">
        <v>2753</v>
      </c>
      <c r="AJ374" s="158"/>
      <c r="AK374" s="159"/>
      <c r="AL374" s="160"/>
      <c r="AM374" s="160"/>
      <c r="AN374" s="161"/>
      <c r="AO374" s="162"/>
      <c r="AP374" s="458"/>
      <c r="AQ374" s="458"/>
      <c r="AR374" s="158"/>
      <c r="AS374" s="158"/>
      <c r="AT374" s="458"/>
      <c r="AU374" s="163"/>
      <c r="AV374" s="458"/>
      <c r="AW374" s="458"/>
      <c r="AX374" s="158"/>
      <c r="AY374" s="158"/>
      <c r="AZ374" s="458"/>
      <c r="BA374" s="163"/>
      <c r="BB374" s="458"/>
      <c r="BC374" s="458"/>
      <c r="BD374" s="158"/>
      <c r="BE374" s="158"/>
      <c r="BF374" s="458"/>
      <c r="BG374" s="163"/>
      <c r="BH374" s="458"/>
      <c r="BI374" s="458"/>
      <c r="BJ374" s="158"/>
      <c r="BK374" s="158"/>
      <c r="BL374" s="458"/>
      <c r="BM374" s="458"/>
      <c r="BN374" s="458"/>
      <c r="BO374" s="458"/>
      <c r="BP374" s="158"/>
      <c r="BQ374" s="158"/>
      <c r="BR374" s="458"/>
      <c r="BS374" s="458"/>
      <c r="BT374" s="458"/>
      <c r="BU374" s="458"/>
      <c r="BV374" s="158"/>
      <c r="BW374" s="158"/>
      <c r="BX374" s="458"/>
      <c r="BY374" s="458"/>
      <c r="BZ374" s="458"/>
      <c r="CA374" s="458"/>
      <c r="CB374" s="158"/>
      <c r="CC374" s="158"/>
      <c r="CD374" s="458"/>
      <c r="CE374" s="458"/>
    </row>
    <row r="375" spans="1:84" x14ac:dyDescent="0.5">
      <c r="A375" s="900"/>
      <c r="B375" s="135"/>
      <c r="C375" s="276"/>
      <c r="D375" s="277"/>
      <c r="E375" s="278"/>
      <c r="F375" s="279"/>
      <c r="G375" s="280"/>
      <c r="H375" s="281"/>
      <c r="I375" s="836"/>
      <c r="J375" s="280"/>
      <c r="K375" s="255"/>
      <c r="L375" s="300"/>
      <c r="M375" s="135"/>
      <c r="N375" s="253"/>
      <c r="O375" s="253"/>
      <c r="P375" s="253"/>
      <c r="Q375" s="143"/>
      <c r="R375" s="144"/>
      <c r="S375" s="145"/>
      <c r="T375" s="146"/>
      <c r="U375" s="529"/>
      <c r="V375" s="555"/>
      <c r="W375" s="556"/>
      <c r="X375" s="556"/>
      <c r="Y375" s="557"/>
      <c r="Z375" s="151"/>
      <c r="AA375" s="154">
        <v>19110457</v>
      </c>
      <c r="AB375" s="155">
        <v>16500</v>
      </c>
      <c r="AC375" s="253">
        <f t="shared" si="71"/>
        <v>1155</v>
      </c>
      <c r="AD375" s="253">
        <f t="shared" si="72"/>
        <v>17655</v>
      </c>
      <c r="AE375" s="157">
        <v>43810</v>
      </c>
      <c r="AF375" s="152" t="s">
        <v>869</v>
      </c>
      <c r="AG375" s="152"/>
      <c r="AH375" s="152"/>
      <c r="AI375" s="134" t="s">
        <v>3475</v>
      </c>
      <c r="AJ375" s="158"/>
      <c r="AK375" s="159"/>
      <c r="AL375" s="160"/>
      <c r="AM375" s="160"/>
      <c r="AN375" s="161"/>
      <c r="AO375" s="162"/>
      <c r="AP375" s="458"/>
      <c r="AQ375" s="458"/>
      <c r="AR375" s="158"/>
      <c r="AS375" s="158"/>
      <c r="AT375" s="458"/>
      <c r="AU375" s="163"/>
      <c r="AV375" s="458"/>
      <c r="AW375" s="458"/>
      <c r="AX375" s="158"/>
      <c r="AY375" s="158"/>
      <c r="AZ375" s="458"/>
      <c r="BA375" s="163"/>
      <c r="BB375" s="458"/>
      <c r="BC375" s="458"/>
      <c r="BD375" s="158"/>
      <c r="BE375" s="158"/>
      <c r="BF375" s="458"/>
      <c r="BG375" s="163"/>
      <c r="BH375" s="458"/>
      <c r="BI375" s="458"/>
      <c r="BJ375" s="158"/>
      <c r="BK375" s="158"/>
      <c r="BL375" s="458"/>
      <c r="BM375" s="458"/>
      <c r="BN375" s="458"/>
      <c r="BO375" s="458"/>
      <c r="BP375" s="158"/>
      <c r="BQ375" s="158"/>
      <c r="BR375" s="458"/>
      <c r="BS375" s="458"/>
      <c r="BT375" s="458"/>
      <c r="BU375" s="458"/>
      <c r="BV375" s="158"/>
      <c r="BW375" s="158"/>
      <c r="BX375" s="458"/>
      <c r="BY375" s="458"/>
      <c r="BZ375" s="458"/>
      <c r="CA375" s="458"/>
      <c r="CB375" s="158"/>
      <c r="CC375" s="158"/>
      <c r="CD375" s="458"/>
      <c r="CE375" s="458"/>
    </row>
    <row r="376" spans="1:84" x14ac:dyDescent="0.5">
      <c r="A376" s="259">
        <v>18065858</v>
      </c>
      <c r="B376" s="104">
        <v>18060549</v>
      </c>
      <c r="C376" s="242"/>
      <c r="D376" s="243"/>
      <c r="E376" s="244"/>
      <c r="F376" s="245"/>
      <c r="G376" s="246"/>
      <c r="H376" s="247"/>
      <c r="I376" s="306"/>
      <c r="J376" s="246"/>
      <c r="K376" s="547" t="s">
        <v>218</v>
      </c>
      <c r="L376" s="548" t="s">
        <v>219</v>
      </c>
      <c r="M376" s="104" t="s">
        <v>51</v>
      </c>
      <c r="N376" s="260">
        <v>65000</v>
      </c>
      <c r="O376" s="260">
        <v>4550</v>
      </c>
      <c r="P376" s="260">
        <f t="shared" si="70"/>
        <v>69550</v>
      </c>
      <c r="Q376" s="311"/>
      <c r="R376" s="113"/>
      <c r="S376" s="114"/>
      <c r="T376" s="115"/>
      <c r="U376" s="550"/>
      <c r="V376" s="551"/>
      <c r="W376" s="552"/>
      <c r="X376" s="552"/>
      <c r="Y376" s="553"/>
      <c r="Z376" s="120"/>
      <c r="AA376" s="229">
        <v>18070252</v>
      </c>
      <c r="AB376" s="230">
        <v>16250</v>
      </c>
      <c r="AC376" s="220">
        <f t="shared" si="71"/>
        <v>1137.5</v>
      </c>
      <c r="AD376" s="220">
        <f t="shared" si="72"/>
        <v>17387.5</v>
      </c>
      <c r="AE376" s="221">
        <v>43317</v>
      </c>
      <c r="AF376" s="121" t="s">
        <v>869</v>
      </c>
      <c r="AG376" s="121"/>
      <c r="AH376" s="121"/>
      <c r="AI376" s="222" t="s">
        <v>2206</v>
      </c>
      <c r="AJ376" s="128">
        <v>1</v>
      </c>
      <c r="AK376" s="129" t="s">
        <v>668</v>
      </c>
      <c r="AL376" s="130"/>
      <c r="AM376" s="130"/>
      <c r="AN376" s="131">
        <v>1</v>
      </c>
      <c r="AO376" s="132" t="s">
        <v>628</v>
      </c>
      <c r="AP376" s="361"/>
      <c r="AQ376" s="361"/>
      <c r="AR376" s="128"/>
      <c r="AS376" s="128"/>
      <c r="AT376" s="361"/>
      <c r="AU376" s="133"/>
      <c r="AV376" s="361"/>
      <c r="AW376" s="361"/>
      <c r="AX376" s="128"/>
      <c r="AY376" s="128"/>
      <c r="AZ376" s="361"/>
      <c r="BA376" s="133"/>
      <c r="BB376" s="361"/>
      <c r="BC376" s="361"/>
      <c r="BD376" s="128"/>
      <c r="BE376" s="128"/>
      <c r="BF376" s="361"/>
      <c r="BG376" s="133"/>
      <c r="BH376" s="361"/>
      <c r="BI376" s="361"/>
      <c r="BJ376" s="128"/>
      <c r="BK376" s="128"/>
      <c r="BL376" s="361"/>
      <c r="BM376" s="361"/>
      <c r="BN376" s="361"/>
      <c r="BO376" s="361"/>
      <c r="BP376" s="128"/>
      <c r="BQ376" s="128"/>
      <c r="BR376" s="361"/>
      <c r="BS376" s="361"/>
      <c r="BT376" s="361"/>
      <c r="BU376" s="361"/>
      <c r="BV376" s="128"/>
      <c r="BW376" s="128"/>
      <c r="BX376" s="361"/>
      <c r="BY376" s="361"/>
      <c r="BZ376" s="361"/>
      <c r="CA376" s="361"/>
      <c r="CB376" s="128"/>
      <c r="CC376" s="128"/>
      <c r="CD376" s="361"/>
      <c r="CE376" s="361"/>
    </row>
    <row r="377" spans="1:84" x14ac:dyDescent="0.5">
      <c r="A377" s="262"/>
      <c r="B377" s="135"/>
      <c r="C377" s="276"/>
      <c r="D377" s="277"/>
      <c r="E377" s="278"/>
      <c r="F377" s="279"/>
      <c r="G377" s="280"/>
      <c r="H377" s="281"/>
      <c r="I377" s="836"/>
      <c r="J377" s="280"/>
      <c r="K377" s="255"/>
      <c r="L377" s="300"/>
      <c r="M377" s="135"/>
      <c r="N377" s="253"/>
      <c r="O377" s="253"/>
      <c r="P377" s="253"/>
      <c r="Q377" s="143"/>
      <c r="R377" s="144"/>
      <c r="S377" s="145"/>
      <c r="T377" s="146"/>
      <c r="U377" s="529"/>
      <c r="V377" s="555"/>
      <c r="W377" s="556"/>
      <c r="X377" s="556"/>
      <c r="Y377" s="557"/>
      <c r="Z377" s="151"/>
      <c r="AA377" s="292">
        <v>18120490</v>
      </c>
      <c r="AB377" s="293">
        <v>16250</v>
      </c>
      <c r="AC377" s="307">
        <f t="shared" si="71"/>
        <v>1137.5</v>
      </c>
      <c r="AD377" s="307">
        <f t="shared" si="72"/>
        <v>17387.5</v>
      </c>
      <c r="AE377" s="295">
        <v>43471</v>
      </c>
      <c r="AF377" s="296" t="s">
        <v>869</v>
      </c>
      <c r="AG377" s="296"/>
      <c r="AH377" s="296"/>
      <c r="AI377" s="308" t="s">
        <v>1865</v>
      </c>
      <c r="AJ377" s="158"/>
      <c r="AK377" s="159"/>
      <c r="AL377" s="160"/>
      <c r="AM377" s="160"/>
      <c r="AN377" s="161"/>
      <c r="AO377" s="162"/>
      <c r="AP377" s="458"/>
      <c r="AQ377" s="458"/>
      <c r="AR377" s="158"/>
      <c r="AS377" s="158"/>
      <c r="AT377" s="458"/>
      <c r="AU377" s="163"/>
      <c r="AV377" s="458"/>
      <c r="AW377" s="458"/>
      <c r="AX377" s="158"/>
      <c r="AY377" s="158"/>
      <c r="AZ377" s="458"/>
      <c r="BA377" s="163"/>
      <c r="BB377" s="458"/>
      <c r="BC377" s="458"/>
      <c r="BD377" s="158"/>
      <c r="BE377" s="158"/>
      <c r="BF377" s="458"/>
      <c r="BG377" s="163"/>
      <c r="BH377" s="458"/>
      <c r="BI377" s="458"/>
      <c r="BJ377" s="158"/>
      <c r="BK377" s="158"/>
      <c r="BL377" s="458"/>
      <c r="BM377" s="458"/>
      <c r="BN377" s="458"/>
      <c r="BO377" s="458"/>
      <c r="BP377" s="158"/>
      <c r="BQ377" s="158"/>
      <c r="BR377" s="458"/>
      <c r="BS377" s="458"/>
      <c r="BT377" s="458"/>
      <c r="BU377" s="458"/>
      <c r="BV377" s="158"/>
      <c r="BW377" s="158"/>
      <c r="BX377" s="458"/>
      <c r="BY377" s="458"/>
      <c r="BZ377" s="458"/>
      <c r="CA377" s="458"/>
      <c r="CB377" s="158"/>
      <c r="CC377" s="158"/>
      <c r="CD377" s="458"/>
      <c r="CE377" s="458"/>
    </row>
    <row r="378" spans="1:84" x14ac:dyDescent="0.5">
      <c r="A378" s="262"/>
      <c r="B378" s="135"/>
      <c r="C378" s="276"/>
      <c r="D378" s="277"/>
      <c r="E378" s="278"/>
      <c r="F378" s="279"/>
      <c r="G378" s="280"/>
      <c r="H378" s="281"/>
      <c r="I378" s="836"/>
      <c r="J378" s="280"/>
      <c r="K378" s="255"/>
      <c r="L378" s="300"/>
      <c r="M378" s="135"/>
      <c r="N378" s="253"/>
      <c r="O378" s="253"/>
      <c r="P378" s="253"/>
      <c r="Q378" s="143"/>
      <c r="R378" s="144"/>
      <c r="S378" s="145"/>
      <c r="T378" s="146"/>
      <c r="U378" s="529"/>
      <c r="V378" s="555"/>
      <c r="W378" s="556"/>
      <c r="X378" s="556"/>
      <c r="Y378" s="557"/>
      <c r="Z378" s="151"/>
      <c r="AA378" s="292">
        <v>19050161</v>
      </c>
      <c r="AB378" s="293">
        <v>16250</v>
      </c>
      <c r="AC378" s="307">
        <f t="shared" si="71"/>
        <v>1137.5</v>
      </c>
      <c r="AD378" s="307">
        <f t="shared" si="72"/>
        <v>17387.5</v>
      </c>
      <c r="AE378" s="295">
        <v>43622</v>
      </c>
      <c r="AF378" s="296" t="s">
        <v>869</v>
      </c>
      <c r="AG378" s="296"/>
      <c r="AH378" s="296"/>
      <c r="AI378" s="308" t="s">
        <v>2758</v>
      </c>
      <c r="AJ378" s="158"/>
      <c r="AK378" s="159"/>
      <c r="AL378" s="160"/>
      <c r="AM378" s="160"/>
      <c r="AN378" s="161"/>
      <c r="AO378" s="162"/>
      <c r="AP378" s="458"/>
      <c r="AQ378" s="458"/>
      <c r="AR378" s="158"/>
      <c r="AS378" s="158"/>
      <c r="AT378" s="458"/>
      <c r="AU378" s="163"/>
      <c r="AV378" s="458"/>
      <c r="AW378" s="458"/>
      <c r="AX378" s="158"/>
      <c r="AY378" s="158"/>
      <c r="AZ378" s="458"/>
      <c r="BA378" s="163"/>
      <c r="BB378" s="458"/>
      <c r="BC378" s="458"/>
      <c r="BD378" s="158"/>
      <c r="BE378" s="158"/>
      <c r="BF378" s="458"/>
      <c r="BG378" s="163"/>
      <c r="BH378" s="458"/>
      <c r="BI378" s="458"/>
      <c r="BJ378" s="158"/>
      <c r="BK378" s="158"/>
      <c r="BL378" s="458"/>
      <c r="BM378" s="458"/>
      <c r="BN378" s="458"/>
      <c r="BO378" s="458"/>
      <c r="BP378" s="158"/>
      <c r="BQ378" s="158"/>
      <c r="BR378" s="458"/>
      <c r="BS378" s="458"/>
      <c r="BT378" s="458"/>
      <c r="BU378" s="458"/>
      <c r="BV378" s="158"/>
      <c r="BW378" s="158"/>
      <c r="BX378" s="458"/>
      <c r="BY378" s="458"/>
      <c r="BZ378" s="458"/>
      <c r="CA378" s="458"/>
      <c r="CB378" s="158"/>
      <c r="CC378" s="158"/>
      <c r="CD378" s="458"/>
      <c r="CE378" s="458"/>
    </row>
    <row r="379" spans="1:84" x14ac:dyDescent="0.5">
      <c r="A379" s="262"/>
      <c r="B379" s="135"/>
      <c r="C379" s="276"/>
      <c r="D379" s="277"/>
      <c r="E379" s="278"/>
      <c r="F379" s="279"/>
      <c r="G379" s="280"/>
      <c r="H379" s="281"/>
      <c r="I379" s="836"/>
      <c r="J379" s="280"/>
      <c r="K379" s="255"/>
      <c r="L379" s="300"/>
      <c r="M379" s="135"/>
      <c r="N379" s="253"/>
      <c r="O379" s="253"/>
      <c r="P379" s="253"/>
      <c r="Q379" s="143"/>
      <c r="R379" s="144"/>
      <c r="S379" s="145"/>
      <c r="T379" s="146"/>
      <c r="U379" s="529"/>
      <c r="V379" s="555"/>
      <c r="W379" s="556"/>
      <c r="X379" s="556"/>
      <c r="Y379" s="557"/>
      <c r="Z379" s="151"/>
      <c r="AA379" s="154">
        <v>19110458</v>
      </c>
      <c r="AB379" s="155">
        <v>16250</v>
      </c>
      <c r="AC379" s="156">
        <f t="shared" si="71"/>
        <v>1137.5</v>
      </c>
      <c r="AD379" s="156">
        <f t="shared" si="72"/>
        <v>17387.5</v>
      </c>
      <c r="AE379" s="157">
        <v>43810</v>
      </c>
      <c r="AF379" s="152" t="s">
        <v>869</v>
      </c>
      <c r="AG379" s="152"/>
      <c r="AH379" s="152"/>
      <c r="AI379" s="134" t="s">
        <v>3615</v>
      </c>
      <c r="AJ379" s="158"/>
      <c r="AK379" s="159"/>
      <c r="AL379" s="160"/>
      <c r="AM379" s="160"/>
      <c r="AN379" s="161"/>
      <c r="AO379" s="162"/>
      <c r="AP379" s="458"/>
      <c r="AQ379" s="458"/>
      <c r="AR379" s="158"/>
      <c r="AS379" s="158"/>
      <c r="AT379" s="458"/>
      <c r="AU379" s="163"/>
      <c r="AV379" s="458"/>
      <c r="AW379" s="458"/>
      <c r="AX379" s="158"/>
      <c r="AY379" s="158"/>
      <c r="AZ379" s="458"/>
      <c r="BA379" s="163"/>
      <c r="BB379" s="458"/>
      <c r="BC379" s="458"/>
      <c r="BD379" s="158"/>
      <c r="BE379" s="158"/>
      <c r="BF379" s="458"/>
      <c r="BG379" s="163"/>
      <c r="BH379" s="458"/>
      <c r="BI379" s="458"/>
      <c r="BJ379" s="158"/>
      <c r="BK379" s="158"/>
      <c r="BL379" s="458"/>
      <c r="BM379" s="458"/>
      <c r="BN379" s="458"/>
      <c r="BO379" s="458"/>
      <c r="BP379" s="158"/>
      <c r="BQ379" s="158"/>
      <c r="BR379" s="458"/>
      <c r="BS379" s="458"/>
      <c r="BT379" s="458"/>
      <c r="BU379" s="458"/>
      <c r="BV379" s="158"/>
      <c r="BW379" s="158"/>
      <c r="BX379" s="458"/>
      <c r="BY379" s="458"/>
      <c r="BZ379" s="458"/>
      <c r="CA379" s="458"/>
      <c r="CB379" s="158"/>
      <c r="CC379" s="158"/>
      <c r="CD379" s="458"/>
      <c r="CE379" s="458"/>
    </row>
    <row r="380" spans="1:84" x14ac:dyDescent="0.5">
      <c r="A380" s="259">
        <v>18065857</v>
      </c>
      <c r="B380" s="104">
        <v>18060548</v>
      </c>
      <c r="C380" s="242"/>
      <c r="D380" s="243"/>
      <c r="E380" s="244"/>
      <c r="F380" s="245"/>
      <c r="G380" s="246"/>
      <c r="H380" s="247"/>
      <c r="I380" s="306"/>
      <c r="J380" s="246"/>
      <c r="K380" s="547" t="s">
        <v>220</v>
      </c>
      <c r="L380" s="548" t="s">
        <v>221</v>
      </c>
      <c r="M380" s="104" t="s">
        <v>51</v>
      </c>
      <c r="N380" s="260">
        <v>66000</v>
      </c>
      <c r="O380" s="260">
        <v>4620</v>
      </c>
      <c r="P380" s="260">
        <f t="shared" si="70"/>
        <v>70620</v>
      </c>
      <c r="Q380" s="311"/>
      <c r="R380" s="113"/>
      <c r="S380" s="114"/>
      <c r="T380" s="115"/>
      <c r="U380" s="550"/>
      <c r="V380" s="551"/>
      <c r="W380" s="552"/>
      <c r="X380" s="552"/>
      <c r="Y380" s="553"/>
      <c r="Z380" s="120"/>
      <c r="AA380" s="229">
        <v>18070253</v>
      </c>
      <c r="AB380" s="230">
        <v>16500</v>
      </c>
      <c r="AC380" s="220">
        <f t="shared" si="71"/>
        <v>1155</v>
      </c>
      <c r="AD380" s="220">
        <f t="shared" si="72"/>
        <v>17655</v>
      </c>
      <c r="AE380" s="221">
        <v>43317</v>
      </c>
      <c r="AF380" s="121" t="s">
        <v>869</v>
      </c>
      <c r="AG380" s="121"/>
      <c r="AH380" s="121"/>
      <c r="AI380" s="222" t="s">
        <v>2207</v>
      </c>
      <c r="AJ380" s="128">
        <v>1</v>
      </c>
      <c r="AK380" s="129" t="s">
        <v>669</v>
      </c>
      <c r="AL380" s="130"/>
      <c r="AM380" s="130"/>
      <c r="AN380" s="131">
        <v>1</v>
      </c>
      <c r="AO380" s="132" t="s">
        <v>628</v>
      </c>
      <c r="AP380" s="361"/>
      <c r="AQ380" s="361"/>
      <c r="AR380" s="128"/>
      <c r="AS380" s="128"/>
      <c r="AT380" s="361"/>
      <c r="AU380" s="133"/>
      <c r="AV380" s="361"/>
      <c r="AW380" s="361"/>
      <c r="AX380" s="128"/>
      <c r="AY380" s="128"/>
      <c r="AZ380" s="361"/>
      <c r="BA380" s="133"/>
      <c r="BB380" s="361"/>
      <c r="BC380" s="361"/>
      <c r="BD380" s="128"/>
      <c r="BE380" s="128"/>
      <c r="BF380" s="361"/>
      <c r="BG380" s="133"/>
      <c r="BH380" s="361"/>
      <c r="BI380" s="361"/>
      <c r="BJ380" s="128"/>
      <c r="BK380" s="128"/>
      <c r="BL380" s="361"/>
      <c r="BM380" s="361"/>
      <c r="BN380" s="361"/>
      <c r="BO380" s="361"/>
      <c r="BP380" s="128"/>
      <c r="BQ380" s="128"/>
      <c r="BR380" s="361"/>
      <c r="BS380" s="361"/>
      <c r="BT380" s="361"/>
      <c r="BU380" s="361"/>
      <c r="BV380" s="128"/>
      <c r="BW380" s="128"/>
      <c r="BX380" s="361"/>
      <c r="BY380" s="361"/>
      <c r="BZ380" s="361"/>
      <c r="CA380" s="361"/>
      <c r="CB380" s="128"/>
      <c r="CC380" s="128"/>
      <c r="CD380" s="361"/>
      <c r="CE380" s="361"/>
    </row>
    <row r="381" spans="1:84" x14ac:dyDescent="0.5">
      <c r="A381" s="262"/>
      <c r="B381" s="135"/>
      <c r="C381" s="276"/>
      <c r="D381" s="277"/>
      <c r="E381" s="278"/>
      <c r="F381" s="279"/>
      <c r="G381" s="280"/>
      <c r="H381" s="281"/>
      <c r="I381" s="836"/>
      <c r="J381" s="280"/>
      <c r="K381" s="255"/>
      <c r="L381" s="300"/>
      <c r="M381" s="135"/>
      <c r="N381" s="253"/>
      <c r="O381" s="253"/>
      <c r="P381" s="253"/>
      <c r="Q381" s="143"/>
      <c r="R381" s="144"/>
      <c r="S381" s="145"/>
      <c r="T381" s="146"/>
      <c r="U381" s="529"/>
      <c r="V381" s="555"/>
      <c r="W381" s="556"/>
      <c r="X381" s="556"/>
      <c r="Y381" s="557"/>
      <c r="Z381" s="151"/>
      <c r="AA381" s="292">
        <v>18120491</v>
      </c>
      <c r="AB381" s="293">
        <v>16500</v>
      </c>
      <c r="AC381" s="307">
        <f t="shared" si="71"/>
        <v>1155</v>
      </c>
      <c r="AD381" s="307">
        <f t="shared" si="72"/>
        <v>17655</v>
      </c>
      <c r="AE381" s="295">
        <v>43471</v>
      </c>
      <c r="AF381" s="296" t="s">
        <v>869</v>
      </c>
      <c r="AG381" s="296"/>
      <c r="AH381" s="296"/>
      <c r="AI381" s="308" t="s">
        <v>2208</v>
      </c>
      <c r="AJ381" s="158"/>
      <c r="AK381" s="159"/>
      <c r="AL381" s="160"/>
      <c r="AM381" s="160"/>
      <c r="AN381" s="161"/>
      <c r="AO381" s="162"/>
      <c r="AP381" s="458"/>
      <c r="AQ381" s="458"/>
      <c r="AR381" s="158"/>
      <c r="AS381" s="158"/>
      <c r="AT381" s="458"/>
      <c r="AU381" s="163"/>
      <c r="AV381" s="458"/>
      <c r="AW381" s="458"/>
      <c r="AX381" s="158"/>
      <c r="AY381" s="158"/>
      <c r="AZ381" s="458"/>
      <c r="BA381" s="163"/>
      <c r="BB381" s="458"/>
      <c r="BC381" s="458"/>
      <c r="BD381" s="158"/>
      <c r="BE381" s="158"/>
      <c r="BF381" s="458"/>
      <c r="BG381" s="163"/>
      <c r="BH381" s="458"/>
      <c r="BI381" s="458"/>
      <c r="BJ381" s="158"/>
      <c r="BK381" s="158"/>
      <c r="BL381" s="458"/>
      <c r="BM381" s="458"/>
      <c r="BN381" s="458"/>
      <c r="BO381" s="458"/>
      <c r="BP381" s="158"/>
      <c r="BQ381" s="158"/>
      <c r="BR381" s="458"/>
      <c r="BS381" s="458"/>
      <c r="BT381" s="458"/>
      <c r="BU381" s="458"/>
      <c r="BV381" s="158"/>
      <c r="BW381" s="158"/>
      <c r="BX381" s="458"/>
      <c r="BY381" s="458"/>
      <c r="BZ381" s="458"/>
      <c r="CA381" s="458"/>
      <c r="CB381" s="158"/>
      <c r="CC381" s="158"/>
      <c r="CD381" s="458"/>
      <c r="CE381" s="458"/>
      <c r="CF381" s="239"/>
    </row>
    <row r="382" spans="1:84" x14ac:dyDescent="0.5">
      <c r="A382" s="262"/>
      <c r="B382" s="135"/>
      <c r="C382" s="276"/>
      <c r="D382" s="277"/>
      <c r="E382" s="278"/>
      <c r="F382" s="279"/>
      <c r="G382" s="280"/>
      <c r="H382" s="281"/>
      <c r="I382" s="836"/>
      <c r="J382" s="280"/>
      <c r="K382" s="255"/>
      <c r="L382" s="300"/>
      <c r="M382" s="135"/>
      <c r="N382" s="253"/>
      <c r="O382" s="253"/>
      <c r="P382" s="253"/>
      <c r="Q382" s="143"/>
      <c r="R382" s="144"/>
      <c r="S382" s="145"/>
      <c r="T382" s="146"/>
      <c r="U382" s="529"/>
      <c r="V382" s="555"/>
      <c r="W382" s="556"/>
      <c r="X382" s="556"/>
      <c r="Y382" s="557"/>
      <c r="Z382" s="151"/>
      <c r="AA382" s="292">
        <v>19050162</v>
      </c>
      <c r="AB382" s="293">
        <v>16500</v>
      </c>
      <c r="AC382" s="307">
        <f t="shared" si="71"/>
        <v>1155</v>
      </c>
      <c r="AD382" s="307">
        <f t="shared" si="72"/>
        <v>17655</v>
      </c>
      <c r="AE382" s="295">
        <v>43622</v>
      </c>
      <c r="AF382" s="296" t="s">
        <v>869</v>
      </c>
      <c r="AG382" s="296"/>
      <c r="AH382" s="296"/>
      <c r="AI382" s="308" t="s">
        <v>2756</v>
      </c>
      <c r="AJ382" s="158"/>
      <c r="AK382" s="159"/>
      <c r="AL382" s="160"/>
      <c r="AM382" s="160"/>
      <c r="AN382" s="161"/>
      <c r="AO382" s="162"/>
      <c r="AP382" s="458"/>
      <c r="AQ382" s="458"/>
      <c r="AR382" s="158"/>
      <c r="AS382" s="158"/>
      <c r="AT382" s="458"/>
      <c r="AU382" s="163"/>
      <c r="AV382" s="458"/>
      <c r="AW382" s="458"/>
      <c r="AX382" s="158"/>
      <c r="AY382" s="158"/>
      <c r="AZ382" s="458"/>
      <c r="BA382" s="163"/>
      <c r="BB382" s="458"/>
      <c r="BC382" s="458"/>
      <c r="BD382" s="158"/>
      <c r="BE382" s="158"/>
      <c r="BF382" s="458"/>
      <c r="BG382" s="163"/>
      <c r="BH382" s="458"/>
      <c r="BI382" s="458"/>
      <c r="BJ382" s="158"/>
      <c r="BK382" s="158"/>
      <c r="BL382" s="458"/>
      <c r="BM382" s="458"/>
      <c r="BN382" s="458"/>
      <c r="BO382" s="458"/>
      <c r="BP382" s="158"/>
      <c r="BQ382" s="158"/>
      <c r="BR382" s="458"/>
      <c r="BS382" s="458"/>
      <c r="BT382" s="458"/>
      <c r="BU382" s="458"/>
      <c r="BV382" s="158"/>
      <c r="BW382" s="158"/>
      <c r="BX382" s="458"/>
      <c r="BY382" s="458"/>
      <c r="BZ382" s="458"/>
      <c r="CA382" s="458"/>
      <c r="CB382" s="158"/>
      <c r="CC382" s="158"/>
      <c r="CD382" s="458"/>
      <c r="CE382" s="458"/>
    </row>
    <row r="383" spans="1:84" x14ac:dyDescent="0.5">
      <c r="A383" s="262"/>
      <c r="B383" s="135"/>
      <c r="C383" s="276"/>
      <c r="D383" s="277"/>
      <c r="E383" s="278"/>
      <c r="F383" s="279"/>
      <c r="G383" s="280"/>
      <c r="H383" s="281"/>
      <c r="I383" s="836"/>
      <c r="J383" s="280"/>
      <c r="K383" s="255"/>
      <c r="L383" s="300"/>
      <c r="M383" s="135"/>
      <c r="N383" s="253"/>
      <c r="O383" s="253"/>
      <c r="P383" s="253"/>
      <c r="Q383" s="143"/>
      <c r="R383" s="144"/>
      <c r="S383" s="145"/>
      <c r="T383" s="146"/>
      <c r="U383" s="529"/>
      <c r="V383" s="555"/>
      <c r="W383" s="556"/>
      <c r="X383" s="556"/>
      <c r="Y383" s="557"/>
      <c r="Z383" s="151"/>
      <c r="AA383" s="154">
        <v>19110456</v>
      </c>
      <c r="AB383" s="155">
        <v>16500</v>
      </c>
      <c r="AC383" s="156">
        <f t="shared" si="71"/>
        <v>1155</v>
      </c>
      <c r="AD383" s="156">
        <f t="shared" si="72"/>
        <v>17655</v>
      </c>
      <c r="AE383" s="157">
        <v>43810</v>
      </c>
      <c r="AF383" s="152" t="s">
        <v>869</v>
      </c>
      <c r="AG383" s="152"/>
      <c r="AH383" s="152"/>
      <c r="AI383" s="134" t="s">
        <v>3480</v>
      </c>
      <c r="AJ383" s="158"/>
      <c r="AK383" s="159"/>
      <c r="AL383" s="160"/>
      <c r="AM383" s="160"/>
      <c r="AN383" s="161"/>
      <c r="AO383" s="162"/>
      <c r="AP383" s="458"/>
      <c r="AQ383" s="458"/>
      <c r="AR383" s="158"/>
      <c r="AS383" s="158"/>
      <c r="AT383" s="458"/>
      <c r="AU383" s="163"/>
      <c r="AV383" s="458"/>
      <c r="AW383" s="458"/>
      <c r="AX383" s="158"/>
      <c r="AY383" s="158"/>
      <c r="AZ383" s="458"/>
      <c r="BA383" s="163"/>
      <c r="BB383" s="458"/>
      <c r="BC383" s="458"/>
      <c r="BD383" s="158"/>
      <c r="BE383" s="158"/>
      <c r="BF383" s="458"/>
      <c r="BG383" s="163"/>
      <c r="BH383" s="458"/>
      <c r="BI383" s="458"/>
      <c r="BJ383" s="158"/>
      <c r="BK383" s="158"/>
      <c r="BL383" s="458"/>
      <c r="BM383" s="458"/>
      <c r="BN383" s="458"/>
      <c r="BO383" s="458"/>
      <c r="BP383" s="158"/>
      <c r="BQ383" s="158"/>
      <c r="BR383" s="458"/>
      <c r="BS383" s="458"/>
      <c r="BT383" s="458"/>
      <c r="BU383" s="458"/>
      <c r="BV383" s="158"/>
      <c r="BW383" s="158"/>
      <c r="BX383" s="458"/>
      <c r="BY383" s="458"/>
      <c r="BZ383" s="458"/>
      <c r="CA383" s="458"/>
      <c r="CB383" s="158"/>
      <c r="CC383" s="158"/>
      <c r="CD383" s="458"/>
      <c r="CE383" s="458"/>
    </row>
    <row r="384" spans="1:84" x14ac:dyDescent="0.5">
      <c r="A384" s="259">
        <v>18065856</v>
      </c>
      <c r="B384" s="104">
        <v>18060547</v>
      </c>
      <c r="C384" s="242"/>
      <c r="D384" s="243"/>
      <c r="E384" s="244"/>
      <c r="F384" s="245"/>
      <c r="G384" s="246"/>
      <c r="H384" s="247"/>
      <c r="I384" s="306"/>
      <c r="J384" s="246"/>
      <c r="K384" s="547" t="s">
        <v>222</v>
      </c>
      <c r="L384" s="548" t="s">
        <v>223</v>
      </c>
      <c r="M384" s="104" t="s">
        <v>51</v>
      </c>
      <c r="N384" s="260">
        <v>70000</v>
      </c>
      <c r="O384" s="260">
        <v>4900</v>
      </c>
      <c r="P384" s="260">
        <f t="shared" si="70"/>
        <v>74900</v>
      </c>
      <c r="Q384" s="311"/>
      <c r="R384" s="113"/>
      <c r="S384" s="114"/>
      <c r="T384" s="115"/>
      <c r="U384" s="550"/>
      <c r="V384" s="551"/>
      <c r="W384" s="552"/>
      <c r="X384" s="552"/>
      <c r="Y384" s="553"/>
      <c r="Z384" s="120"/>
      <c r="AA384" s="229">
        <v>18070254</v>
      </c>
      <c r="AB384" s="230">
        <v>17500</v>
      </c>
      <c r="AC384" s="220">
        <f t="shared" si="71"/>
        <v>1225</v>
      </c>
      <c r="AD384" s="220">
        <f t="shared" si="72"/>
        <v>18725</v>
      </c>
      <c r="AE384" s="221">
        <v>43317</v>
      </c>
      <c r="AF384" s="121" t="s">
        <v>869</v>
      </c>
      <c r="AG384" s="121"/>
      <c r="AH384" s="121"/>
      <c r="AI384" s="222" t="s">
        <v>2209</v>
      </c>
      <c r="AJ384" s="128">
        <v>1</v>
      </c>
      <c r="AK384" s="129" t="s">
        <v>670</v>
      </c>
      <c r="AL384" s="130"/>
      <c r="AM384" s="130"/>
      <c r="AN384" s="131">
        <v>1</v>
      </c>
      <c r="AO384" s="132" t="s">
        <v>628</v>
      </c>
      <c r="AP384" s="361"/>
      <c r="AQ384" s="361"/>
      <c r="AR384" s="128"/>
      <c r="AS384" s="128"/>
      <c r="AT384" s="361"/>
      <c r="AU384" s="133"/>
      <c r="AV384" s="361"/>
      <c r="AW384" s="361"/>
      <c r="AX384" s="128"/>
      <c r="AY384" s="128"/>
      <c r="AZ384" s="361"/>
      <c r="BA384" s="133"/>
      <c r="BB384" s="361"/>
      <c r="BC384" s="361"/>
      <c r="BD384" s="128"/>
      <c r="BE384" s="128"/>
      <c r="BF384" s="361"/>
      <c r="BG384" s="133"/>
      <c r="BH384" s="361"/>
      <c r="BI384" s="361"/>
      <c r="BJ384" s="128"/>
      <c r="BK384" s="128"/>
      <c r="BL384" s="361"/>
      <c r="BM384" s="361"/>
      <c r="BN384" s="361"/>
      <c r="BO384" s="361"/>
      <c r="BP384" s="128"/>
      <c r="BQ384" s="128"/>
      <c r="BR384" s="361"/>
      <c r="BS384" s="361"/>
      <c r="BT384" s="361"/>
      <c r="BU384" s="361"/>
      <c r="BV384" s="128"/>
      <c r="BW384" s="128"/>
      <c r="BX384" s="361"/>
      <c r="BY384" s="361"/>
      <c r="BZ384" s="361"/>
      <c r="CA384" s="361"/>
      <c r="CB384" s="128"/>
      <c r="CC384" s="128"/>
      <c r="CD384" s="361"/>
      <c r="CE384" s="361"/>
    </row>
    <row r="385" spans="1:83" x14ac:dyDescent="0.5">
      <c r="A385" s="262"/>
      <c r="B385" s="135"/>
      <c r="C385" s="276"/>
      <c r="D385" s="277"/>
      <c r="E385" s="278"/>
      <c r="F385" s="279"/>
      <c r="G385" s="280"/>
      <c r="H385" s="281"/>
      <c r="I385" s="836"/>
      <c r="J385" s="280"/>
      <c r="K385" s="255"/>
      <c r="L385" s="300"/>
      <c r="M385" s="135"/>
      <c r="N385" s="253"/>
      <c r="O385" s="253"/>
      <c r="P385" s="253"/>
      <c r="Q385" s="143"/>
      <c r="R385" s="144"/>
      <c r="S385" s="145"/>
      <c r="T385" s="146"/>
      <c r="U385" s="529"/>
      <c r="V385" s="555"/>
      <c r="W385" s="556"/>
      <c r="X385" s="556"/>
      <c r="Y385" s="557"/>
      <c r="Z385" s="151"/>
      <c r="AA385" s="292">
        <v>18120493</v>
      </c>
      <c r="AB385" s="293">
        <v>17500</v>
      </c>
      <c r="AC385" s="307">
        <f t="shared" si="71"/>
        <v>1225</v>
      </c>
      <c r="AD385" s="307">
        <f t="shared" si="72"/>
        <v>18725</v>
      </c>
      <c r="AE385" s="295">
        <v>43471</v>
      </c>
      <c r="AF385" s="296" t="s">
        <v>869</v>
      </c>
      <c r="AG385" s="296"/>
      <c r="AH385" s="296"/>
      <c r="AI385" s="308" t="s">
        <v>2210</v>
      </c>
      <c r="AJ385" s="158"/>
      <c r="AK385" s="159"/>
      <c r="AL385" s="160"/>
      <c r="AM385" s="160"/>
      <c r="AN385" s="161"/>
      <c r="AO385" s="162"/>
      <c r="AP385" s="458"/>
      <c r="AQ385" s="458"/>
      <c r="AR385" s="158"/>
      <c r="AS385" s="158"/>
      <c r="AT385" s="458"/>
      <c r="AU385" s="163"/>
      <c r="AV385" s="458"/>
      <c r="AW385" s="458"/>
      <c r="AX385" s="158"/>
      <c r="AY385" s="158"/>
      <c r="AZ385" s="458"/>
      <c r="BA385" s="163"/>
      <c r="BB385" s="458"/>
      <c r="BC385" s="458"/>
      <c r="BD385" s="158"/>
      <c r="BE385" s="158"/>
      <c r="BF385" s="458"/>
      <c r="BG385" s="163"/>
      <c r="BH385" s="458"/>
      <c r="BI385" s="458"/>
      <c r="BJ385" s="158"/>
      <c r="BK385" s="158"/>
      <c r="BL385" s="458"/>
      <c r="BM385" s="458"/>
      <c r="BN385" s="458"/>
      <c r="BO385" s="458"/>
      <c r="BP385" s="158"/>
      <c r="BQ385" s="158"/>
      <c r="BR385" s="458"/>
      <c r="BS385" s="458"/>
      <c r="BT385" s="458"/>
      <c r="BU385" s="458"/>
      <c r="BV385" s="158"/>
      <c r="BW385" s="158"/>
      <c r="BX385" s="458"/>
      <c r="BY385" s="458"/>
      <c r="BZ385" s="458"/>
      <c r="CA385" s="458"/>
      <c r="CB385" s="158"/>
      <c r="CC385" s="158"/>
      <c r="CD385" s="458"/>
      <c r="CE385" s="458"/>
    </row>
    <row r="386" spans="1:83" x14ac:dyDescent="0.5">
      <c r="A386" s="262"/>
      <c r="B386" s="135"/>
      <c r="C386" s="276"/>
      <c r="D386" s="277"/>
      <c r="E386" s="278"/>
      <c r="F386" s="279"/>
      <c r="G386" s="280"/>
      <c r="H386" s="281"/>
      <c r="I386" s="836"/>
      <c r="J386" s="280"/>
      <c r="K386" s="255"/>
      <c r="L386" s="300"/>
      <c r="M386" s="135"/>
      <c r="N386" s="253"/>
      <c r="O386" s="253"/>
      <c r="P386" s="253"/>
      <c r="Q386" s="143"/>
      <c r="R386" s="144"/>
      <c r="S386" s="145"/>
      <c r="T386" s="146"/>
      <c r="U386" s="529"/>
      <c r="V386" s="555"/>
      <c r="W386" s="556"/>
      <c r="X386" s="556"/>
      <c r="Y386" s="557"/>
      <c r="Z386" s="151"/>
      <c r="AA386" s="292">
        <v>19050156</v>
      </c>
      <c r="AB386" s="293">
        <v>17500</v>
      </c>
      <c r="AC386" s="307">
        <f t="shared" si="71"/>
        <v>1225</v>
      </c>
      <c r="AD386" s="307">
        <f t="shared" si="72"/>
        <v>18725</v>
      </c>
      <c r="AE386" s="295">
        <v>43622</v>
      </c>
      <c r="AF386" s="296" t="s">
        <v>869</v>
      </c>
      <c r="AG386" s="296"/>
      <c r="AH386" s="296"/>
      <c r="AI386" s="308" t="s">
        <v>2752</v>
      </c>
      <c r="AJ386" s="158"/>
      <c r="AK386" s="159"/>
      <c r="AL386" s="160"/>
      <c r="AM386" s="160"/>
      <c r="AN386" s="161"/>
      <c r="AO386" s="162"/>
      <c r="AP386" s="458"/>
      <c r="AQ386" s="458"/>
      <c r="AR386" s="158"/>
      <c r="AS386" s="158"/>
      <c r="AT386" s="458"/>
      <c r="AU386" s="163"/>
      <c r="AV386" s="458"/>
      <c r="AW386" s="458"/>
      <c r="AX386" s="158"/>
      <c r="AY386" s="158"/>
      <c r="AZ386" s="458"/>
      <c r="BA386" s="163"/>
      <c r="BB386" s="458"/>
      <c r="BC386" s="458"/>
      <c r="BD386" s="158"/>
      <c r="BE386" s="158"/>
      <c r="BF386" s="458"/>
      <c r="BG386" s="163"/>
      <c r="BH386" s="458"/>
      <c r="BI386" s="458"/>
      <c r="BJ386" s="158"/>
      <c r="BK386" s="158"/>
      <c r="BL386" s="458"/>
      <c r="BM386" s="458"/>
      <c r="BN386" s="458"/>
      <c r="BO386" s="458"/>
      <c r="BP386" s="158"/>
      <c r="BQ386" s="158"/>
      <c r="BR386" s="458"/>
      <c r="BS386" s="458"/>
      <c r="BT386" s="458"/>
      <c r="BU386" s="458"/>
      <c r="BV386" s="158"/>
      <c r="BW386" s="158"/>
      <c r="BX386" s="458"/>
      <c r="BY386" s="458"/>
      <c r="BZ386" s="458"/>
      <c r="CA386" s="458"/>
      <c r="CB386" s="158"/>
      <c r="CC386" s="158"/>
      <c r="CD386" s="458"/>
      <c r="CE386" s="458"/>
    </row>
    <row r="387" spans="1:83" x14ac:dyDescent="0.5">
      <c r="A387" s="262"/>
      <c r="B387" s="135"/>
      <c r="C387" s="276"/>
      <c r="D387" s="277"/>
      <c r="E387" s="278"/>
      <c r="F387" s="279"/>
      <c r="G387" s="280"/>
      <c r="H387" s="281"/>
      <c r="I387" s="836"/>
      <c r="J387" s="280"/>
      <c r="K387" s="255"/>
      <c r="L387" s="300"/>
      <c r="M387" s="135"/>
      <c r="N387" s="253"/>
      <c r="O387" s="253"/>
      <c r="P387" s="253"/>
      <c r="Q387" s="143"/>
      <c r="R387" s="144"/>
      <c r="S387" s="145"/>
      <c r="T387" s="146"/>
      <c r="U387" s="529"/>
      <c r="V387" s="555"/>
      <c r="W387" s="556"/>
      <c r="X387" s="556"/>
      <c r="Y387" s="557"/>
      <c r="Z387" s="151"/>
      <c r="AA387" s="154">
        <v>19110455</v>
      </c>
      <c r="AB387" s="155">
        <v>17500</v>
      </c>
      <c r="AC387" s="156">
        <f t="shared" si="71"/>
        <v>1225</v>
      </c>
      <c r="AD387" s="156">
        <f t="shared" si="72"/>
        <v>18725</v>
      </c>
      <c r="AE387" s="157">
        <v>43810</v>
      </c>
      <c r="AF387" s="152" t="s">
        <v>869</v>
      </c>
      <c r="AG387" s="152"/>
      <c r="AH387" s="152"/>
      <c r="AI387" s="134" t="s">
        <v>3473</v>
      </c>
      <c r="AJ387" s="158"/>
      <c r="AK387" s="159"/>
      <c r="AL387" s="160"/>
      <c r="AM387" s="160"/>
      <c r="AN387" s="161"/>
      <c r="AO387" s="162"/>
      <c r="AP387" s="458"/>
      <c r="AQ387" s="458"/>
      <c r="AR387" s="158"/>
      <c r="AS387" s="158"/>
      <c r="AT387" s="458"/>
      <c r="AU387" s="163"/>
      <c r="AV387" s="458"/>
      <c r="AW387" s="458"/>
      <c r="AX387" s="158"/>
      <c r="AY387" s="158"/>
      <c r="AZ387" s="458"/>
      <c r="BA387" s="163"/>
      <c r="BB387" s="458"/>
      <c r="BC387" s="458"/>
      <c r="BD387" s="158"/>
      <c r="BE387" s="158"/>
      <c r="BF387" s="458"/>
      <c r="BG387" s="163"/>
      <c r="BH387" s="458"/>
      <c r="BI387" s="458"/>
      <c r="BJ387" s="158"/>
      <c r="BK387" s="158"/>
      <c r="BL387" s="458"/>
      <c r="BM387" s="458"/>
      <c r="BN387" s="458"/>
      <c r="BO387" s="458"/>
      <c r="BP387" s="158"/>
      <c r="BQ387" s="158"/>
      <c r="BR387" s="458"/>
      <c r="BS387" s="458"/>
      <c r="BT387" s="458"/>
      <c r="BU387" s="458"/>
      <c r="BV387" s="158"/>
      <c r="BW387" s="158"/>
      <c r="BX387" s="458"/>
      <c r="BY387" s="458"/>
      <c r="BZ387" s="458"/>
      <c r="CA387" s="458"/>
      <c r="CB387" s="158"/>
      <c r="CC387" s="158"/>
      <c r="CD387" s="458"/>
      <c r="CE387" s="458"/>
    </row>
    <row r="388" spans="1:83" x14ac:dyDescent="0.5">
      <c r="A388" s="259">
        <v>18065855</v>
      </c>
      <c r="B388" s="104">
        <v>18060546</v>
      </c>
      <c r="C388" s="242"/>
      <c r="D388" s="243"/>
      <c r="E388" s="244"/>
      <c r="F388" s="245"/>
      <c r="G388" s="246"/>
      <c r="H388" s="247"/>
      <c r="I388" s="306"/>
      <c r="J388" s="246"/>
      <c r="K388" s="547" t="s">
        <v>224</v>
      </c>
      <c r="L388" s="548" t="s">
        <v>225</v>
      </c>
      <c r="M388" s="104" t="s">
        <v>51</v>
      </c>
      <c r="N388" s="260">
        <v>68000</v>
      </c>
      <c r="O388" s="260">
        <v>4760</v>
      </c>
      <c r="P388" s="260">
        <f t="shared" si="70"/>
        <v>72760</v>
      </c>
      <c r="Q388" s="311"/>
      <c r="R388" s="113"/>
      <c r="S388" s="114"/>
      <c r="T388" s="115"/>
      <c r="U388" s="550"/>
      <c r="V388" s="551"/>
      <c r="W388" s="552"/>
      <c r="X388" s="552"/>
      <c r="Y388" s="553"/>
      <c r="Z388" s="120"/>
      <c r="AA388" s="229">
        <v>18120501</v>
      </c>
      <c r="AB388" s="230">
        <v>17000</v>
      </c>
      <c r="AC388" s="233">
        <f t="shared" si="71"/>
        <v>1190</v>
      </c>
      <c r="AD388" s="233">
        <f t="shared" si="72"/>
        <v>18190</v>
      </c>
      <c r="AE388" s="221">
        <v>43477</v>
      </c>
      <c r="AF388" s="121" t="s">
        <v>869</v>
      </c>
      <c r="AG388" s="121"/>
      <c r="AH388" s="121"/>
      <c r="AI388" s="222" t="s">
        <v>2240</v>
      </c>
      <c r="AJ388" s="128">
        <v>1</v>
      </c>
      <c r="AK388" s="129" t="s">
        <v>671</v>
      </c>
      <c r="AL388" s="130"/>
      <c r="AM388" s="130"/>
      <c r="AN388" s="131">
        <v>1</v>
      </c>
      <c r="AO388" s="132" t="s">
        <v>628</v>
      </c>
      <c r="AP388" s="361"/>
      <c r="AQ388" s="361"/>
      <c r="AR388" s="128"/>
      <c r="AS388" s="128"/>
      <c r="AT388" s="361"/>
      <c r="AU388" s="133"/>
      <c r="AV388" s="361"/>
      <c r="AW388" s="361"/>
      <c r="AX388" s="128"/>
      <c r="AY388" s="128"/>
      <c r="AZ388" s="361"/>
      <c r="BA388" s="133"/>
      <c r="BB388" s="361"/>
      <c r="BC388" s="361"/>
      <c r="BD388" s="128"/>
      <c r="BE388" s="128"/>
      <c r="BF388" s="361"/>
      <c r="BG388" s="133"/>
      <c r="BH388" s="361"/>
      <c r="BI388" s="361"/>
      <c r="BJ388" s="128"/>
      <c r="BK388" s="128"/>
      <c r="BL388" s="361"/>
      <c r="BM388" s="361"/>
      <c r="BN388" s="361"/>
      <c r="BO388" s="361"/>
      <c r="BP388" s="128"/>
      <c r="BQ388" s="128"/>
      <c r="BR388" s="361"/>
      <c r="BS388" s="361"/>
      <c r="BT388" s="361"/>
      <c r="BU388" s="361"/>
      <c r="BV388" s="128"/>
      <c r="BW388" s="128"/>
      <c r="BX388" s="361"/>
      <c r="BY388" s="361"/>
      <c r="BZ388" s="361"/>
      <c r="CA388" s="361"/>
      <c r="CB388" s="128"/>
      <c r="CC388" s="128"/>
      <c r="CD388" s="361"/>
      <c r="CE388" s="361"/>
    </row>
    <row r="389" spans="1:83" x14ac:dyDescent="0.5">
      <c r="A389" s="262"/>
      <c r="B389" s="135"/>
      <c r="C389" s="276"/>
      <c r="D389" s="277"/>
      <c r="E389" s="278"/>
      <c r="F389" s="279"/>
      <c r="G389" s="280"/>
      <c r="H389" s="281"/>
      <c r="I389" s="836"/>
      <c r="J389" s="280"/>
      <c r="K389" s="255"/>
      <c r="L389" s="300"/>
      <c r="M389" s="135"/>
      <c r="N389" s="253"/>
      <c r="O389" s="253"/>
      <c r="P389" s="253"/>
      <c r="Q389" s="143"/>
      <c r="R389" s="144"/>
      <c r="S389" s="145"/>
      <c r="T389" s="146"/>
      <c r="U389" s="529"/>
      <c r="V389" s="555"/>
      <c r="W389" s="556"/>
      <c r="X389" s="556"/>
      <c r="Y389" s="557"/>
      <c r="Z389" s="151"/>
      <c r="AA389" s="857">
        <v>18070257</v>
      </c>
      <c r="AB389" s="858">
        <v>17000</v>
      </c>
      <c r="AC389" s="859">
        <f t="shared" si="71"/>
        <v>1190</v>
      </c>
      <c r="AD389" s="859">
        <f t="shared" si="72"/>
        <v>18190</v>
      </c>
      <c r="AE389" s="860">
        <v>43320</v>
      </c>
      <c r="AF389" s="861"/>
      <c r="AG389" s="861"/>
      <c r="AH389" s="861"/>
      <c r="AI389" s="862" t="s">
        <v>1025</v>
      </c>
      <c r="AJ389" s="158"/>
      <c r="AK389" s="159"/>
      <c r="AL389" s="160"/>
      <c r="AM389" s="160"/>
      <c r="AN389" s="161"/>
      <c r="AO389" s="162"/>
      <c r="AP389" s="458"/>
      <c r="AQ389" s="458"/>
      <c r="AR389" s="158"/>
      <c r="AS389" s="158"/>
      <c r="AT389" s="458"/>
      <c r="AU389" s="163"/>
      <c r="AV389" s="458"/>
      <c r="AW389" s="458"/>
      <c r="AX389" s="158"/>
      <c r="AY389" s="158"/>
      <c r="AZ389" s="458"/>
      <c r="BA389" s="163"/>
      <c r="BB389" s="458"/>
      <c r="BC389" s="458"/>
      <c r="BD389" s="158"/>
      <c r="BE389" s="158"/>
      <c r="BF389" s="458"/>
      <c r="BG389" s="163"/>
      <c r="BH389" s="458"/>
      <c r="BI389" s="458"/>
      <c r="BJ389" s="158"/>
      <c r="BK389" s="158"/>
      <c r="BL389" s="458"/>
      <c r="BM389" s="458"/>
      <c r="BN389" s="458"/>
      <c r="BO389" s="458"/>
      <c r="BP389" s="158"/>
      <c r="BQ389" s="158"/>
      <c r="BR389" s="458"/>
      <c r="BS389" s="458"/>
      <c r="BT389" s="458"/>
      <c r="BU389" s="458"/>
      <c r="BV389" s="158"/>
      <c r="BW389" s="158"/>
      <c r="BX389" s="458"/>
      <c r="BY389" s="458"/>
      <c r="BZ389" s="458"/>
      <c r="CA389" s="458"/>
      <c r="CB389" s="158"/>
      <c r="CC389" s="158"/>
      <c r="CD389" s="458"/>
      <c r="CE389" s="458"/>
    </row>
    <row r="390" spans="1:83" x14ac:dyDescent="0.5">
      <c r="A390" s="262"/>
      <c r="B390" s="135"/>
      <c r="C390" s="276"/>
      <c r="D390" s="277"/>
      <c r="E390" s="278"/>
      <c r="F390" s="279"/>
      <c r="G390" s="280"/>
      <c r="H390" s="281"/>
      <c r="I390" s="836"/>
      <c r="J390" s="280"/>
      <c r="K390" s="255"/>
      <c r="L390" s="300"/>
      <c r="M390" s="135"/>
      <c r="N390" s="253"/>
      <c r="O390" s="253"/>
      <c r="P390" s="253"/>
      <c r="Q390" s="143"/>
      <c r="R390" s="144"/>
      <c r="S390" s="145"/>
      <c r="T390" s="146"/>
      <c r="U390" s="529"/>
      <c r="V390" s="555"/>
      <c r="W390" s="556"/>
      <c r="X390" s="556"/>
      <c r="Y390" s="557"/>
      <c r="Z390" s="151"/>
      <c r="AA390" s="292" t="s">
        <v>2110</v>
      </c>
      <c r="AB390" s="293">
        <v>17000</v>
      </c>
      <c r="AC390" s="294">
        <f t="shared" si="71"/>
        <v>1190</v>
      </c>
      <c r="AD390" s="294">
        <f t="shared" si="72"/>
        <v>18190</v>
      </c>
      <c r="AE390" s="295">
        <v>43609</v>
      </c>
      <c r="AF390" s="296" t="s">
        <v>869</v>
      </c>
      <c r="AG390" s="296"/>
      <c r="AH390" s="296"/>
      <c r="AI390" s="308" t="s">
        <v>2726</v>
      </c>
      <c r="AJ390" s="158"/>
      <c r="AK390" s="159"/>
      <c r="AL390" s="160"/>
      <c r="AM390" s="160"/>
      <c r="AN390" s="161"/>
      <c r="AO390" s="162"/>
      <c r="AP390" s="458"/>
      <c r="AQ390" s="458"/>
      <c r="AR390" s="158"/>
      <c r="AS390" s="158"/>
      <c r="AT390" s="458"/>
      <c r="AU390" s="163"/>
      <c r="AV390" s="458"/>
      <c r="AW390" s="458"/>
      <c r="AX390" s="158"/>
      <c r="AY390" s="158"/>
      <c r="AZ390" s="458"/>
      <c r="BA390" s="163"/>
      <c r="BB390" s="458"/>
      <c r="BC390" s="458"/>
      <c r="BD390" s="158"/>
      <c r="BE390" s="158"/>
      <c r="BF390" s="458"/>
      <c r="BG390" s="163"/>
      <c r="BH390" s="458"/>
      <c r="BI390" s="458"/>
      <c r="BJ390" s="158"/>
      <c r="BK390" s="158"/>
      <c r="BL390" s="458"/>
      <c r="BM390" s="458"/>
      <c r="BN390" s="458"/>
      <c r="BO390" s="458"/>
      <c r="BP390" s="158"/>
      <c r="BQ390" s="158"/>
      <c r="BR390" s="458"/>
      <c r="BS390" s="458"/>
      <c r="BT390" s="458"/>
      <c r="BU390" s="458"/>
      <c r="BV390" s="158"/>
      <c r="BW390" s="158"/>
      <c r="BX390" s="458"/>
      <c r="BY390" s="458"/>
      <c r="BZ390" s="458"/>
      <c r="CA390" s="458"/>
      <c r="CB390" s="158"/>
      <c r="CC390" s="158"/>
      <c r="CD390" s="458"/>
      <c r="CE390" s="458"/>
    </row>
    <row r="391" spans="1:83" x14ac:dyDescent="0.5">
      <c r="A391" s="262"/>
      <c r="B391" s="135"/>
      <c r="C391" s="276"/>
      <c r="D391" s="277"/>
      <c r="E391" s="278"/>
      <c r="F391" s="279"/>
      <c r="G391" s="280"/>
      <c r="H391" s="281"/>
      <c r="I391" s="836"/>
      <c r="J391" s="280"/>
      <c r="K391" s="255"/>
      <c r="L391" s="300"/>
      <c r="M391" s="135"/>
      <c r="N391" s="253"/>
      <c r="O391" s="253"/>
      <c r="P391" s="253"/>
      <c r="Q391" s="143"/>
      <c r="R391" s="144"/>
      <c r="S391" s="145"/>
      <c r="T391" s="146"/>
      <c r="U391" s="529"/>
      <c r="V391" s="555"/>
      <c r="W391" s="556"/>
      <c r="X391" s="556"/>
      <c r="Y391" s="557"/>
      <c r="Z391" s="151"/>
      <c r="AA391" s="292">
        <v>19060200</v>
      </c>
      <c r="AB391" s="293">
        <v>17000</v>
      </c>
      <c r="AC391" s="294">
        <f>AB391*7/100</f>
        <v>1190</v>
      </c>
      <c r="AD391" s="294">
        <f>AB391+AC391</f>
        <v>18190</v>
      </c>
      <c r="AE391" s="295">
        <v>43658</v>
      </c>
      <c r="AF391" s="296" t="s">
        <v>869</v>
      </c>
      <c r="AG391" s="296"/>
      <c r="AH391" s="296"/>
      <c r="AI391" s="308" t="s">
        <v>2727</v>
      </c>
      <c r="AJ391" s="158"/>
      <c r="AK391" s="159"/>
      <c r="AL391" s="160"/>
      <c r="AM391" s="160"/>
      <c r="AN391" s="161"/>
      <c r="AO391" s="162"/>
      <c r="AP391" s="458"/>
      <c r="AQ391" s="458"/>
      <c r="AR391" s="158"/>
      <c r="AS391" s="158"/>
      <c r="AT391" s="458"/>
      <c r="AU391" s="163"/>
      <c r="AV391" s="458"/>
      <c r="AW391" s="458"/>
      <c r="AX391" s="158"/>
      <c r="AY391" s="158"/>
      <c r="AZ391" s="458"/>
      <c r="BA391" s="163"/>
      <c r="BB391" s="458"/>
      <c r="BC391" s="458"/>
      <c r="BD391" s="158"/>
      <c r="BE391" s="158"/>
      <c r="BF391" s="458"/>
      <c r="BG391" s="163"/>
      <c r="BH391" s="458"/>
      <c r="BI391" s="458"/>
      <c r="BJ391" s="158"/>
      <c r="BK391" s="158"/>
      <c r="BL391" s="458"/>
      <c r="BM391" s="458"/>
      <c r="BN391" s="458"/>
      <c r="BO391" s="458"/>
      <c r="BP391" s="158"/>
      <c r="BQ391" s="158"/>
      <c r="BR391" s="458"/>
      <c r="BS391" s="458"/>
      <c r="BT391" s="458"/>
      <c r="BU391" s="458"/>
      <c r="BV391" s="158"/>
      <c r="BW391" s="158"/>
      <c r="BX391" s="458"/>
      <c r="BY391" s="458"/>
      <c r="BZ391" s="458"/>
      <c r="CA391" s="458"/>
      <c r="CB391" s="158"/>
      <c r="CC391" s="158"/>
      <c r="CD391" s="458"/>
      <c r="CE391" s="458"/>
    </row>
    <row r="392" spans="1:83" x14ac:dyDescent="0.5">
      <c r="A392" s="262"/>
      <c r="B392" s="135"/>
      <c r="C392" s="276"/>
      <c r="D392" s="277"/>
      <c r="E392" s="278"/>
      <c r="F392" s="279"/>
      <c r="G392" s="280"/>
      <c r="H392" s="281"/>
      <c r="I392" s="836"/>
      <c r="J392" s="280"/>
      <c r="K392" s="255"/>
      <c r="L392" s="300"/>
      <c r="M392" s="135"/>
      <c r="N392" s="253"/>
      <c r="O392" s="253"/>
      <c r="P392" s="253"/>
      <c r="Q392" s="143"/>
      <c r="R392" s="144"/>
      <c r="S392" s="145"/>
      <c r="T392" s="146"/>
      <c r="U392" s="529"/>
      <c r="V392" s="555"/>
      <c r="W392" s="556"/>
      <c r="X392" s="556"/>
      <c r="Y392" s="557"/>
      <c r="Z392" s="151"/>
      <c r="AA392" s="154">
        <v>19110470</v>
      </c>
      <c r="AB392" s="155">
        <v>17000</v>
      </c>
      <c r="AC392" s="253">
        <f>AB392*7/100</f>
        <v>1190</v>
      </c>
      <c r="AD392" s="253">
        <f>AB392+AC392</f>
        <v>18190</v>
      </c>
      <c r="AE392" s="157">
        <v>43813</v>
      </c>
      <c r="AF392" s="152" t="s">
        <v>869</v>
      </c>
      <c r="AG392" s="152"/>
      <c r="AH392" s="152"/>
      <c r="AI392" s="134" t="s">
        <v>3487</v>
      </c>
      <c r="AJ392" s="158"/>
      <c r="AK392" s="159"/>
      <c r="AL392" s="160"/>
      <c r="AM392" s="160"/>
      <c r="AN392" s="161"/>
      <c r="AO392" s="162"/>
      <c r="AP392" s="458"/>
      <c r="AQ392" s="458"/>
      <c r="AR392" s="158"/>
      <c r="AS392" s="158"/>
      <c r="AT392" s="458"/>
      <c r="AU392" s="163"/>
      <c r="AV392" s="458"/>
      <c r="AW392" s="458"/>
      <c r="AX392" s="158"/>
      <c r="AY392" s="158"/>
      <c r="AZ392" s="458"/>
      <c r="BA392" s="163"/>
      <c r="BB392" s="458"/>
      <c r="BC392" s="458"/>
      <c r="BD392" s="158"/>
      <c r="BE392" s="158"/>
      <c r="BF392" s="458"/>
      <c r="BG392" s="163"/>
      <c r="BH392" s="458"/>
      <c r="BI392" s="458"/>
      <c r="BJ392" s="158"/>
      <c r="BK392" s="158"/>
      <c r="BL392" s="458"/>
      <c r="BM392" s="458"/>
      <c r="BN392" s="458"/>
      <c r="BO392" s="458"/>
      <c r="BP392" s="158"/>
      <c r="BQ392" s="158"/>
      <c r="BR392" s="458"/>
      <c r="BS392" s="458"/>
      <c r="BT392" s="458"/>
      <c r="BU392" s="458"/>
      <c r="BV392" s="158"/>
      <c r="BW392" s="158"/>
      <c r="BX392" s="458"/>
      <c r="BY392" s="458"/>
      <c r="BZ392" s="458"/>
      <c r="CA392" s="458"/>
      <c r="CB392" s="158"/>
      <c r="CC392" s="158"/>
      <c r="CD392" s="458"/>
      <c r="CE392" s="458"/>
    </row>
    <row r="393" spans="1:83" x14ac:dyDescent="0.5">
      <c r="A393" s="259">
        <v>18065854</v>
      </c>
      <c r="B393" s="104">
        <v>18060545</v>
      </c>
      <c r="C393" s="242"/>
      <c r="D393" s="243"/>
      <c r="E393" s="244"/>
      <c r="F393" s="245"/>
      <c r="G393" s="246"/>
      <c r="H393" s="247"/>
      <c r="I393" s="306"/>
      <c r="J393" s="246"/>
      <c r="K393" s="547" t="s">
        <v>227</v>
      </c>
      <c r="L393" s="548" t="s">
        <v>226</v>
      </c>
      <c r="M393" s="104" t="s">
        <v>51</v>
      </c>
      <c r="N393" s="260">
        <v>73000</v>
      </c>
      <c r="O393" s="260">
        <v>5110</v>
      </c>
      <c r="P393" s="260">
        <f t="shared" si="70"/>
        <v>78110</v>
      </c>
      <c r="Q393" s="311"/>
      <c r="R393" s="113"/>
      <c r="S393" s="114"/>
      <c r="T393" s="115"/>
      <c r="U393" s="550"/>
      <c r="V393" s="551"/>
      <c r="W393" s="552"/>
      <c r="X393" s="552"/>
      <c r="Y393" s="553"/>
      <c r="Z393" s="120"/>
      <c r="AA393" s="229">
        <v>18070258</v>
      </c>
      <c r="AB393" s="230">
        <v>18250</v>
      </c>
      <c r="AC393" s="220">
        <f t="shared" ref="AC393:AC416" si="73">AB393*7/100</f>
        <v>1277.5</v>
      </c>
      <c r="AD393" s="220">
        <f t="shared" ref="AD393:AD416" si="74">AB393+AC393</f>
        <v>19527.5</v>
      </c>
      <c r="AE393" s="221">
        <v>43320</v>
      </c>
      <c r="AF393" s="121" t="s">
        <v>869</v>
      </c>
      <c r="AG393" s="121"/>
      <c r="AH393" s="121"/>
      <c r="AI393" s="222" t="s">
        <v>2211</v>
      </c>
      <c r="AJ393" s="128">
        <v>1</v>
      </c>
      <c r="AK393" s="129" t="s">
        <v>672</v>
      </c>
      <c r="AL393" s="130"/>
      <c r="AM393" s="130"/>
      <c r="AN393" s="131">
        <v>1</v>
      </c>
      <c r="AO393" s="132" t="s">
        <v>628</v>
      </c>
      <c r="AP393" s="361"/>
      <c r="AQ393" s="361"/>
      <c r="AR393" s="128"/>
      <c r="AS393" s="128"/>
      <c r="AT393" s="361"/>
      <c r="AU393" s="133"/>
      <c r="AV393" s="361"/>
      <c r="AW393" s="361"/>
      <c r="AX393" s="128"/>
      <c r="AY393" s="128"/>
      <c r="AZ393" s="361"/>
      <c r="BA393" s="133"/>
      <c r="BB393" s="361"/>
      <c r="BC393" s="361"/>
      <c r="BD393" s="128"/>
      <c r="BE393" s="128"/>
      <c r="BF393" s="361"/>
      <c r="BG393" s="133"/>
      <c r="BH393" s="361"/>
      <c r="BI393" s="361"/>
      <c r="BJ393" s="128"/>
      <c r="BK393" s="128"/>
      <c r="BL393" s="361"/>
      <c r="BM393" s="361"/>
      <c r="BN393" s="361"/>
      <c r="BO393" s="361"/>
      <c r="BP393" s="128"/>
      <c r="BQ393" s="128"/>
      <c r="BR393" s="361"/>
      <c r="BS393" s="361"/>
      <c r="BT393" s="361"/>
      <c r="BU393" s="361"/>
      <c r="BV393" s="128"/>
      <c r="BW393" s="128"/>
      <c r="BX393" s="361"/>
      <c r="BY393" s="361"/>
      <c r="BZ393" s="361"/>
      <c r="CA393" s="361"/>
      <c r="CB393" s="128"/>
      <c r="CC393" s="128"/>
      <c r="CD393" s="361"/>
      <c r="CE393" s="361"/>
    </row>
    <row r="394" spans="1:83" x14ac:dyDescent="0.5">
      <c r="A394" s="262"/>
      <c r="B394" s="135"/>
      <c r="C394" s="276"/>
      <c r="D394" s="277"/>
      <c r="E394" s="278"/>
      <c r="F394" s="279"/>
      <c r="G394" s="280"/>
      <c r="H394" s="281"/>
      <c r="I394" s="836"/>
      <c r="J394" s="280"/>
      <c r="K394" s="255"/>
      <c r="L394" s="300"/>
      <c r="M394" s="135"/>
      <c r="N394" s="253"/>
      <c r="O394" s="253"/>
      <c r="P394" s="253"/>
      <c r="Q394" s="143"/>
      <c r="R394" s="144"/>
      <c r="S394" s="145"/>
      <c r="T394" s="146"/>
      <c r="U394" s="529"/>
      <c r="V394" s="555"/>
      <c r="W394" s="556"/>
      <c r="X394" s="556"/>
      <c r="Y394" s="557"/>
      <c r="Z394" s="151"/>
      <c r="AA394" s="292">
        <v>18120494</v>
      </c>
      <c r="AB394" s="293">
        <v>18250</v>
      </c>
      <c r="AC394" s="307">
        <f t="shared" si="73"/>
        <v>1277.5</v>
      </c>
      <c r="AD394" s="307">
        <f t="shared" si="74"/>
        <v>19527.5</v>
      </c>
      <c r="AE394" s="295">
        <v>43471</v>
      </c>
      <c r="AF394" s="296" t="s">
        <v>869</v>
      </c>
      <c r="AG394" s="296"/>
      <c r="AH394" s="296"/>
      <c r="AI394" s="308" t="s">
        <v>2364</v>
      </c>
      <c r="AJ394" s="158"/>
      <c r="AK394" s="159"/>
      <c r="AL394" s="160"/>
      <c r="AM394" s="160"/>
      <c r="AN394" s="161"/>
      <c r="AO394" s="162"/>
      <c r="AP394" s="458"/>
      <c r="AQ394" s="458"/>
      <c r="AR394" s="158"/>
      <c r="AS394" s="158"/>
      <c r="AT394" s="458"/>
      <c r="AU394" s="163"/>
      <c r="AV394" s="458"/>
      <c r="AW394" s="458"/>
      <c r="AX394" s="158"/>
      <c r="AY394" s="158"/>
      <c r="AZ394" s="458"/>
      <c r="BA394" s="163"/>
      <c r="BB394" s="458"/>
      <c r="BC394" s="458"/>
      <c r="BD394" s="158"/>
      <c r="BE394" s="158"/>
      <c r="BF394" s="458"/>
      <c r="BG394" s="163"/>
      <c r="BH394" s="458"/>
      <c r="BI394" s="458"/>
      <c r="BJ394" s="158"/>
      <c r="BK394" s="158"/>
      <c r="BL394" s="458"/>
      <c r="BM394" s="458"/>
      <c r="BN394" s="458"/>
      <c r="BO394" s="458"/>
      <c r="BP394" s="158"/>
      <c r="BQ394" s="158"/>
      <c r="BR394" s="458"/>
      <c r="BS394" s="458"/>
      <c r="BT394" s="458"/>
      <c r="BU394" s="458"/>
      <c r="BV394" s="158"/>
      <c r="BW394" s="158"/>
      <c r="BX394" s="458"/>
      <c r="BY394" s="458"/>
      <c r="BZ394" s="458"/>
      <c r="CA394" s="458"/>
      <c r="CB394" s="158"/>
      <c r="CC394" s="158"/>
      <c r="CD394" s="458"/>
      <c r="CE394" s="458"/>
    </row>
    <row r="395" spans="1:83" x14ac:dyDescent="0.5">
      <c r="A395" s="262"/>
      <c r="B395" s="135"/>
      <c r="C395" s="276"/>
      <c r="D395" s="277"/>
      <c r="E395" s="278"/>
      <c r="F395" s="279"/>
      <c r="G395" s="280"/>
      <c r="H395" s="281"/>
      <c r="I395" s="836"/>
      <c r="J395" s="280"/>
      <c r="K395" s="255"/>
      <c r="L395" s="300"/>
      <c r="M395" s="135"/>
      <c r="N395" s="253"/>
      <c r="O395" s="253"/>
      <c r="P395" s="253"/>
      <c r="Q395" s="143"/>
      <c r="R395" s="144"/>
      <c r="S395" s="145"/>
      <c r="T395" s="146"/>
      <c r="U395" s="529"/>
      <c r="V395" s="555"/>
      <c r="W395" s="556"/>
      <c r="X395" s="556"/>
      <c r="Y395" s="557"/>
      <c r="Z395" s="151"/>
      <c r="AA395" s="292">
        <v>19060202</v>
      </c>
      <c r="AB395" s="293">
        <v>18250</v>
      </c>
      <c r="AC395" s="307">
        <f>AB395*7/100</f>
        <v>1277.5</v>
      </c>
      <c r="AD395" s="307">
        <f>AB395+AC395</f>
        <v>19527.5</v>
      </c>
      <c r="AE395" s="295">
        <v>43658</v>
      </c>
      <c r="AF395" s="296" t="s">
        <v>869</v>
      </c>
      <c r="AG395" s="296"/>
      <c r="AH395" s="296"/>
      <c r="AI395" s="308" t="s">
        <v>2725</v>
      </c>
      <c r="AJ395" s="158"/>
      <c r="AK395" s="159"/>
      <c r="AL395" s="160"/>
      <c r="AM395" s="160"/>
      <c r="AN395" s="161"/>
      <c r="AO395" s="162"/>
      <c r="AP395" s="458"/>
      <c r="AQ395" s="458"/>
      <c r="AR395" s="158"/>
      <c r="AS395" s="158"/>
      <c r="AT395" s="458"/>
      <c r="AU395" s="163"/>
      <c r="AV395" s="458"/>
      <c r="AW395" s="458"/>
      <c r="AX395" s="158"/>
      <c r="AY395" s="158"/>
      <c r="AZ395" s="458"/>
      <c r="BA395" s="163"/>
      <c r="BB395" s="458"/>
      <c r="BC395" s="458"/>
      <c r="BD395" s="158"/>
      <c r="BE395" s="158"/>
      <c r="BF395" s="458"/>
      <c r="BG395" s="163"/>
      <c r="BH395" s="458"/>
      <c r="BI395" s="458"/>
      <c r="BJ395" s="158"/>
      <c r="BK395" s="158"/>
      <c r="BL395" s="458"/>
      <c r="BM395" s="458"/>
      <c r="BN395" s="458"/>
      <c r="BO395" s="458"/>
      <c r="BP395" s="158"/>
      <c r="BQ395" s="158"/>
      <c r="BR395" s="458"/>
      <c r="BS395" s="458"/>
      <c r="BT395" s="458"/>
      <c r="BU395" s="458"/>
      <c r="BV395" s="158"/>
      <c r="BW395" s="158"/>
      <c r="BX395" s="458"/>
      <c r="BY395" s="458"/>
      <c r="BZ395" s="458"/>
      <c r="CA395" s="458"/>
      <c r="CB395" s="158"/>
      <c r="CC395" s="158"/>
      <c r="CD395" s="458"/>
      <c r="CE395" s="458"/>
    </row>
    <row r="396" spans="1:83" x14ac:dyDescent="0.5">
      <c r="A396" s="262"/>
      <c r="B396" s="135"/>
      <c r="C396" s="276"/>
      <c r="D396" s="277"/>
      <c r="E396" s="278"/>
      <c r="F396" s="279"/>
      <c r="G396" s="280"/>
      <c r="H396" s="281"/>
      <c r="I396" s="836"/>
      <c r="J396" s="280"/>
      <c r="K396" s="255"/>
      <c r="L396" s="300"/>
      <c r="M396" s="135"/>
      <c r="N396" s="253"/>
      <c r="O396" s="253"/>
      <c r="P396" s="253"/>
      <c r="Q396" s="143"/>
      <c r="R396" s="144"/>
      <c r="S396" s="145"/>
      <c r="T396" s="146"/>
      <c r="U396" s="529"/>
      <c r="V396" s="555"/>
      <c r="W396" s="556"/>
      <c r="X396" s="556"/>
      <c r="Y396" s="557"/>
      <c r="Z396" s="151"/>
      <c r="AA396" s="154">
        <v>19110453</v>
      </c>
      <c r="AB396" s="155">
        <v>18250</v>
      </c>
      <c r="AC396" s="156">
        <f>AB396*7/100</f>
        <v>1277.5</v>
      </c>
      <c r="AD396" s="156">
        <f>AB396+AC396</f>
        <v>19527.5</v>
      </c>
      <c r="AE396" s="157">
        <v>43807</v>
      </c>
      <c r="AF396" s="152" t="s">
        <v>869</v>
      </c>
      <c r="AG396" s="152"/>
      <c r="AH396" s="152"/>
      <c r="AI396" s="134" t="s">
        <v>3810</v>
      </c>
      <c r="AJ396" s="158"/>
      <c r="AK396" s="159"/>
      <c r="AL396" s="160"/>
      <c r="AM396" s="160"/>
      <c r="AN396" s="161"/>
      <c r="AO396" s="162"/>
      <c r="AP396" s="458"/>
      <c r="AQ396" s="458"/>
      <c r="AR396" s="158"/>
      <c r="AS396" s="158"/>
      <c r="AT396" s="458"/>
      <c r="AU396" s="163"/>
      <c r="AV396" s="458"/>
      <c r="AW396" s="458"/>
      <c r="AX396" s="158"/>
      <c r="AY396" s="158"/>
      <c r="AZ396" s="458"/>
      <c r="BA396" s="163"/>
      <c r="BB396" s="458"/>
      <c r="BC396" s="458"/>
      <c r="BD396" s="158"/>
      <c r="BE396" s="158"/>
      <c r="BF396" s="458"/>
      <c r="BG396" s="163"/>
      <c r="BH396" s="458"/>
      <c r="BI396" s="458"/>
      <c r="BJ396" s="158"/>
      <c r="BK396" s="158"/>
      <c r="BL396" s="458"/>
      <c r="BM396" s="458"/>
      <c r="BN396" s="458"/>
      <c r="BO396" s="458"/>
      <c r="BP396" s="158"/>
      <c r="BQ396" s="158"/>
      <c r="BR396" s="458"/>
      <c r="BS396" s="458"/>
      <c r="BT396" s="458"/>
      <c r="BU396" s="458"/>
      <c r="BV396" s="158"/>
      <c r="BW396" s="158"/>
      <c r="BX396" s="458"/>
      <c r="BY396" s="458"/>
      <c r="BZ396" s="458"/>
      <c r="CA396" s="458"/>
      <c r="CB396" s="158"/>
      <c r="CC396" s="158"/>
      <c r="CD396" s="458"/>
      <c r="CE396" s="458"/>
    </row>
    <row r="397" spans="1:83" x14ac:dyDescent="0.5">
      <c r="A397" s="103">
        <v>18065853</v>
      </c>
      <c r="B397" s="104">
        <v>18060544</v>
      </c>
      <c r="C397" s="242"/>
      <c r="D397" s="243"/>
      <c r="E397" s="244"/>
      <c r="F397" s="245"/>
      <c r="G397" s="246"/>
      <c r="H397" s="247"/>
      <c r="I397" s="306"/>
      <c r="J397" s="246"/>
      <c r="K397" s="547" t="s">
        <v>228</v>
      </c>
      <c r="L397" s="548" t="s">
        <v>229</v>
      </c>
      <c r="M397" s="104" t="s">
        <v>51</v>
      </c>
      <c r="N397" s="260">
        <v>67000</v>
      </c>
      <c r="O397" s="260">
        <v>4690</v>
      </c>
      <c r="P397" s="260">
        <f t="shared" si="70"/>
        <v>71690</v>
      </c>
      <c r="Q397" s="311"/>
      <c r="R397" s="113"/>
      <c r="S397" s="114"/>
      <c r="T397" s="115"/>
      <c r="U397" s="550"/>
      <c r="V397" s="551"/>
      <c r="W397" s="552"/>
      <c r="X397" s="552"/>
      <c r="Y397" s="553"/>
      <c r="Z397" s="120"/>
      <c r="AA397" s="229">
        <v>18110468</v>
      </c>
      <c r="AB397" s="230">
        <v>16750</v>
      </c>
      <c r="AC397" s="233">
        <f t="shared" si="73"/>
        <v>1172.5</v>
      </c>
      <c r="AD397" s="233">
        <f t="shared" si="74"/>
        <v>17922.5</v>
      </c>
      <c r="AE397" s="221">
        <v>43455</v>
      </c>
      <c r="AF397" s="121" t="s">
        <v>869</v>
      </c>
      <c r="AG397" s="121"/>
      <c r="AH397" s="121"/>
      <c r="AI397" s="222" t="s">
        <v>2212</v>
      </c>
      <c r="AJ397" s="128">
        <v>1</v>
      </c>
      <c r="AK397" s="129" t="s">
        <v>673</v>
      </c>
      <c r="AL397" s="130"/>
      <c r="AM397" s="130"/>
      <c r="AN397" s="131">
        <v>1</v>
      </c>
      <c r="AO397" s="132" t="s">
        <v>628</v>
      </c>
      <c r="AP397" s="361"/>
      <c r="AQ397" s="361"/>
      <c r="AR397" s="128"/>
      <c r="AS397" s="128"/>
      <c r="AT397" s="361"/>
      <c r="AU397" s="133"/>
      <c r="AV397" s="361"/>
      <c r="AW397" s="361"/>
      <c r="AX397" s="128"/>
      <c r="AY397" s="128"/>
      <c r="AZ397" s="361"/>
      <c r="BA397" s="133"/>
      <c r="BB397" s="361"/>
      <c r="BC397" s="361"/>
      <c r="BD397" s="128"/>
      <c r="BE397" s="128"/>
      <c r="BF397" s="361"/>
      <c r="BG397" s="133"/>
      <c r="BH397" s="361"/>
      <c r="BI397" s="361"/>
      <c r="BJ397" s="128"/>
      <c r="BK397" s="128"/>
      <c r="BL397" s="361"/>
      <c r="BM397" s="361"/>
      <c r="BN397" s="361"/>
      <c r="BO397" s="361"/>
      <c r="BP397" s="128"/>
      <c r="BQ397" s="128"/>
      <c r="BR397" s="361"/>
      <c r="BS397" s="361"/>
      <c r="BT397" s="361"/>
      <c r="BU397" s="361"/>
      <c r="BV397" s="128"/>
      <c r="BW397" s="128"/>
      <c r="BX397" s="361"/>
      <c r="BY397" s="361"/>
      <c r="BZ397" s="361"/>
      <c r="CA397" s="361"/>
      <c r="CB397" s="128"/>
      <c r="CC397" s="128"/>
      <c r="CD397" s="361"/>
      <c r="CE397" s="361"/>
    </row>
    <row r="398" spans="1:83" x14ac:dyDescent="0.5">
      <c r="A398" s="134"/>
      <c r="B398" s="135"/>
      <c r="C398" s="276"/>
      <c r="D398" s="277"/>
      <c r="E398" s="278"/>
      <c r="F398" s="279"/>
      <c r="G398" s="280"/>
      <c r="H398" s="281"/>
      <c r="I398" s="836"/>
      <c r="J398" s="280"/>
      <c r="K398" s="255"/>
      <c r="L398" s="300"/>
      <c r="M398" s="135"/>
      <c r="N398" s="253"/>
      <c r="O398" s="253"/>
      <c r="P398" s="253"/>
      <c r="Q398" s="143"/>
      <c r="R398" s="144"/>
      <c r="S398" s="145"/>
      <c r="T398" s="146"/>
      <c r="U398" s="529"/>
      <c r="V398" s="555"/>
      <c r="W398" s="556"/>
      <c r="X398" s="556"/>
      <c r="Y398" s="557"/>
      <c r="Z398" s="151"/>
      <c r="AA398" s="292">
        <v>18070259</v>
      </c>
      <c r="AB398" s="293">
        <v>16750</v>
      </c>
      <c r="AC398" s="294">
        <f t="shared" si="73"/>
        <v>1172.5</v>
      </c>
      <c r="AD398" s="294">
        <f t="shared" si="74"/>
        <v>17922.5</v>
      </c>
      <c r="AE398" s="295">
        <v>43320</v>
      </c>
      <c r="AF398" s="296"/>
      <c r="AG398" s="296"/>
      <c r="AH398" s="296"/>
      <c r="AI398" s="308" t="s">
        <v>1025</v>
      </c>
      <c r="AJ398" s="158"/>
      <c r="AK398" s="159"/>
      <c r="AL398" s="160"/>
      <c r="AM398" s="160"/>
      <c r="AN398" s="161"/>
      <c r="AO398" s="162"/>
      <c r="AP398" s="458"/>
      <c r="AQ398" s="458"/>
      <c r="AR398" s="158"/>
      <c r="AS398" s="158"/>
      <c r="AT398" s="458"/>
      <c r="AU398" s="163"/>
      <c r="AV398" s="458"/>
      <c r="AW398" s="458"/>
      <c r="AX398" s="158"/>
      <c r="AY398" s="158"/>
      <c r="AZ398" s="458"/>
      <c r="BA398" s="163"/>
      <c r="BB398" s="458"/>
      <c r="BC398" s="458"/>
      <c r="BD398" s="158"/>
      <c r="BE398" s="158"/>
      <c r="BF398" s="458"/>
      <c r="BG398" s="163"/>
      <c r="BH398" s="458"/>
      <c r="BI398" s="458"/>
      <c r="BJ398" s="158"/>
      <c r="BK398" s="158"/>
      <c r="BL398" s="458"/>
      <c r="BM398" s="458"/>
      <c r="BN398" s="458"/>
      <c r="BO398" s="458"/>
      <c r="BP398" s="158"/>
      <c r="BQ398" s="158"/>
      <c r="BR398" s="458"/>
      <c r="BS398" s="458"/>
      <c r="BT398" s="458"/>
      <c r="BU398" s="458"/>
      <c r="BV398" s="158"/>
      <c r="BW398" s="158"/>
      <c r="BX398" s="458"/>
      <c r="BY398" s="458"/>
      <c r="BZ398" s="458"/>
      <c r="CA398" s="458"/>
      <c r="CB398" s="158"/>
      <c r="CC398" s="158"/>
      <c r="CD398" s="458"/>
      <c r="CE398" s="458"/>
    </row>
    <row r="399" spans="1:83" x14ac:dyDescent="0.5">
      <c r="A399" s="134"/>
      <c r="B399" s="135"/>
      <c r="C399" s="276"/>
      <c r="D399" s="277"/>
      <c r="E399" s="278"/>
      <c r="F399" s="279"/>
      <c r="G399" s="280"/>
      <c r="H399" s="281"/>
      <c r="I399" s="836"/>
      <c r="J399" s="280"/>
      <c r="K399" s="255"/>
      <c r="L399" s="300"/>
      <c r="M399" s="135"/>
      <c r="N399" s="253"/>
      <c r="O399" s="253"/>
      <c r="P399" s="253"/>
      <c r="Q399" s="143"/>
      <c r="R399" s="144"/>
      <c r="S399" s="145"/>
      <c r="T399" s="146"/>
      <c r="U399" s="529"/>
      <c r="V399" s="555"/>
      <c r="W399" s="556"/>
      <c r="X399" s="556"/>
      <c r="Y399" s="557"/>
      <c r="Z399" s="151"/>
      <c r="AA399" s="292">
        <v>19060201</v>
      </c>
      <c r="AB399" s="293">
        <v>16750</v>
      </c>
      <c r="AC399" s="294">
        <f t="shared" si="73"/>
        <v>1172.5</v>
      </c>
      <c r="AD399" s="294">
        <f t="shared" si="74"/>
        <v>17922.5</v>
      </c>
      <c r="AE399" s="295">
        <v>43658</v>
      </c>
      <c r="AF399" s="296" t="s">
        <v>869</v>
      </c>
      <c r="AG399" s="296"/>
      <c r="AH399" s="296"/>
      <c r="AI399" s="308" t="s">
        <v>2856</v>
      </c>
      <c r="AJ399" s="158"/>
      <c r="AK399" s="159"/>
      <c r="AL399" s="160"/>
      <c r="AM399" s="160"/>
      <c r="AN399" s="161"/>
      <c r="AO399" s="162"/>
      <c r="AP399" s="458"/>
      <c r="AQ399" s="458"/>
      <c r="AR399" s="158"/>
      <c r="AS399" s="158"/>
      <c r="AT399" s="458"/>
      <c r="AU399" s="163"/>
      <c r="AV399" s="458"/>
      <c r="AW399" s="458"/>
      <c r="AX399" s="158"/>
      <c r="AY399" s="158"/>
      <c r="AZ399" s="458"/>
      <c r="BA399" s="163"/>
      <c r="BB399" s="458"/>
      <c r="BC399" s="458"/>
      <c r="BD399" s="158"/>
      <c r="BE399" s="158"/>
      <c r="BF399" s="458"/>
      <c r="BG399" s="163"/>
      <c r="BH399" s="458"/>
      <c r="BI399" s="458"/>
      <c r="BJ399" s="158"/>
      <c r="BK399" s="158"/>
      <c r="BL399" s="458"/>
      <c r="BM399" s="458"/>
      <c r="BN399" s="458"/>
      <c r="BO399" s="458"/>
      <c r="BP399" s="158"/>
      <c r="BQ399" s="158"/>
      <c r="BR399" s="458"/>
      <c r="BS399" s="458"/>
      <c r="BT399" s="458"/>
      <c r="BU399" s="458"/>
      <c r="BV399" s="158"/>
      <c r="BW399" s="158"/>
      <c r="BX399" s="458"/>
      <c r="BY399" s="458"/>
      <c r="BZ399" s="458"/>
      <c r="CA399" s="458"/>
      <c r="CB399" s="158"/>
      <c r="CC399" s="158"/>
      <c r="CD399" s="458"/>
      <c r="CE399" s="458"/>
    </row>
    <row r="400" spans="1:83" x14ac:dyDescent="0.5">
      <c r="A400" s="134"/>
      <c r="B400" s="135"/>
      <c r="C400" s="276"/>
      <c r="D400" s="277"/>
      <c r="E400" s="278"/>
      <c r="F400" s="279"/>
      <c r="G400" s="280"/>
      <c r="H400" s="281"/>
      <c r="I400" s="836"/>
      <c r="J400" s="280"/>
      <c r="K400" s="255"/>
      <c r="L400" s="300"/>
      <c r="M400" s="135"/>
      <c r="N400" s="253"/>
      <c r="O400" s="253"/>
      <c r="P400" s="253"/>
      <c r="Q400" s="143"/>
      <c r="R400" s="144"/>
      <c r="S400" s="145"/>
      <c r="T400" s="146"/>
      <c r="U400" s="529"/>
      <c r="V400" s="555"/>
      <c r="W400" s="556"/>
      <c r="X400" s="556"/>
      <c r="Y400" s="557"/>
      <c r="Z400" s="151"/>
      <c r="AA400" s="154">
        <v>19110469</v>
      </c>
      <c r="AB400" s="155">
        <v>16750</v>
      </c>
      <c r="AC400" s="253">
        <f t="shared" si="73"/>
        <v>1172.5</v>
      </c>
      <c r="AD400" s="253">
        <f t="shared" si="74"/>
        <v>17922.5</v>
      </c>
      <c r="AE400" s="157">
        <v>43813</v>
      </c>
      <c r="AF400" s="152" t="s">
        <v>869</v>
      </c>
      <c r="AG400" s="152"/>
      <c r="AH400" s="152"/>
      <c r="AI400" s="134" t="s">
        <v>3618</v>
      </c>
      <c r="AJ400" s="158"/>
      <c r="AK400" s="159"/>
      <c r="AL400" s="160"/>
      <c r="AM400" s="160"/>
      <c r="AN400" s="161"/>
      <c r="AO400" s="162"/>
      <c r="AP400" s="458"/>
      <c r="AQ400" s="458"/>
      <c r="AR400" s="158"/>
      <c r="AS400" s="158"/>
      <c r="AT400" s="458"/>
      <c r="AU400" s="163"/>
      <c r="AV400" s="458"/>
      <c r="AW400" s="458"/>
      <c r="AX400" s="158"/>
      <c r="AY400" s="158"/>
      <c r="AZ400" s="458"/>
      <c r="BA400" s="163"/>
      <c r="BB400" s="458"/>
      <c r="BC400" s="458"/>
      <c r="BD400" s="158"/>
      <c r="BE400" s="158"/>
      <c r="BF400" s="458"/>
      <c r="BG400" s="163"/>
      <c r="BH400" s="458"/>
      <c r="BI400" s="458"/>
      <c r="BJ400" s="158"/>
      <c r="BK400" s="158"/>
      <c r="BL400" s="458"/>
      <c r="BM400" s="458"/>
      <c r="BN400" s="458"/>
      <c r="BO400" s="458"/>
      <c r="BP400" s="158"/>
      <c r="BQ400" s="158"/>
      <c r="BR400" s="458"/>
      <c r="BS400" s="458"/>
      <c r="BT400" s="458"/>
      <c r="BU400" s="458"/>
      <c r="BV400" s="158"/>
      <c r="BW400" s="158"/>
      <c r="BX400" s="458"/>
      <c r="BY400" s="458"/>
      <c r="BZ400" s="458"/>
      <c r="CA400" s="458"/>
      <c r="CB400" s="158"/>
      <c r="CC400" s="158"/>
      <c r="CD400" s="458"/>
      <c r="CE400" s="458"/>
    </row>
    <row r="401" spans="1:84" x14ac:dyDescent="0.5">
      <c r="A401" s="259">
        <v>18065852</v>
      </c>
      <c r="B401" s="104">
        <v>18060543</v>
      </c>
      <c r="C401" s="242"/>
      <c r="D401" s="243"/>
      <c r="E401" s="244"/>
      <c r="F401" s="245"/>
      <c r="G401" s="246"/>
      <c r="H401" s="247"/>
      <c r="I401" s="306"/>
      <c r="J401" s="246"/>
      <c r="K401" s="547" t="s">
        <v>230</v>
      </c>
      <c r="L401" s="548" t="s">
        <v>231</v>
      </c>
      <c r="M401" s="104" t="s">
        <v>51</v>
      </c>
      <c r="N401" s="260">
        <v>62000</v>
      </c>
      <c r="O401" s="260">
        <v>4340</v>
      </c>
      <c r="P401" s="260">
        <f t="shared" si="70"/>
        <v>66340</v>
      </c>
      <c r="Q401" s="311"/>
      <c r="R401" s="113"/>
      <c r="S401" s="114"/>
      <c r="T401" s="115"/>
      <c r="U401" s="550"/>
      <c r="V401" s="551"/>
      <c r="W401" s="552"/>
      <c r="X401" s="552"/>
      <c r="Y401" s="553"/>
      <c r="Z401" s="120"/>
      <c r="AA401" s="229">
        <v>18070260</v>
      </c>
      <c r="AB401" s="230">
        <v>15500</v>
      </c>
      <c r="AC401" s="220">
        <f t="shared" si="73"/>
        <v>1085</v>
      </c>
      <c r="AD401" s="220">
        <f t="shared" si="74"/>
        <v>16585</v>
      </c>
      <c r="AE401" s="221">
        <v>43320</v>
      </c>
      <c r="AF401" s="121" t="s">
        <v>869</v>
      </c>
      <c r="AG401" s="121"/>
      <c r="AH401" s="121"/>
      <c r="AI401" s="222" t="s">
        <v>2213</v>
      </c>
      <c r="AJ401" s="128">
        <v>1</v>
      </c>
      <c r="AK401" s="129" t="s">
        <v>674</v>
      </c>
      <c r="AL401" s="130"/>
      <c r="AM401" s="130"/>
      <c r="AN401" s="131">
        <v>1</v>
      </c>
      <c r="AO401" s="132" t="s">
        <v>628</v>
      </c>
      <c r="AP401" s="361"/>
      <c r="AQ401" s="361"/>
      <c r="AR401" s="128"/>
      <c r="AS401" s="128"/>
      <c r="AT401" s="361"/>
      <c r="AU401" s="133"/>
      <c r="AV401" s="361"/>
      <c r="AW401" s="361"/>
      <c r="AX401" s="128"/>
      <c r="AY401" s="128"/>
      <c r="AZ401" s="361"/>
      <c r="BA401" s="133"/>
      <c r="BB401" s="361"/>
      <c r="BC401" s="361"/>
      <c r="BD401" s="128"/>
      <c r="BE401" s="128"/>
      <c r="BF401" s="361"/>
      <c r="BG401" s="133"/>
      <c r="BH401" s="361"/>
      <c r="BI401" s="361"/>
      <c r="BJ401" s="128"/>
      <c r="BK401" s="128"/>
      <c r="BL401" s="361"/>
      <c r="BM401" s="361"/>
      <c r="BN401" s="361"/>
      <c r="BO401" s="361"/>
      <c r="BP401" s="128"/>
      <c r="BQ401" s="128"/>
      <c r="BR401" s="361"/>
      <c r="BS401" s="361"/>
      <c r="BT401" s="361"/>
      <c r="BU401" s="361"/>
      <c r="BV401" s="128"/>
      <c r="BW401" s="128"/>
      <c r="BX401" s="361"/>
      <c r="BY401" s="361"/>
      <c r="BZ401" s="361"/>
      <c r="CA401" s="361"/>
      <c r="CB401" s="128"/>
      <c r="CC401" s="128"/>
      <c r="CD401" s="361"/>
      <c r="CE401" s="361"/>
    </row>
    <row r="402" spans="1:84" x14ac:dyDescent="0.5">
      <c r="A402" s="262"/>
      <c r="B402" s="135"/>
      <c r="C402" s="276"/>
      <c r="D402" s="277"/>
      <c r="E402" s="278"/>
      <c r="F402" s="279"/>
      <c r="G402" s="280"/>
      <c r="H402" s="281"/>
      <c r="I402" s="836"/>
      <c r="J402" s="280"/>
      <c r="K402" s="255"/>
      <c r="L402" s="300"/>
      <c r="M402" s="135"/>
      <c r="N402" s="253"/>
      <c r="O402" s="253"/>
      <c r="P402" s="253"/>
      <c r="Q402" s="143"/>
      <c r="R402" s="144"/>
      <c r="S402" s="145"/>
      <c r="T402" s="146"/>
      <c r="U402" s="529"/>
      <c r="V402" s="555"/>
      <c r="W402" s="556"/>
      <c r="X402" s="556"/>
      <c r="Y402" s="557"/>
      <c r="Z402" s="151"/>
      <c r="AA402" s="292">
        <v>18120503</v>
      </c>
      <c r="AB402" s="293">
        <v>15500</v>
      </c>
      <c r="AC402" s="307">
        <f t="shared" si="73"/>
        <v>1085</v>
      </c>
      <c r="AD402" s="307">
        <f t="shared" si="74"/>
        <v>16585</v>
      </c>
      <c r="AE402" s="295">
        <v>43477</v>
      </c>
      <c r="AF402" s="296" t="s">
        <v>869</v>
      </c>
      <c r="AG402" s="296"/>
      <c r="AH402" s="296"/>
      <c r="AI402" s="308" t="s">
        <v>2214</v>
      </c>
      <c r="AJ402" s="158"/>
      <c r="AK402" s="159"/>
      <c r="AL402" s="160"/>
      <c r="AM402" s="160"/>
      <c r="AN402" s="161"/>
      <c r="AO402" s="162"/>
      <c r="AP402" s="458"/>
      <c r="AQ402" s="458"/>
      <c r="AR402" s="158"/>
      <c r="AS402" s="158"/>
      <c r="AT402" s="458"/>
      <c r="AU402" s="163"/>
      <c r="AV402" s="458"/>
      <c r="AW402" s="458"/>
      <c r="AX402" s="158"/>
      <c r="AY402" s="158"/>
      <c r="AZ402" s="458"/>
      <c r="BA402" s="163"/>
      <c r="BB402" s="458"/>
      <c r="BC402" s="458"/>
      <c r="BD402" s="158"/>
      <c r="BE402" s="158"/>
      <c r="BF402" s="458"/>
      <c r="BG402" s="163"/>
      <c r="BH402" s="458"/>
      <c r="BI402" s="458"/>
      <c r="BJ402" s="158"/>
      <c r="BK402" s="158"/>
      <c r="BL402" s="458"/>
      <c r="BM402" s="458"/>
      <c r="BN402" s="458"/>
      <c r="BO402" s="458"/>
      <c r="BP402" s="158"/>
      <c r="BQ402" s="158"/>
      <c r="BR402" s="458"/>
      <c r="BS402" s="458"/>
      <c r="BT402" s="458"/>
      <c r="BU402" s="458"/>
      <c r="BV402" s="158"/>
      <c r="BW402" s="158"/>
      <c r="BX402" s="458"/>
      <c r="BY402" s="458"/>
      <c r="BZ402" s="458"/>
      <c r="CA402" s="458"/>
      <c r="CB402" s="158"/>
      <c r="CC402" s="158"/>
      <c r="CD402" s="458"/>
      <c r="CE402" s="458"/>
    </row>
    <row r="403" spans="1:84" x14ac:dyDescent="0.5">
      <c r="A403" s="262"/>
      <c r="B403" s="135"/>
      <c r="C403" s="276"/>
      <c r="D403" s="277"/>
      <c r="E403" s="278"/>
      <c r="F403" s="279"/>
      <c r="G403" s="280"/>
      <c r="H403" s="281"/>
      <c r="I403" s="836"/>
      <c r="J403" s="280"/>
      <c r="K403" s="255"/>
      <c r="L403" s="300"/>
      <c r="M403" s="135"/>
      <c r="N403" s="253"/>
      <c r="O403" s="253"/>
      <c r="P403" s="253"/>
      <c r="Q403" s="143"/>
      <c r="R403" s="144"/>
      <c r="S403" s="145"/>
      <c r="T403" s="146"/>
      <c r="U403" s="529"/>
      <c r="V403" s="555"/>
      <c r="W403" s="556"/>
      <c r="X403" s="556"/>
      <c r="Y403" s="557"/>
      <c r="Z403" s="151"/>
      <c r="AA403" s="292">
        <v>19060203</v>
      </c>
      <c r="AB403" s="293">
        <v>15500</v>
      </c>
      <c r="AC403" s="307">
        <f t="shared" si="73"/>
        <v>1085</v>
      </c>
      <c r="AD403" s="307">
        <f t="shared" si="74"/>
        <v>16585</v>
      </c>
      <c r="AE403" s="295">
        <v>43658</v>
      </c>
      <c r="AF403" s="296" t="s">
        <v>869</v>
      </c>
      <c r="AG403" s="296"/>
      <c r="AH403" s="296"/>
      <c r="AI403" s="308" t="s">
        <v>2724</v>
      </c>
      <c r="AJ403" s="158"/>
      <c r="AK403" s="159"/>
      <c r="AL403" s="160"/>
      <c r="AM403" s="160"/>
      <c r="AN403" s="161"/>
      <c r="AO403" s="162"/>
      <c r="AP403" s="458"/>
      <c r="AQ403" s="458"/>
      <c r="AR403" s="158"/>
      <c r="AS403" s="158"/>
      <c r="AT403" s="458"/>
      <c r="AU403" s="163"/>
      <c r="AV403" s="458"/>
      <c r="AW403" s="458"/>
      <c r="AX403" s="158"/>
      <c r="AY403" s="158"/>
      <c r="AZ403" s="458"/>
      <c r="BA403" s="163"/>
      <c r="BB403" s="458"/>
      <c r="BC403" s="458"/>
      <c r="BD403" s="158"/>
      <c r="BE403" s="158"/>
      <c r="BF403" s="458"/>
      <c r="BG403" s="163"/>
      <c r="BH403" s="458"/>
      <c r="BI403" s="458"/>
      <c r="BJ403" s="158"/>
      <c r="BK403" s="158"/>
      <c r="BL403" s="458"/>
      <c r="BM403" s="458"/>
      <c r="BN403" s="458"/>
      <c r="BO403" s="458"/>
      <c r="BP403" s="158"/>
      <c r="BQ403" s="158"/>
      <c r="BR403" s="458"/>
      <c r="BS403" s="458"/>
      <c r="BT403" s="458"/>
      <c r="BU403" s="458"/>
      <c r="BV403" s="158"/>
      <c r="BW403" s="158"/>
      <c r="BX403" s="458"/>
      <c r="BY403" s="458"/>
      <c r="BZ403" s="458"/>
      <c r="CA403" s="458"/>
      <c r="CB403" s="158"/>
      <c r="CC403" s="158"/>
      <c r="CD403" s="458"/>
      <c r="CE403" s="458"/>
    </row>
    <row r="404" spans="1:84" x14ac:dyDescent="0.5">
      <c r="A404" s="262"/>
      <c r="B404" s="135"/>
      <c r="C404" s="276"/>
      <c r="D404" s="277"/>
      <c r="E404" s="278"/>
      <c r="F404" s="279"/>
      <c r="G404" s="280"/>
      <c r="H404" s="281"/>
      <c r="I404" s="836"/>
      <c r="J404" s="280"/>
      <c r="K404" s="255"/>
      <c r="L404" s="300"/>
      <c r="M404" s="135"/>
      <c r="N404" s="253"/>
      <c r="O404" s="253"/>
      <c r="P404" s="253"/>
      <c r="Q404" s="143"/>
      <c r="R404" s="144"/>
      <c r="S404" s="145"/>
      <c r="T404" s="146"/>
      <c r="U404" s="529"/>
      <c r="V404" s="555"/>
      <c r="W404" s="556"/>
      <c r="X404" s="556"/>
      <c r="Y404" s="557"/>
      <c r="Z404" s="151"/>
      <c r="AA404" s="154">
        <v>19110468</v>
      </c>
      <c r="AB404" s="155">
        <v>15500</v>
      </c>
      <c r="AC404" s="156">
        <f t="shared" si="73"/>
        <v>1085</v>
      </c>
      <c r="AD404" s="156">
        <f t="shared" si="74"/>
        <v>16585</v>
      </c>
      <c r="AE404" s="157">
        <v>43813</v>
      </c>
      <c r="AF404" s="152" t="s">
        <v>869</v>
      </c>
      <c r="AG404" s="152"/>
      <c r="AH404" s="152"/>
      <c r="AI404" s="134" t="s">
        <v>3484</v>
      </c>
      <c r="AJ404" s="158"/>
      <c r="AK404" s="159"/>
      <c r="AL404" s="160"/>
      <c r="AM404" s="160"/>
      <c r="AN404" s="161"/>
      <c r="AO404" s="162"/>
      <c r="AP404" s="458"/>
      <c r="AQ404" s="458"/>
      <c r="AR404" s="158"/>
      <c r="AS404" s="158"/>
      <c r="AT404" s="458"/>
      <c r="AU404" s="163"/>
      <c r="AV404" s="458"/>
      <c r="AW404" s="458"/>
      <c r="AX404" s="158"/>
      <c r="AY404" s="158"/>
      <c r="AZ404" s="458"/>
      <c r="BA404" s="163"/>
      <c r="BB404" s="458"/>
      <c r="BC404" s="458"/>
      <c r="BD404" s="158"/>
      <c r="BE404" s="158"/>
      <c r="BF404" s="458"/>
      <c r="BG404" s="163"/>
      <c r="BH404" s="458"/>
      <c r="BI404" s="458"/>
      <c r="BJ404" s="158"/>
      <c r="BK404" s="158"/>
      <c r="BL404" s="458"/>
      <c r="BM404" s="458"/>
      <c r="BN404" s="458"/>
      <c r="BO404" s="458"/>
      <c r="BP404" s="158"/>
      <c r="BQ404" s="158"/>
      <c r="BR404" s="458"/>
      <c r="BS404" s="458"/>
      <c r="BT404" s="458"/>
      <c r="BU404" s="458"/>
      <c r="BV404" s="158"/>
      <c r="BW404" s="158"/>
      <c r="BX404" s="458"/>
      <c r="BY404" s="458"/>
      <c r="BZ404" s="458"/>
      <c r="CA404" s="458"/>
      <c r="CB404" s="158"/>
      <c r="CC404" s="158"/>
      <c r="CD404" s="458"/>
      <c r="CE404" s="458"/>
    </row>
    <row r="405" spans="1:84" x14ac:dyDescent="0.5">
      <c r="A405" s="103">
        <v>18065851</v>
      </c>
      <c r="B405" s="104">
        <v>18060542</v>
      </c>
      <c r="C405" s="242"/>
      <c r="D405" s="243"/>
      <c r="E405" s="244"/>
      <c r="F405" s="245"/>
      <c r="G405" s="246"/>
      <c r="H405" s="247"/>
      <c r="I405" s="306"/>
      <c r="J405" s="246"/>
      <c r="K405" s="547" t="s">
        <v>232</v>
      </c>
      <c r="L405" s="548" t="s">
        <v>233</v>
      </c>
      <c r="M405" s="104" t="s">
        <v>51</v>
      </c>
      <c r="N405" s="260">
        <v>70000</v>
      </c>
      <c r="O405" s="260">
        <v>4900</v>
      </c>
      <c r="P405" s="260">
        <f t="shared" si="70"/>
        <v>74900</v>
      </c>
      <c r="Q405" s="311"/>
      <c r="R405" s="113"/>
      <c r="S405" s="114"/>
      <c r="T405" s="115"/>
      <c r="U405" s="550"/>
      <c r="V405" s="551"/>
      <c r="W405" s="552"/>
      <c r="X405" s="552"/>
      <c r="Y405" s="553"/>
      <c r="Z405" s="120"/>
      <c r="AA405" s="229">
        <v>18120502</v>
      </c>
      <c r="AB405" s="230">
        <v>17500</v>
      </c>
      <c r="AC405" s="233">
        <f t="shared" si="73"/>
        <v>1225</v>
      </c>
      <c r="AD405" s="233">
        <f t="shared" si="74"/>
        <v>18725</v>
      </c>
      <c r="AE405" s="221">
        <v>43477</v>
      </c>
      <c r="AF405" s="121" t="s">
        <v>869</v>
      </c>
      <c r="AG405" s="121"/>
      <c r="AH405" s="121" t="s">
        <v>869</v>
      </c>
      <c r="AI405" s="222" t="s">
        <v>2215</v>
      </c>
      <c r="AJ405" s="128">
        <v>1</v>
      </c>
      <c r="AK405" s="129" t="s">
        <v>675</v>
      </c>
      <c r="AL405" s="130"/>
      <c r="AM405" s="130"/>
      <c r="AN405" s="131">
        <v>1</v>
      </c>
      <c r="AO405" s="132" t="s">
        <v>628</v>
      </c>
      <c r="AP405" s="361"/>
      <c r="AQ405" s="361"/>
      <c r="AR405" s="128"/>
      <c r="AS405" s="128"/>
      <c r="AT405" s="361"/>
      <c r="AU405" s="133"/>
      <c r="AV405" s="361"/>
      <c r="AW405" s="361"/>
      <c r="AX405" s="128"/>
      <c r="AY405" s="128"/>
      <c r="AZ405" s="361"/>
      <c r="BA405" s="133"/>
      <c r="BB405" s="361"/>
      <c r="BC405" s="361"/>
      <c r="BD405" s="128"/>
      <c r="BE405" s="128"/>
      <c r="BF405" s="361"/>
      <c r="BG405" s="133"/>
      <c r="BH405" s="361"/>
      <c r="BI405" s="361"/>
      <c r="BJ405" s="128"/>
      <c r="BK405" s="128"/>
      <c r="BL405" s="361"/>
      <c r="BM405" s="361"/>
      <c r="BN405" s="361"/>
      <c r="BO405" s="361"/>
      <c r="BP405" s="128"/>
      <c r="BQ405" s="128"/>
      <c r="BR405" s="361"/>
      <c r="BS405" s="361"/>
      <c r="BT405" s="361"/>
      <c r="BU405" s="361"/>
      <c r="BV405" s="128"/>
      <c r="BW405" s="128"/>
      <c r="BX405" s="361"/>
      <c r="BY405" s="361"/>
      <c r="BZ405" s="361"/>
      <c r="CA405" s="361"/>
      <c r="CB405" s="128"/>
      <c r="CC405" s="128"/>
      <c r="CD405" s="361"/>
      <c r="CE405" s="361"/>
    </row>
    <row r="406" spans="1:84" x14ac:dyDescent="0.5">
      <c r="A406" s="134"/>
      <c r="B406" s="135"/>
      <c r="C406" s="276"/>
      <c r="D406" s="277"/>
      <c r="E406" s="278"/>
      <c r="F406" s="279"/>
      <c r="G406" s="280"/>
      <c r="H406" s="281"/>
      <c r="I406" s="836"/>
      <c r="J406" s="280"/>
      <c r="K406" s="255"/>
      <c r="L406" s="300"/>
      <c r="M406" s="135"/>
      <c r="N406" s="253"/>
      <c r="O406" s="253"/>
      <c r="P406" s="253"/>
      <c r="Q406" s="143"/>
      <c r="R406" s="144"/>
      <c r="S406" s="145"/>
      <c r="T406" s="146"/>
      <c r="U406" s="529"/>
      <c r="V406" s="555"/>
      <c r="W406" s="556"/>
      <c r="X406" s="556"/>
      <c r="Y406" s="557"/>
      <c r="Z406" s="151"/>
      <c r="AA406" s="292">
        <v>18070261</v>
      </c>
      <c r="AB406" s="293">
        <v>17500</v>
      </c>
      <c r="AC406" s="294">
        <f t="shared" si="73"/>
        <v>1225</v>
      </c>
      <c r="AD406" s="294">
        <f t="shared" si="74"/>
        <v>18725</v>
      </c>
      <c r="AE406" s="295">
        <v>43320</v>
      </c>
      <c r="AF406" s="296"/>
      <c r="AG406" s="296"/>
      <c r="AH406" s="296"/>
      <c r="AI406" s="308" t="s">
        <v>1025</v>
      </c>
      <c r="AJ406" s="158"/>
      <c r="AK406" s="159"/>
      <c r="AL406" s="160"/>
      <c r="AM406" s="160"/>
      <c r="AN406" s="161"/>
      <c r="AO406" s="162"/>
      <c r="AP406" s="458"/>
      <c r="AQ406" s="458"/>
      <c r="AR406" s="158"/>
      <c r="AS406" s="158"/>
      <c r="AT406" s="458"/>
      <c r="AU406" s="163"/>
      <c r="AV406" s="458"/>
      <c r="AW406" s="458"/>
      <c r="AX406" s="158"/>
      <c r="AY406" s="158"/>
      <c r="AZ406" s="458"/>
      <c r="BA406" s="163"/>
      <c r="BB406" s="458"/>
      <c r="BC406" s="458"/>
      <c r="BD406" s="158"/>
      <c r="BE406" s="158"/>
      <c r="BF406" s="458"/>
      <c r="BG406" s="163"/>
      <c r="BH406" s="458"/>
      <c r="BI406" s="458"/>
      <c r="BJ406" s="158"/>
      <c r="BK406" s="158"/>
      <c r="BL406" s="458"/>
      <c r="BM406" s="458"/>
      <c r="BN406" s="458"/>
      <c r="BO406" s="458"/>
      <c r="BP406" s="158"/>
      <c r="BQ406" s="158"/>
      <c r="BR406" s="458"/>
      <c r="BS406" s="458"/>
      <c r="BT406" s="458"/>
      <c r="BU406" s="458"/>
      <c r="BV406" s="158"/>
      <c r="BW406" s="158"/>
      <c r="BX406" s="458"/>
      <c r="BY406" s="458"/>
      <c r="BZ406" s="458"/>
      <c r="CA406" s="458"/>
      <c r="CB406" s="158"/>
      <c r="CC406" s="158"/>
      <c r="CD406" s="458"/>
      <c r="CE406" s="458"/>
    </row>
    <row r="407" spans="1:84" x14ac:dyDescent="0.5">
      <c r="A407" s="134"/>
      <c r="B407" s="135"/>
      <c r="C407" s="276"/>
      <c r="D407" s="277"/>
      <c r="E407" s="278"/>
      <c r="F407" s="279"/>
      <c r="G407" s="280"/>
      <c r="H407" s="281"/>
      <c r="I407" s="836"/>
      <c r="J407" s="280"/>
      <c r="K407" s="255"/>
      <c r="L407" s="300"/>
      <c r="M407" s="135"/>
      <c r="N407" s="253"/>
      <c r="O407" s="253"/>
      <c r="P407" s="253"/>
      <c r="Q407" s="143"/>
      <c r="R407" s="144"/>
      <c r="S407" s="145"/>
      <c r="T407" s="146"/>
      <c r="U407" s="529"/>
      <c r="V407" s="555"/>
      <c r="W407" s="556"/>
      <c r="X407" s="556"/>
      <c r="Y407" s="557"/>
      <c r="Z407" s="151"/>
      <c r="AA407" s="292">
        <v>19060204</v>
      </c>
      <c r="AB407" s="293">
        <v>17500</v>
      </c>
      <c r="AC407" s="294">
        <f t="shared" si="73"/>
        <v>1225</v>
      </c>
      <c r="AD407" s="294">
        <f t="shared" si="74"/>
        <v>18725</v>
      </c>
      <c r="AE407" s="295">
        <v>43658</v>
      </c>
      <c r="AF407" s="296" t="s">
        <v>869</v>
      </c>
      <c r="AG407" s="296"/>
      <c r="AH407" s="296"/>
      <c r="AI407" s="308" t="s">
        <v>2723</v>
      </c>
      <c r="AJ407" s="158"/>
      <c r="AK407" s="159"/>
      <c r="AL407" s="160"/>
      <c r="AM407" s="160"/>
      <c r="AN407" s="161"/>
      <c r="AO407" s="162"/>
      <c r="AP407" s="458"/>
      <c r="AQ407" s="458"/>
      <c r="AR407" s="158"/>
      <c r="AS407" s="158"/>
      <c r="AT407" s="458"/>
      <c r="AU407" s="163"/>
      <c r="AV407" s="458"/>
      <c r="AW407" s="458"/>
      <c r="AX407" s="158"/>
      <c r="AY407" s="158"/>
      <c r="AZ407" s="458"/>
      <c r="BA407" s="163"/>
      <c r="BB407" s="458"/>
      <c r="BC407" s="458"/>
      <c r="BD407" s="158"/>
      <c r="BE407" s="158"/>
      <c r="BF407" s="458"/>
      <c r="BG407" s="163"/>
      <c r="BH407" s="458"/>
      <c r="BI407" s="458"/>
      <c r="BJ407" s="158"/>
      <c r="BK407" s="158"/>
      <c r="BL407" s="458"/>
      <c r="BM407" s="458"/>
      <c r="BN407" s="458"/>
      <c r="BO407" s="458"/>
      <c r="BP407" s="158"/>
      <c r="BQ407" s="158"/>
      <c r="BR407" s="458"/>
      <c r="BS407" s="458"/>
      <c r="BT407" s="458"/>
      <c r="BU407" s="458"/>
      <c r="BV407" s="158"/>
      <c r="BW407" s="158"/>
      <c r="BX407" s="458"/>
      <c r="BY407" s="458"/>
      <c r="BZ407" s="458"/>
      <c r="CA407" s="458"/>
      <c r="CB407" s="158"/>
      <c r="CC407" s="158"/>
      <c r="CD407" s="458"/>
      <c r="CE407" s="458"/>
    </row>
    <row r="408" spans="1:84" x14ac:dyDescent="0.5">
      <c r="A408" s="180"/>
      <c r="B408" s="181"/>
      <c r="C408" s="285"/>
      <c r="D408" s="286"/>
      <c r="E408" s="287"/>
      <c r="F408" s="288"/>
      <c r="G408" s="289"/>
      <c r="H408" s="290"/>
      <c r="I408" s="832"/>
      <c r="J408" s="289"/>
      <c r="K408" s="240"/>
      <c r="L408" s="558"/>
      <c r="M408" s="181"/>
      <c r="N408" s="237"/>
      <c r="O408" s="237"/>
      <c r="P408" s="237"/>
      <c r="Q408" s="190"/>
      <c r="R408" s="215"/>
      <c r="S408" s="216"/>
      <c r="T408" s="217"/>
      <c r="U408" s="544"/>
      <c r="V408" s="560"/>
      <c r="W408" s="561"/>
      <c r="X408" s="561"/>
      <c r="Y408" s="562"/>
      <c r="Z408" s="198"/>
      <c r="AA408" s="200">
        <v>19110467</v>
      </c>
      <c r="AB408" s="201">
        <v>17500</v>
      </c>
      <c r="AC408" s="237">
        <f t="shared" si="73"/>
        <v>1225</v>
      </c>
      <c r="AD408" s="237">
        <f t="shared" si="74"/>
        <v>18725</v>
      </c>
      <c r="AE408" s="203">
        <v>43813</v>
      </c>
      <c r="AF408" s="199" t="s">
        <v>869</v>
      </c>
      <c r="AG408" s="199"/>
      <c r="AH408" s="199"/>
      <c r="AI408" s="180" t="s">
        <v>3482</v>
      </c>
      <c r="AJ408" s="204"/>
      <c r="AK408" s="205"/>
      <c r="AL408" s="206"/>
      <c r="AM408" s="206"/>
      <c r="AN408" s="207"/>
      <c r="AO408" s="208"/>
      <c r="AP408" s="365"/>
      <c r="AQ408" s="365"/>
      <c r="AR408" s="204"/>
      <c r="AS408" s="204"/>
      <c r="AT408" s="365"/>
      <c r="AU408" s="210"/>
      <c r="AV408" s="365"/>
      <c r="AW408" s="365"/>
      <c r="AX408" s="204"/>
      <c r="AY408" s="204"/>
      <c r="AZ408" s="365"/>
      <c r="BA408" s="210"/>
      <c r="BB408" s="365"/>
      <c r="BC408" s="365"/>
      <c r="BD408" s="204"/>
      <c r="BE408" s="204"/>
      <c r="BF408" s="365"/>
      <c r="BG408" s="210"/>
      <c r="BH408" s="365"/>
      <c r="BI408" s="365"/>
      <c r="BJ408" s="204"/>
      <c r="BK408" s="204"/>
      <c r="BL408" s="365"/>
      <c r="BM408" s="365"/>
      <c r="BN408" s="365"/>
      <c r="BO408" s="365"/>
      <c r="BP408" s="204"/>
      <c r="BQ408" s="204"/>
      <c r="BR408" s="365"/>
      <c r="BS408" s="365"/>
      <c r="BT408" s="365"/>
      <c r="BU408" s="365"/>
      <c r="BV408" s="204"/>
      <c r="BW408" s="204"/>
      <c r="BX408" s="365"/>
      <c r="BY408" s="365"/>
      <c r="BZ408" s="365"/>
      <c r="CA408" s="365"/>
      <c r="CB408" s="204"/>
      <c r="CC408" s="204"/>
      <c r="CD408" s="365"/>
      <c r="CE408" s="365"/>
    </row>
    <row r="409" spans="1:84" x14ac:dyDescent="0.5">
      <c r="A409" s="227">
        <v>18065850</v>
      </c>
      <c r="B409" s="22">
        <v>18060539</v>
      </c>
      <c r="C409" s="23">
        <v>123</v>
      </c>
      <c r="D409" s="24" t="s">
        <v>184</v>
      </c>
      <c r="E409" s="25" t="s">
        <v>185</v>
      </c>
      <c r="F409" s="26">
        <v>142</v>
      </c>
      <c r="G409" s="62">
        <v>43277</v>
      </c>
      <c r="H409" s="27">
        <v>18208</v>
      </c>
      <c r="I409" s="39" t="s">
        <v>869</v>
      </c>
      <c r="J409" s="62">
        <v>43278</v>
      </c>
      <c r="K409" s="42" t="s">
        <v>20</v>
      </c>
      <c r="L409" s="520" t="s">
        <v>234</v>
      </c>
      <c r="M409" s="22" t="s">
        <v>51</v>
      </c>
      <c r="N409" s="63">
        <v>9040</v>
      </c>
      <c r="O409" s="63">
        <v>632.79999999999995</v>
      </c>
      <c r="P409" s="63">
        <f t="shared" si="70"/>
        <v>9672.7999999999993</v>
      </c>
      <c r="AA409" s="40">
        <v>18070243</v>
      </c>
      <c r="AB409" s="41">
        <v>9040</v>
      </c>
      <c r="AC409" s="64">
        <f t="shared" si="73"/>
        <v>632.79999999999995</v>
      </c>
      <c r="AD409" s="64">
        <f t="shared" si="74"/>
        <v>9672.7999999999993</v>
      </c>
      <c r="AE409" s="53">
        <v>43315</v>
      </c>
      <c r="AF409" s="39" t="s">
        <v>869</v>
      </c>
      <c r="AI409" s="21" t="s">
        <v>1031</v>
      </c>
      <c r="AJ409" s="44">
        <v>1</v>
      </c>
      <c r="AK409" s="45" t="s">
        <v>816</v>
      </c>
      <c r="AM409" s="46" t="s">
        <v>1205</v>
      </c>
      <c r="AN409" s="47">
        <v>1</v>
      </c>
      <c r="AO409" s="48" t="s">
        <v>633</v>
      </c>
      <c r="AP409" s="356"/>
      <c r="AQ409" s="356"/>
      <c r="AR409" s="44"/>
      <c r="AS409" s="44"/>
      <c r="AT409" s="356"/>
      <c r="AU409" s="54"/>
      <c r="AV409" s="356"/>
      <c r="AW409" s="356"/>
      <c r="AX409" s="44"/>
      <c r="AY409" s="44"/>
      <c r="AZ409" s="356"/>
      <c r="BA409" s="54"/>
      <c r="BB409" s="356"/>
      <c r="BC409" s="356"/>
      <c r="BD409" s="44"/>
      <c r="BE409" s="44"/>
      <c r="BF409" s="356"/>
      <c r="BG409" s="54"/>
      <c r="BH409" s="356"/>
      <c r="BI409" s="356"/>
      <c r="BJ409" s="44"/>
      <c r="BK409" s="44"/>
      <c r="BL409" s="356"/>
      <c r="BM409" s="356"/>
      <c r="BN409" s="356"/>
      <c r="BO409" s="356"/>
      <c r="BP409" s="44"/>
      <c r="BQ409" s="44"/>
      <c r="BR409" s="356"/>
      <c r="BS409" s="356"/>
      <c r="BT409" s="356"/>
      <c r="BU409" s="356"/>
      <c r="BV409" s="44"/>
      <c r="BW409" s="44"/>
      <c r="BX409" s="356"/>
      <c r="BY409" s="356"/>
      <c r="BZ409" s="356"/>
      <c r="CA409" s="356"/>
      <c r="CB409" s="44"/>
      <c r="CC409" s="44"/>
      <c r="CD409" s="356"/>
      <c r="CE409" s="356"/>
    </row>
    <row r="410" spans="1:84" x14ac:dyDescent="0.5">
      <c r="A410" s="259">
        <v>18065849</v>
      </c>
      <c r="B410" s="104">
        <v>18060535</v>
      </c>
      <c r="C410" s="242"/>
      <c r="D410" s="243"/>
      <c r="E410" s="244"/>
      <c r="F410" s="245"/>
      <c r="G410" s="246"/>
      <c r="H410" s="247"/>
      <c r="I410" s="306"/>
      <c r="J410" s="246"/>
      <c r="K410" s="547" t="s">
        <v>235</v>
      </c>
      <c r="L410" s="548" t="s">
        <v>236</v>
      </c>
      <c r="M410" s="104" t="s">
        <v>51</v>
      </c>
      <c r="N410" s="260">
        <v>67000</v>
      </c>
      <c r="O410" s="260">
        <v>4690</v>
      </c>
      <c r="P410" s="260">
        <f t="shared" si="70"/>
        <v>71690</v>
      </c>
      <c r="Q410" s="311"/>
      <c r="R410" s="113"/>
      <c r="S410" s="114"/>
      <c r="T410" s="115"/>
      <c r="U410" s="550"/>
      <c r="V410" s="551"/>
      <c r="W410" s="552"/>
      <c r="X410" s="552"/>
      <c r="Y410" s="553"/>
      <c r="Z410" s="120"/>
      <c r="AA410" s="229">
        <v>18110449</v>
      </c>
      <c r="AB410" s="230">
        <v>16750</v>
      </c>
      <c r="AC410" s="220">
        <f t="shared" si="73"/>
        <v>1172.5</v>
      </c>
      <c r="AD410" s="220">
        <f t="shared" si="74"/>
        <v>17922.5</v>
      </c>
      <c r="AE410" s="221">
        <v>43450</v>
      </c>
      <c r="AF410" s="121" t="s">
        <v>869</v>
      </c>
      <c r="AG410" s="121"/>
      <c r="AH410" s="121"/>
      <c r="AI410" s="222" t="s">
        <v>2362</v>
      </c>
      <c r="AJ410" s="128">
        <v>1</v>
      </c>
      <c r="AK410" s="129" t="s">
        <v>676</v>
      </c>
      <c r="AL410" s="130"/>
      <c r="AM410" s="130"/>
      <c r="AN410" s="131">
        <v>1</v>
      </c>
      <c r="AO410" s="132" t="s">
        <v>628</v>
      </c>
      <c r="AP410" s="361"/>
      <c r="AQ410" s="361"/>
      <c r="AR410" s="128"/>
      <c r="AS410" s="128"/>
      <c r="AT410" s="361"/>
      <c r="AU410" s="133"/>
      <c r="AV410" s="361"/>
      <c r="AW410" s="361"/>
      <c r="AX410" s="128"/>
      <c r="AY410" s="128"/>
      <c r="AZ410" s="361"/>
      <c r="BA410" s="133"/>
      <c r="BB410" s="361"/>
      <c r="BC410" s="361"/>
      <c r="BD410" s="128"/>
      <c r="BE410" s="128"/>
      <c r="BF410" s="361"/>
      <c r="BG410" s="133"/>
      <c r="BH410" s="361"/>
      <c r="BI410" s="361"/>
      <c r="BJ410" s="128"/>
      <c r="BK410" s="128"/>
      <c r="BL410" s="361"/>
      <c r="BM410" s="361"/>
      <c r="BN410" s="361"/>
      <c r="BO410" s="361"/>
      <c r="BP410" s="128"/>
      <c r="BQ410" s="128"/>
      <c r="BR410" s="361"/>
      <c r="BS410" s="361"/>
      <c r="BT410" s="361"/>
      <c r="BU410" s="361"/>
      <c r="BV410" s="128"/>
      <c r="BW410" s="128"/>
      <c r="BX410" s="361"/>
      <c r="BY410" s="361"/>
      <c r="BZ410" s="361"/>
      <c r="CA410" s="361"/>
      <c r="CB410" s="128"/>
      <c r="CC410" s="128"/>
      <c r="CD410" s="361"/>
      <c r="CE410" s="361"/>
    </row>
    <row r="411" spans="1:84" x14ac:dyDescent="0.5">
      <c r="A411" s="262"/>
      <c r="B411" s="135"/>
      <c r="C411" s="276"/>
      <c r="D411" s="277"/>
      <c r="E411" s="278"/>
      <c r="F411" s="279"/>
      <c r="G411" s="280"/>
      <c r="H411" s="281"/>
      <c r="I411" s="836"/>
      <c r="J411" s="280"/>
      <c r="K411" s="255"/>
      <c r="L411" s="300"/>
      <c r="M411" s="135"/>
      <c r="N411" s="253"/>
      <c r="O411" s="253"/>
      <c r="P411" s="253"/>
      <c r="Q411" s="143"/>
      <c r="R411" s="144"/>
      <c r="S411" s="145"/>
      <c r="T411" s="146"/>
      <c r="U411" s="529"/>
      <c r="V411" s="555"/>
      <c r="W411" s="556"/>
      <c r="X411" s="556"/>
      <c r="Y411" s="557"/>
      <c r="Z411" s="151"/>
      <c r="AA411" s="292" t="s">
        <v>1953</v>
      </c>
      <c r="AB411" s="293">
        <v>16750</v>
      </c>
      <c r="AC411" s="307">
        <f t="shared" si="73"/>
        <v>1172.5</v>
      </c>
      <c r="AD411" s="307">
        <f t="shared" si="74"/>
        <v>17922.5</v>
      </c>
      <c r="AE411" s="295">
        <v>43572</v>
      </c>
      <c r="AF411" s="296" t="s">
        <v>869</v>
      </c>
      <c r="AG411" s="296"/>
      <c r="AH411" s="296"/>
      <c r="AI411" s="308" t="s">
        <v>2363</v>
      </c>
      <c r="AJ411" s="158"/>
      <c r="AK411" s="159"/>
      <c r="AL411" s="160"/>
      <c r="AM411" s="160"/>
      <c r="AN411" s="161"/>
      <c r="AO411" s="162"/>
      <c r="AP411" s="458"/>
      <c r="AQ411" s="458"/>
      <c r="AR411" s="158"/>
      <c r="AS411" s="158"/>
      <c r="AT411" s="458"/>
      <c r="AU411" s="163"/>
      <c r="AV411" s="458"/>
      <c r="AW411" s="458"/>
      <c r="AX411" s="158"/>
      <c r="AY411" s="158"/>
      <c r="AZ411" s="458"/>
      <c r="BA411" s="163"/>
      <c r="BB411" s="458"/>
      <c r="BC411" s="458"/>
      <c r="BD411" s="158"/>
      <c r="BE411" s="158"/>
      <c r="BF411" s="458"/>
      <c r="BG411" s="163"/>
      <c r="BH411" s="458"/>
      <c r="BI411" s="458"/>
      <c r="BJ411" s="158"/>
      <c r="BK411" s="158"/>
      <c r="BL411" s="458"/>
      <c r="BM411" s="458"/>
      <c r="BN411" s="458"/>
      <c r="BO411" s="458"/>
      <c r="BP411" s="158"/>
      <c r="BQ411" s="158"/>
      <c r="BR411" s="458"/>
      <c r="BS411" s="458"/>
      <c r="BT411" s="458"/>
      <c r="BU411" s="458"/>
      <c r="BV411" s="158"/>
      <c r="BW411" s="158"/>
      <c r="BX411" s="458"/>
      <c r="BY411" s="458"/>
      <c r="BZ411" s="458"/>
      <c r="CA411" s="458"/>
      <c r="CB411" s="158"/>
      <c r="CC411" s="158"/>
      <c r="CD411" s="458"/>
      <c r="CE411" s="458"/>
    </row>
    <row r="412" spans="1:84" x14ac:dyDescent="0.5">
      <c r="A412" s="262"/>
      <c r="B412" s="135"/>
      <c r="C412" s="276"/>
      <c r="D412" s="277"/>
      <c r="E412" s="278"/>
      <c r="F412" s="279"/>
      <c r="G412" s="280"/>
      <c r="H412" s="281"/>
      <c r="I412" s="836"/>
      <c r="J412" s="280"/>
      <c r="K412" s="255"/>
      <c r="L412" s="300"/>
      <c r="M412" s="135"/>
      <c r="N412" s="253"/>
      <c r="O412" s="253"/>
      <c r="P412" s="253"/>
      <c r="Q412" s="143"/>
      <c r="R412" s="144"/>
      <c r="S412" s="145"/>
      <c r="T412" s="146"/>
      <c r="U412" s="529"/>
      <c r="V412" s="555"/>
      <c r="W412" s="556"/>
      <c r="X412" s="556"/>
      <c r="Y412" s="557"/>
      <c r="Z412" s="151"/>
      <c r="AA412" s="154">
        <v>19050148</v>
      </c>
      <c r="AB412" s="293">
        <v>16750</v>
      </c>
      <c r="AC412" s="307">
        <f t="shared" si="73"/>
        <v>1172.5</v>
      </c>
      <c r="AD412" s="307">
        <f t="shared" si="74"/>
        <v>17922.5</v>
      </c>
      <c r="AE412" s="295">
        <v>43620</v>
      </c>
      <c r="AF412" s="296" t="s">
        <v>869</v>
      </c>
      <c r="AG412" s="296"/>
      <c r="AH412" s="296"/>
      <c r="AI412" s="308" t="s">
        <v>3053</v>
      </c>
      <c r="AJ412" s="158"/>
      <c r="AK412" s="159"/>
      <c r="AL412" s="160"/>
      <c r="AM412" s="160"/>
      <c r="AN412" s="161"/>
      <c r="AO412" s="162"/>
      <c r="AP412" s="458"/>
      <c r="AQ412" s="458"/>
      <c r="AR412" s="158"/>
      <c r="AS412" s="158"/>
      <c r="AT412" s="458"/>
      <c r="AU412" s="163"/>
      <c r="AV412" s="458"/>
      <c r="AW412" s="458"/>
      <c r="AX412" s="158"/>
      <c r="AY412" s="158"/>
      <c r="AZ412" s="458"/>
      <c r="BA412" s="163"/>
      <c r="BB412" s="458"/>
      <c r="BC412" s="458"/>
      <c r="BD412" s="158"/>
      <c r="BE412" s="158"/>
      <c r="BF412" s="458"/>
      <c r="BG412" s="163"/>
      <c r="BH412" s="458"/>
      <c r="BI412" s="458"/>
      <c r="BJ412" s="158"/>
      <c r="BK412" s="158"/>
      <c r="BL412" s="458"/>
      <c r="BM412" s="458"/>
      <c r="BN412" s="458"/>
      <c r="BO412" s="458"/>
      <c r="BP412" s="158"/>
      <c r="BQ412" s="158"/>
      <c r="BR412" s="458"/>
      <c r="BS412" s="458"/>
      <c r="BT412" s="458"/>
      <c r="BU412" s="458"/>
      <c r="BV412" s="158"/>
      <c r="BW412" s="158"/>
      <c r="BX412" s="458"/>
      <c r="BY412" s="458"/>
      <c r="BZ412" s="458"/>
      <c r="CA412" s="458"/>
      <c r="CB412" s="158"/>
      <c r="CC412" s="158"/>
      <c r="CD412" s="458"/>
      <c r="CE412" s="458"/>
    </row>
    <row r="413" spans="1:84" x14ac:dyDescent="0.5">
      <c r="A413" s="262"/>
      <c r="B413" s="135"/>
      <c r="C413" s="276"/>
      <c r="D413" s="277"/>
      <c r="E413" s="278"/>
      <c r="F413" s="279"/>
      <c r="G413" s="280"/>
      <c r="H413" s="281"/>
      <c r="I413" s="836"/>
      <c r="J413" s="280"/>
      <c r="K413" s="255"/>
      <c r="L413" s="300"/>
      <c r="M413" s="135"/>
      <c r="N413" s="253"/>
      <c r="O413" s="253"/>
      <c r="P413" s="253"/>
      <c r="Q413" s="143"/>
      <c r="R413" s="144"/>
      <c r="S413" s="145"/>
      <c r="T413" s="146"/>
      <c r="U413" s="529"/>
      <c r="V413" s="555"/>
      <c r="W413" s="556"/>
      <c r="X413" s="556"/>
      <c r="Y413" s="557"/>
      <c r="Z413" s="151"/>
      <c r="AA413" s="857">
        <v>18060226</v>
      </c>
      <c r="AB413" s="858">
        <v>16750</v>
      </c>
      <c r="AC413" s="915">
        <f t="shared" si="73"/>
        <v>1172.5</v>
      </c>
      <c r="AD413" s="915">
        <f t="shared" si="74"/>
        <v>17922.5</v>
      </c>
      <c r="AE413" s="860">
        <v>43296</v>
      </c>
      <c r="AF413" s="861"/>
      <c r="AG413" s="861"/>
      <c r="AH413" s="861"/>
      <c r="AI413" s="862" t="s">
        <v>1025</v>
      </c>
      <c r="AJ413" s="158"/>
      <c r="AK413" s="159"/>
      <c r="AL413" s="160"/>
      <c r="AM413" s="160"/>
      <c r="AN413" s="161"/>
      <c r="AO413" s="162"/>
      <c r="AP413" s="458"/>
      <c r="AQ413" s="458"/>
      <c r="AR413" s="158"/>
      <c r="AS413" s="158"/>
      <c r="AT413" s="458"/>
      <c r="AU413" s="163"/>
      <c r="AV413" s="458"/>
      <c r="AW413" s="458"/>
      <c r="AX413" s="158"/>
      <c r="AY413" s="158"/>
      <c r="AZ413" s="458"/>
      <c r="BA413" s="163"/>
      <c r="BB413" s="458"/>
      <c r="BC413" s="458"/>
      <c r="BD413" s="158"/>
      <c r="BE413" s="158"/>
      <c r="BF413" s="458"/>
      <c r="BG413" s="163"/>
      <c r="BH413" s="458"/>
      <c r="BI413" s="458"/>
      <c r="BJ413" s="158"/>
      <c r="BK413" s="158"/>
      <c r="BL413" s="458"/>
      <c r="BM413" s="458"/>
      <c r="BN413" s="458"/>
      <c r="BO413" s="458"/>
      <c r="BP413" s="158"/>
      <c r="BQ413" s="158"/>
      <c r="BR413" s="458"/>
      <c r="BS413" s="458"/>
      <c r="BT413" s="458"/>
      <c r="BU413" s="458"/>
      <c r="BV413" s="158"/>
      <c r="BW413" s="158"/>
      <c r="BX413" s="458"/>
      <c r="BY413" s="458"/>
      <c r="BZ413" s="458"/>
      <c r="CA413" s="458"/>
      <c r="CB413" s="158"/>
      <c r="CC413" s="158"/>
      <c r="CD413" s="458"/>
      <c r="CE413" s="458"/>
    </row>
    <row r="414" spans="1:84" x14ac:dyDescent="0.5">
      <c r="A414" s="268"/>
      <c r="B414" s="181"/>
      <c r="C414" s="285"/>
      <c r="D414" s="286"/>
      <c r="E414" s="287"/>
      <c r="F414" s="288"/>
      <c r="G414" s="289"/>
      <c r="H414" s="290"/>
      <c r="I414" s="832"/>
      <c r="J414" s="289"/>
      <c r="K414" s="240"/>
      <c r="L414" s="558"/>
      <c r="M414" s="181"/>
      <c r="N414" s="237"/>
      <c r="O414" s="237"/>
      <c r="P414" s="237"/>
      <c r="Q414" s="190"/>
      <c r="R414" s="215"/>
      <c r="S414" s="216"/>
      <c r="T414" s="217"/>
      <c r="U414" s="544"/>
      <c r="V414" s="560"/>
      <c r="W414" s="561"/>
      <c r="X414" s="561"/>
      <c r="Y414" s="562"/>
      <c r="Z414" s="198"/>
      <c r="AA414" s="200">
        <v>19100431</v>
      </c>
      <c r="AB414" s="201">
        <v>16750</v>
      </c>
      <c r="AC414" s="202">
        <f t="shared" si="73"/>
        <v>1172.5</v>
      </c>
      <c r="AD414" s="202">
        <f t="shared" si="74"/>
        <v>17922.5</v>
      </c>
      <c r="AE414" s="203">
        <v>43796</v>
      </c>
      <c r="AF414" s="199" t="s">
        <v>869</v>
      </c>
      <c r="AG414" s="199"/>
      <c r="AH414" s="199"/>
      <c r="AI414" s="180" t="s">
        <v>3479</v>
      </c>
      <c r="AJ414" s="204"/>
      <c r="AK414" s="205"/>
      <c r="AL414" s="206"/>
      <c r="AM414" s="206"/>
      <c r="AN414" s="207"/>
      <c r="AO414" s="208"/>
      <c r="AP414" s="365"/>
      <c r="AQ414" s="365"/>
      <c r="AR414" s="204"/>
      <c r="AS414" s="204"/>
      <c r="AT414" s="365"/>
      <c r="AU414" s="210"/>
      <c r="AV414" s="365"/>
      <c r="AW414" s="365"/>
      <c r="AX414" s="204"/>
      <c r="AY414" s="204"/>
      <c r="AZ414" s="365"/>
      <c r="BA414" s="210"/>
      <c r="BB414" s="365"/>
      <c r="BC414" s="365"/>
      <c r="BD414" s="204"/>
      <c r="BE414" s="204"/>
      <c r="BF414" s="365"/>
      <c r="BG414" s="210"/>
      <c r="BH414" s="365"/>
      <c r="BI414" s="365"/>
      <c r="BJ414" s="204"/>
      <c r="BK414" s="204"/>
      <c r="BL414" s="365"/>
      <c r="BM414" s="365"/>
      <c r="BN414" s="365"/>
      <c r="BO414" s="365"/>
      <c r="BP414" s="204"/>
      <c r="BQ414" s="204"/>
      <c r="BR414" s="365"/>
      <c r="BS414" s="365"/>
      <c r="BT414" s="365"/>
      <c r="BU414" s="365"/>
      <c r="BV414" s="204"/>
      <c r="BW414" s="204"/>
      <c r="BX414" s="365"/>
      <c r="BY414" s="365"/>
      <c r="BZ414" s="365"/>
      <c r="CA414" s="365"/>
      <c r="CB414" s="204"/>
      <c r="CC414" s="204"/>
      <c r="CD414" s="365"/>
      <c r="CE414" s="365"/>
    </row>
    <row r="415" spans="1:84" x14ac:dyDescent="0.5">
      <c r="A415" s="227">
        <v>18065848</v>
      </c>
      <c r="B415" s="22">
        <v>18060534</v>
      </c>
      <c r="C415" s="23">
        <v>122</v>
      </c>
      <c r="D415" s="24" t="s">
        <v>184</v>
      </c>
      <c r="E415" s="25" t="s">
        <v>185</v>
      </c>
      <c r="F415" s="26">
        <v>144</v>
      </c>
      <c r="G415" s="62">
        <v>43276</v>
      </c>
      <c r="H415" s="27">
        <v>18207</v>
      </c>
      <c r="I415" s="39" t="s">
        <v>869</v>
      </c>
      <c r="J415" s="62">
        <v>43277</v>
      </c>
      <c r="K415" s="42" t="s">
        <v>186</v>
      </c>
      <c r="L415" s="520" t="s">
        <v>237</v>
      </c>
      <c r="M415" s="22" t="s">
        <v>50</v>
      </c>
      <c r="N415" s="63">
        <v>53400</v>
      </c>
      <c r="O415" s="63">
        <v>3738</v>
      </c>
      <c r="P415" s="63">
        <f t="shared" si="70"/>
        <v>57138</v>
      </c>
      <c r="Q415" s="30">
        <v>18400</v>
      </c>
      <c r="R415" s="31" t="s">
        <v>569</v>
      </c>
      <c r="S415" s="32">
        <f>N415-Q415</f>
        <v>35000</v>
      </c>
      <c r="T415" s="33">
        <v>5</v>
      </c>
      <c r="U415" s="516">
        <f>S415*T415/100</f>
        <v>1750</v>
      </c>
      <c r="V415" s="517">
        <f>S415-U415</f>
        <v>33250</v>
      </c>
      <c r="W415" s="518">
        <v>0.3</v>
      </c>
      <c r="X415" s="518">
        <f>V415*W415/100</f>
        <v>99.75</v>
      </c>
      <c r="Y415" s="519">
        <v>0.2</v>
      </c>
      <c r="Z415" s="38">
        <f>V415*Y415/100</f>
        <v>66.5</v>
      </c>
      <c r="AA415" s="40">
        <v>18070276</v>
      </c>
      <c r="AB415" s="41">
        <v>53400</v>
      </c>
      <c r="AC415" s="64">
        <f t="shared" si="73"/>
        <v>3738</v>
      </c>
      <c r="AD415" s="64">
        <f t="shared" si="74"/>
        <v>57138</v>
      </c>
      <c r="AE415" s="53">
        <v>43323</v>
      </c>
      <c r="AF415" s="39" t="s">
        <v>869</v>
      </c>
      <c r="AI415" s="21" t="s">
        <v>1058</v>
      </c>
      <c r="AJ415" s="44">
        <v>1</v>
      </c>
      <c r="AK415" s="45" t="s">
        <v>652</v>
      </c>
      <c r="AM415" s="46" t="s">
        <v>1205</v>
      </c>
      <c r="AN415" s="47">
        <v>1</v>
      </c>
      <c r="AO415" s="48" t="s">
        <v>634</v>
      </c>
      <c r="AP415" s="356"/>
      <c r="AQ415" s="356"/>
      <c r="AR415" s="44"/>
      <c r="AS415" s="44"/>
      <c r="AT415" s="356"/>
      <c r="AU415" s="54"/>
      <c r="AV415" s="356"/>
      <c r="AW415" s="356"/>
      <c r="AX415" s="44"/>
      <c r="AY415" s="44"/>
      <c r="AZ415" s="356"/>
      <c r="BA415" s="54"/>
      <c r="BB415" s="356"/>
      <c r="BC415" s="356"/>
      <c r="BD415" s="44"/>
      <c r="BE415" s="44"/>
      <c r="BF415" s="356"/>
      <c r="BG415" s="54"/>
      <c r="BH415" s="356"/>
      <c r="BI415" s="356"/>
      <c r="BJ415" s="44"/>
      <c r="BK415" s="44"/>
      <c r="BL415" s="356"/>
      <c r="BM415" s="356"/>
      <c r="BN415" s="356"/>
      <c r="BO415" s="356"/>
      <c r="BP415" s="44"/>
      <c r="BQ415" s="44"/>
      <c r="BR415" s="356"/>
      <c r="BS415" s="356"/>
      <c r="BT415" s="356"/>
      <c r="BU415" s="356"/>
      <c r="BV415" s="44"/>
      <c r="BW415" s="44"/>
      <c r="BX415" s="356"/>
      <c r="BY415" s="356"/>
      <c r="BZ415" s="356"/>
      <c r="CA415" s="356"/>
      <c r="CB415" s="44"/>
      <c r="CC415" s="44"/>
      <c r="CD415" s="44"/>
      <c r="CE415" s="44"/>
    </row>
    <row r="416" spans="1:84" x14ac:dyDescent="0.5">
      <c r="A416" s="259">
        <v>18065847</v>
      </c>
      <c r="B416" s="104">
        <v>18060531</v>
      </c>
      <c r="C416" s="105">
        <v>121</v>
      </c>
      <c r="D416" s="106" t="s">
        <v>184</v>
      </c>
      <c r="E416" s="107" t="s">
        <v>185</v>
      </c>
      <c r="F416" s="108">
        <v>181</v>
      </c>
      <c r="G416" s="211">
        <v>43330</v>
      </c>
      <c r="H416" s="164">
        <v>18267</v>
      </c>
      <c r="I416" s="127" t="s">
        <v>869</v>
      </c>
      <c r="J416" s="122">
        <v>43332</v>
      </c>
      <c r="K416" s="547" t="s">
        <v>60</v>
      </c>
      <c r="L416" s="548" t="s">
        <v>238</v>
      </c>
      <c r="M416" s="104" t="s">
        <v>68</v>
      </c>
      <c r="N416" s="260">
        <v>2100000</v>
      </c>
      <c r="O416" s="260">
        <v>147000</v>
      </c>
      <c r="P416" s="260">
        <f t="shared" si="70"/>
        <v>2247000</v>
      </c>
      <c r="Q416" s="311">
        <v>113000</v>
      </c>
      <c r="R416" s="165"/>
      <c r="S416" s="166"/>
      <c r="T416" s="167"/>
      <c r="U416" s="568"/>
      <c r="V416" s="551">
        <f>1808500-113000</f>
        <v>1695500</v>
      </c>
      <c r="W416" s="552">
        <v>0.11</v>
      </c>
      <c r="X416" s="552">
        <f>V416*W416/100</f>
        <v>1865.05</v>
      </c>
      <c r="Y416" s="553">
        <v>0.2</v>
      </c>
      <c r="Z416" s="120">
        <f>V416*Y416/100</f>
        <v>3391</v>
      </c>
      <c r="AA416" s="123">
        <v>18080314</v>
      </c>
      <c r="AB416" s="124">
        <v>2100000</v>
      </c>
      <c r="AC416" s="125">
        <f t="shared" si="73"/>
        <v>147000</v>
      </c>
      <c r="AD416" s="125">
        <f t="shared" si="74"/>
        <v>2247000</v>
      </c>
      <c r="AE416" s="126">
        <v>43386</v>
      </c>
      <c r="AF416" s="127" t="s">
        <v>869</v>
      </c>
      <c r="AG416" s="127"/>
      <c r="AH416" s="127"/>
      <c r="AI416" s="103" t="s">
        <v>1175</v>
      </c>
      <c r="AJ416" s="128">
        <v>1</v>
      </c>
      <c r="AK416" s="129" t="s">
        <v>765</v>
      </c>
      <c r="AL416" s="130" t="s">
        <v>1205</v>
      </c>
      <c r="AM416" s="130"/>
      <c r="AN416" s="131">
        <v>1</v>
      </c>
      <c r="AO416" s="132" t="s">
        <v>634</v>
      </c>
      <c r="AP416" s="128">
        <v>2</v>
      </c>
      <c r="AQ416" s="123" t="s">
        <v>766</v>
      </c>
      <c r="AR416" s="131"/>
      <c r="AS416" s="131"/>
      <c r="AT416" s="131"/>
      <c r="AU416" s="246"/>
      <c r="AV416" s="128">
        <v>3</v>
      </c>
      <c r="AW416" s="123" t="s">
        <v>767</v>
      </c>
      <c r="AX416" s="131"/>
      <c r="AY416" s="131"/>
      <c r="AZ416" s="131"/>
      <c r="BA416" s="246"/>
      <c r="BB416" s="361"/>
      <c r="BC416" s="361"/>
      <c r="BD416" s="128"/>
      <c r="BE416" s="128"/>
      <c r="BF416" s="361"/>
      <c r="BG416" s="133"/>
      <c r="BH416" s="361"/>
      <c r="BI416" s="361"/>
      <c r="BJ416" s="128"/>
      <c r="BK416" s="128"/>
      <c r="BL416" s="361"/>
      <c r="BM416" s="361"/>
      <c r="BN416" s="361"/>
      <c r="BO416" s="361"/>
      <c r="BP416" s="128"/>
      <c r="BQ416" s="128"/>
      <c r="BR416" s="361"/>
      <c r="BS416" s="361"/>
      <c r="BT416" s="361"/>
      <c r="BU416" s="361"/>
      <c r="BV416" s="128"/>
      <c r="BW416" s="128"/>
      <c r="BX416" s="361"/>
      <c r="BY416" s="361"/>
      <c r="BZ416" s="361"/>
      <c r="CA416" s="361"/>
      <c r="CB416" s="128"/>
      <c r="CC416" s="128"/>
      <c r="CD416" s="128"/>
      <c r="CE416" s="128"/>
      <c r="CF416" s="51" t="s">
        <v>574</v>
      </c>
    </row>
    <row r="417" spans="1:83" x14ac:dyDescent="0.5">
      <c r="A417" s="262"/>
      <c r="B417" s="135"/>
      <c r="C417" s="136"/>
      <c r="D417" s="137"/>
      <c r="E417" s="138"/>
      <c r="F417" s="139"/>
      <c r="G417" s="170">
        <v>43330</v>
      </c>
      <c r="H417" s="251">
        <v>18268</v>
      </c>
      <c r="I417" s="152"/>
      <c r="J417" s="179"/>
      <c r="K417" s="255"/>
      <c r="L417" s="300"/>
      <c r="M417" s="135"/>
      <c r="N417" s="253"/>
      <c r="O417" s="253"/>
      <c r="P417" s="253"/>
      <c r="Q417" s="143"/>
      <c r="R417" s="172"/>
      <c r="S417" s="173"/>
      <c r="T417" s="174"/>
      <c r="U417" s="570"/>
      <c r="V417" s="555"/>
      <c r="W417" s="556"/>
      <c r="X417" s="556"/>
      <c r="Y417" s="557"/>
      <c r="Z417" s="151"/>
      <c r="AA417" s="154"/>
      <c r="AB417" s="155"/>
      <c r="AC417" s="255"/>
      <c r="AD417" s="255"/>
      <c r="AE417" s="256"/>
      <c r="AF417" s="152"/>
      <c r="AG417" s="152"/>
      <c r="AH417" s="152"/>
      <c r="AI417" s="134"/>
      <c r="AJ417" s="158"/>
      <c r="AK417" s="159"/>
      <c r="AL417" s="160"/>
      <c r="AM417" s="160"/>
      <c r="AN417" s="161"/>
      <c r="AO417" s="162"/>
      <c r="AP417" s="158"/>
      <c r="AQ417" s="154"/>
      <c r="AR417" s="161"/>
      <c r="AS417" s="161"/>
      <c r="AT417" s="161"/>
      <c r="AU417" s="280"/>
      <c r="AV417" s="158"/>
      <c r="AW417" s="154"/>
      <c r="AX417" s="161"/>
      <c r="AY417" s="161"/>
      <c r="AZ417" s="161"/>
      <c r="BA417" s="280"/>
      <c r="BB417" s="458"/>
      <c r="BC417" s="458"/>
      <c r="BD417" s="158"/>
      <c r="BE417" s="158"/>
      <c r="BF417" s="458"/>
      <c r="BG417" s="163"/>
      <c r="BH417" s="458"/>
      <c r="BI417" s="458"/>
      <c r="BJ417" s="158"/>
      <c r="BK417" s="158"/>
      <c r="BL417" s="458"/>
      <c r="BM417" s="458"/>
      <c r="BN417" s="458"/>
      <c r="BO417" s="458"/>
      <c r="BP417" s="158"/>
      <c r="BQ417" s="158"/>
      <c r="BR417" s="458"/>
      <c r="BS417" s="458"/>
      <c r="BT417" s="458"/>
      <c r="BU417" s="458"/>
      <c r="BV417" s="158"/>
      <c r="BW417" s="158"/>
      <c r="BX417" s="458"/>
      <c r="BY417" s="458"/>
      <c r="BZ417" s="458"/>
      <c r="CA417" s="458"/>
      <c r="CB417" s="158"/>
      <c r="CC417" s="158"/>
      <c r="CD417" s="158"/>
      <c r="CE417" s="158"/>
    </row>
    <row r="418" spans="1:83" x14ac:dyDescent="0.5">
      <c r="A418" s="262"/>
      <c r="B418" s="135"/>
      <c r="C418" s="136"/>
      <c r="D418" s="137"/>
      <c r="E418" s="138"/>
      <c r="F418" s="139"/>
      <c r="G418" s="170">
        <v>43330</v>
      </c>
      <c r="H418" s="251">
        <v>18269</v>
      </c>
      <c r="I418" s="152"/>
      <c r="J418" s="179"/>
      <c r="K418" s="255"/>
      <c r="L418" s="300"/>
      <c r="M418" s="135"/>
      <c r="N418" s="253"/>
      <c r="O418" s="253"/>
      <c r="P418" s="253"/>
      <c r="Q418" s="143"/>
      <c r="R418" s="172"/>
      <c r="S418" s="173"/>
      <c r="T418" s="174"/>
      <c r="U418" s="570"/>
      <c r="V418" s="555"/>
      <c r="W418" s="556"/>
      <c r="X418" s="556"/>
      <c r="Y418" s="557"/>
      <c r="Z418" s="151"/>
      <c r="AA418" s="154"/>
      <c r="AB418" s="155"/>
      <c r="AC418" s="255"/>
      <c r="AD418" s="255"/>
      <c r="AE418" s="256"/>
      <c r="AF418" s="152"/>
      <c r="AG418" s="152"/>
      <c r="AH418" s="152"/>
      <c r="AI418" s="134"/>
      <c r="AJ418" s="158"/>
      <c r="AK418" s="159"/>
      <c r="AL418" s="160"/>
      <c r="AM418" s="160"/>
      <c r="AN418" s="161"/>
      <c r="AO418" s="162"/>
      <c r="AP418" s="158"/>
      <c r="AQ418" s="154"/>
      <c r="AR418" s="161"/>
      <c r="AS418" s="161"/>
      <c r="AT418" s="161"/>
      <c r="AU418" s="280"/>
      <c r="AV418" s="158"/>
      <c r="AW418" s="154"/>
      <c r="AX418" s="161"/>
      <c r="AY418" s="161"/>
      <c r="AZ418" s="161"/>
      <c r="BA418" s="280"/>
      <c r="BB418" s="458"/>
      <c r="BC418" s="458"/>
      <c r="BD418" s="158"/>
      <c r="BE418" s="158"/>
      <c r="BF418" s="458"/>
      <c r="BG418" s="163"/>
      <c r="BH418" s="458"/>
      <c r="BI418" s="458"/>
      <c r="BJ418" s="158"/>
      <c r="BK418" s="158"/>
      <c r="BL418" s="458"/>
      <c r="BM418" s="458"/>
      <c r="BN418" s="458"/>
      <c r="BO418" s="458"/>
      <c r="BP418" s="158"/>
      <c r="BQ418" s="158"/>
      <c r="BR418" s="458"/>
      <c r="BS418" s="458"/>
      <c r="BT418" s="458"/>
      <c r="BU418" s="458"/>
      <c r="BV418" s="158"/>
      <c r="BW418" s="158"/>
      <c r="BX418" s="458"/>
      <c r="BY418" s="458"/>
      <c r="BZ418" s="458"/>
      <c r="CA418" s="458"/>
      <c r="CB418" s="158"/>
      <c r="CC418" s="158"/>
      <c r="CD418" s="158"/>
      <c r="CE418" s="158"/>
    </row>
    <row r="419" spans="1:83" x14ac:dyDescent="0.5">
      <c r="A419" s="268"/>
      <c r="B419" s="181"/>
      <c r="C419" s="182"/>
      <c r="D419" s="183"/>
      <c r="E419" s="184"/>
      <c r="F419" s="185"/>
      <c r="G419" s="186">
        <v>43330</v>
      </c>
      <c r="H419" s="187">
        <v>18270</v>
      </c>
      <c r="I419" s="199"/>
      <c r="J419" s="186"/>
      <c r="K419" s="240"/>
      <c r="L419" s="558"/>
      <c r="M419" s="181"/>
      <c r="N419" s="237"/>
      <c r="O419" s="237"/>
      <c r="P419" s="237"/>
      <c r="Q419" s="190"/>
      <c r="R419" s="191"/>
      <c r="S419" s="192"/>
      <c r="T419" s="193"/>
      <c r="U419" s="571"/>
      <c r="V419" s="560"/>
      <c r="W419" s="561"/>
      <c r="X419" s="561"/>
      <c r="Y419" s="562"/>
      <c r="Z419" s="198"/>
      <c r="AA419" s="200"/>
      <c r="AB419" s="201"/>
      <c r="AC419" s="240"/>
      <c r="AD419" s="240"/>
      <c r="AE419" s="241"/>
      <c r="AF419" s="199"/>
      <c r="AG419" s="199"/>
      <c r="AH419" s="199"/>
      <c r="AI419" s="180"/>
      <c r="AJ419" s="204"/>
      <c r="AK419" s="205"/>
      <c r="AL419" s="206"/>
      <c r="AM419" s="206"/>
      <c r="AN419" s="207"/>
      <c r="AO419" s="208"/>
      <c r="AP419" s="204"/>
      <c r="AQ419" s="200"/>
      <c r="AR419" s="207"/>
      <c r="AS419" s="207"/>
      <c r="AT419" s="207"/>
      <c r="AU419" s="289"/>
      <c r="AV419" s="204"/>
      <c r="AW419" s="200"/>
      <c r="AX419" s="207"/>
      <c r="AY419" s="207"/>
      <c r="AZ419" s="207"/>
      <c r="BA419" s="289"/>
      <c r="BB419" s="365"/>
      <c r="BC419" s="365"/>
      <c r="BD419" s="204"/>
      <c r="BE419" s="204"/>
      <c r="BF419" s="365"/>
      <c r="BG419" s="210"/>
      <c r="BH419" s="365"/>
      <c r="BI419" s="365"/>
      <c r="BJ419" s="204"/>
      <c r="BK419" s="204"/>
      <c r="BL419" s="365"/>
      <c r="BM419" s="365"/>
      <c r="BN419" s="365"/>
      <c r="BO419" s="365"/>
      <c r="BP419" s="204"/>
      <c r="BQ419" s="204"/>
      <c r="BR419" s="365"/>
      <c r="BS419" s="365"/>
      <c r="BT419" s="365"/>
      <c r="BU419" s="365"/>
      <c r="BV419" s="204"/>
      <c r="BW419" s="204"/>
      <c r="BX419" s="365"/>
      <c r="BY419" s="365"/>
      <c r="BZ419" s="365"/>
      <c r="CA419" s="365"/>
      <c r="CB419" s="204"/>
      <c r="CC419" s="204"/>
      <c r="CD419" s="204"/>
      <c r="CE419" s="204"/>
    </row>
    <row r="420" spans="1:83" x14ac:dyDescent="0.5">
      <c r="A420" s="227">
        <v>18065846</v>
      </c>
      <c r="B420" s="22">
        <v>18060516</v>
      </c>
      <c r="C420" s="55"/>
      <c r="D420" s="56"/>
      <c r="E420" s="57"/>
      <c r="F420" s="58"/>
      <c r="G420" s="59"/>
      <c r="H420" s="60"/>
      <c r="I420" s="269" t="s">
        <v>869</v>
      </c>
      <c r="J420" s="59"/>
      <c r="K420" s="42" t="s">
        <v>239</v>
      </c>
      <c r="L420" s="520" t="s">
        <v>240</v>
      </c>
      <c r="M420" s="22" t="s">
        <v>50</v>
      </c>
      <c r="N420" s="63">
        <v>10800</v>
      </c>
      <c r="O420" s="63">
        <v>756</v>
      </c>
      <c r="P420" s="63">
        <f t="shared" si="70"/>
        <v>11556</v>
      </c>
      <c r="Q420" s="61"/>
      <c r="R420" s="96"/>
      <c r="S420" s="97"/>
      <c r="T420" s="98"/>
      <c r="U420" s="546"/>
      <c r="V420" s="517">
        <f>N420</f>
        <v>10800</v>
      </c>
      <c r="W420" s="518">
        <v>1</v>
      </c>
      <c r="X420" s="518">
        <f>V420*W420/100</f>
        <v>108</v>
      </c>
      <c r="Y420" s="97"/>
      <c r="Z420" s="101"/>
      <c r="AA420" s="40">
        <v>19010004</v>
      </c>
      <c r="AB420" s="41">
        <v>10800</v>
      </c>
      <c r="AC420" s="52">
        <f>AB420*7/100</f>
        <v>756</v>
      </c>
      <c r="AD420" s="52">
        <f>AB420+AC420</f>
        <v>11556</v>
      </c>
      <c r="AE420" s="53">
        <v>43518</v>
      </c>
      <c r="AF420" s="39" t="s">
        <v>869</v>
      </c>
      <c r="AI420" s="21" t="s">
        <v>2045</v>
      </c>
      <c r="AJ420" s="44">
        <v>1</v>
      </c>
      <c r="AK420" s="45" t="s">
        <v>621</v>
      </c>
      <c r="AN420" s="47">
        <v>14</v>
      </c>
      <c r="AO420" s="48" t="s">
        <v>628</v>
      </c>
      <c r="AP420" s="44">
        <v>2</v>
      </c>
      <c r="AQ420" s="40" t="s">
        <v>677</v>
      </c>
      <c r="AT420" s="47">
        <v>2</v>
      </c>
      <c r="AU420" s="49" t="s">
        <v>628</v>
      </c>
      <c r="AV420" s="356"/>
      <c r="AW420" s="356"/>
      <c r="AX420" s="44"/>
      <c r="AY420" s="44"/>
      <c r="AZ420" s="356"/>
      <c r="BA420" s="54"/>
      <c r="BB420" s="356"/>
      <c r="BC420" s="356"/>
      <c r="BD420" s="44"/>
      <c r="BE420" s="44"/>
      <c r="BF420" s="356"/>
      <c r="BG420" s="54"/>
      <c r="BH420" s="356"/>
      <c r="BI420" s="356"/>
      <c r="BJ420" s="44"/>
      <c r="BK420" s="44"/>
      <c r="BL420" s="356"/>
      <c r="BM420" s="356"/>
      <c r="BN420" s="356"/>
      <c r="BO420" s="356"/>
      <c r="BP420" s="44"/>
      <c r="BQ420" s="44"/>
      <c r="BR420" s="356"/>
      <c r="BS420" s="356"/>
      <c r="BT420" s="356"/>
      <c r="BU420" s="356"/>
      <c r="BV420" s="44"/>
      <c r="BW420" s="44"/>
      <c r="BX420" s="356"/>
      <c r="BY420" s="356"/>
      <c r="BZ420" s="356"/>
      <c r="CA420" s="356"/>
      <c r="CB420" s="44"/>
      <c r="CC420" s="44"/>
      <c r="CD420" s="44"/>
      <c r="CE420" s="44"/>
    </row>
    <row r="421" spans="1:83" x14ac:dyDescent="0.5">
      <c r="A421" s="259">
        <v>18065845</v>
      </c>
      <c r="B421" s="104">
        <v>18060521</v>
      </c>
      <c r="C421" s="105">
        <v>120</v>
      </c>
      <c r="D421" s="106" t="s">
        <v>184</v>
      </c>
      <c r="E421" s="107" t="s">
        <v>185</v>
      </c>
      <c r="F421" s="108">
        <v>155</v>
      </c>
      <c r="G421" s="211">
        <v>43290</v>
      </c>
      <c r="H421" s="164">
        <v>18234</v>
      </c>
      <c r="I421" s="127" t="s">
        <v>869</v>
      </c>
      <c r="J421" s="122">
        <v>43301</v>
      </c>
      <c r="K421" s="547" t="s">
        <v>241</v>
      </c>
      <c r="L421" s="548" t="s">
        <v>242</v>
      </c>
      <c r="M421" s="104" t="s">
        <v>157</v>
      </c>
      <c r="N421" s="260">
        <v>390070</v>
      </c>
      <c r="O421" s="260">
        <v>27304.9</v>
      </c>
      <c r="P421" s="260">
        <f t="shared" si="70"/>
        <v>417374.9</v>
      </c>
      <c r="Q421" s="311"/>
      <c r="R421" s="113"/>
      <c r="S421" s="114"/>
      <c r="T421" s="115"/>
      <c r="U421" s="550"/>
      <c r="V421" s="551"/>
      <c r="W421" s="552"/>
      <c r="X421" s="552">
        <v>1216.94</v>
      </c>
      <c r="Y421" s="553"/>
      <c r="Z421" s="120"/>
      <c r="AA421" s="123">
        <v>18070256</v>
      </c>
      <c r="AB421" s="124">
        <v>390070</v>
      </c>
      <c r="AC421" s="261">
        <f>AB421*7/100</f>
        <v>27304.9</v>
      </c>
      <c r="AD421" s="261">
        <f>AB421+AC421</f>
        <v>417374.9</v>
      </c>
      <c r="AE421" s="126">
        <v>43287</v>
      </c>
      <c r="AF421" s="127" t="s">
        <v>869</v>
      </c>
      <c r="AG421" s="127"/>
      <c r="AH421" s="127"/>
      <c r="AI421" s="103" t="s">
        <v>1087</v>
      </c>
      <c r="AJ421" s="128">
        <v>1</v>
      </c>
      <c r="AK421" s="129" t="s">
        <v>780</v>
      </c>
      <c r="AL421" s="130"/>
      <c r="AM421" s="130" t="s">
        <v>1205</v>
      </c>
      <c r="AN421" s="131">
        <v>1</v>
      </c>
      <c r="AO421" s="132" t="s">
        <v>634</v>
      </c>
      <c r="AP421" s="128">
        <v>2</v>
      </c>
      <c r="AQ421" s="123" t="s">
        <v>781</v>
      </c>
      <c r="AR421" s="131" t="s">
        <v>1205</v>
      </c>
      <c r="AS421" s="131"/>
      <c r="AT421" s="131">
        <v>1</v>
      </c>
      <c r="AU421" s="169" t="s">
        <v>634</v>
      </c>
      <c r="AV421" s="361"/>
      <c r="AW421" s="361"/>
      <c r="AX421" s="128"/>
      <c r="AY421" s="128"/>
      <c r="AZ421" s="361"/>
      <c r="BA421" s="133"/>
      <c r="BB421" s="361"/>
      <c r="BC421" s="361"/>
      <c r="BD421" s="128"/>
      <c r="BE421" s="128"/>
      <c r="BF421" s="361"/>
      <c r="BG421" s="133"/>
      <c r="BH421" s="361"/>
      <c r="BI421" s="361"/>
      <c r="BJ421" s="128"/>
      <c r="BK421" s="128"/>
      <c r="BL421" s="361"/>
      <c r="BM421" s="361"/>
      <c r="BN421" s="361"/>
      <c r="BO421" s="361"/>
      <c r="BP421" s="128"/>
      <c r="BQ421" s="128"/>
      <c r="BR421" s="361"/>
      <c r="BS421" s="361"/>
      <c r="BT421" s="361"/>
      <c r="BU421" s="361"/>
      <c r="BV421" s="128"/>
      <c r="BW421" s="128"/>
      <c r="BX421" s="361"/>
      <c r="BY421" s="361"/>
      <c r="BZ421" s="361"/>
      <c r="CA421" s="361"/>
      <c r="CB421" s="128"/>
      <c r="CC421" s="128"/>
      <c r="CD421" s="128"/>
      <c r="CE421" s="128"/>
    </row>
    <row r="422" spans="1:83" x14ac:dyDescent="0.5">
      <c r="A422" s="268"/>
      <c r="B422" s="181"/>
      <c r="C422" s="182"/>
      <c r="D422" s="183"/>
      <c r="E422" s="184"/>
      <c r="F422" s="185"/>
      <c r="G422" s="186">
        <v>43290</v>
      </c>
      <c r="H422" s="187">
        <v>18235</v>
      </c>
      <c r="I422" s="199"/>
      <c r="J422" s="186"/>
      <c r="K422" s="240"/>
      <c r="L422" s="558"/>
      <c r="M422" s="181"/>
      <c r="N422" s="237"/>
      <c r="O422" s="237"/>
      <c r="P422" s="237"/>
      <c r="Q422" s="190"/>
      <c r="R422" s="215"/>
      <c r="S422" s="216"/>
      <c r="T422" s="217"/>
      <c r="U422" s="544"/>
      <c r="V422" s="560"/>
      <c r="W422" s="561"/>
      <c r="X422" s="561"/>
      <c r="Y422" s="562"/>
      <c r="Z422" s="198"/>
      <c r="AA422" s="200"/>
      <c r="AB422" s="201"/>
      <c r="AC422" s="238"/>
      <c r="AD422" s="238"/>
      <c r="AE422" s="203"/>
      <c r="AF422" s="199"/>
      <c r="AG422" s="199"/>
      <c r="AH422" s="199"/>
      <c r="AI422" s="180"/>
      <c r="AJ422" s="204"/>
      <c r="AK422" s="205"/>
      <c r="AL422" s="206"/>
      <c r="AM422" s="206"/>
      <c r="AN422" s="207"/>
      <c r="AO422" s="208"/>
      <c r="AP422" s="204"/>
      <c r="AQ422" s="200"/>
      <c r="AR422" s="207"/>
      <c r="AS422" s="207"/>
      <c r="AT422" s="207"/>
      <c r="AU422" s="209"/>
      <c r="AV422" s="365"/>
      <c r="AW422" s="365"/>
      <c r="AX422" s="204"/>
      <c r="AY422" s="204"/>
      <c r="AZ422" s="365"/>
      <c r="BA422" s="210"/>
      <c r="BB422" s="365"/>
      <c r="BC422" s="365"/>
      <c r="BD422" s="204"/>
      <c r="BE422" s="204"/>
      <c r="BF422" s="365"/>
      <c r="BG422" s="210"/>
      <c r="BH422" s="365"/>
      <c r="BI422" s="365"/>
      <c r="BJ422" s="204"/>
      <c r="BK422" s="204"/>
      <c r="BL422" s="365"/>
      <c r="BM422" s="365"/>
      <c r="BN422" s="365"/>
      <c r="BO422" s="365"/>
      <c r="BP422" s="204"/>
      <c r="BQ422" s="204"/>
      <c r="BR422" s="365"/>
      <c r="BS422" s="365"/>
      <c r="BT422" s="365"/>
      <c r="BU422" s="365"/>
      <c r="BV422" s="204"/>
      <c r="BW422" s="204"/>
      <c r="BX422" s="365"/>
      <c r="BY422" s="365"/>
      <c r="BZ422" s="365"/>
      <c r="CA422" s="365"/>
      <c r="CB422" s="204"/>
      <c r="CC422" s="204"/>
      <c r="CD422" s="204"/>
      <c r="CE422" s="204"/>
    </row>
    <row r="423" spans="1:83" s="95" customFormat="1" x14ac:dyDescent="0.5">
      <c r="A423" s="65">
        <v>18065844</v>
      </c>
      <c r="B423" s="66">
        <v>18060530</v>
      </c>
      <c r="C423" s="312"/>
      <c r="D423" s="313"/>
      <c r="E423" s="314"/>
      <c r="F423" s="315"/>
      <c r="G423" s="316"/>
      <c r="H423" s="317"/>
      <c r="I423" s="835"/>
      <c r="J423" s="316"/>
      <c r="K423" s="86" t="s">
        <v>171</v>
      </c>
      <c r="L423" s="589" t="s">
        <v>243</v>
      </c>
      <c r="M423" s="66" t="s">
        <v>51</v>
      </c>
      <c r="N423" s="590">
        <v>69000</v>
      </c>
      <c r="O423" s="590">
        <v>4830</v>
      </c>
      <c r="P423" s="590">
        <f t="shared" si="70"/>
        <v>73830</v>
      </c>
      <c r="Q423" s="74"/>
      <c r="R423" s="75"/>
      <c r="S423" s="76"/>
      <c r="T423" s="77"/>
      <c r="U423" s="591"/>
      <c r="V423" s="592"/>
      <c r="W423" s="593"/>
      <c r="X423" s="593"/>
      <c r="Y423" s="594"/>
      <c r="Z423" s="82"/>
      <c r="AA423" s="84"/>
      <c r="AB423" s="85"/>
      <c r="AC423" s="86"/>
      <c r="AD423" s="86"/>
      <c r="AE423" s="87"/>
      <c r="AF423" s="83"/>
      <c r="AG423" s="83"/>
      <c r="AH423" s="83"/>
      <c r="AI423" s="65"/>
      <c r="AJ423" s="88">
        <v>1</v>
      </c>
      <c r="AK423" s="89" t="s">
        <v>610</v>
      </c>
      <c r="AL423" s="90"/>
      <c r="AM423" s="90"/>
      <c r="AN423" s="91">
        <v>1</v>
      </c>
      <c r="AO423" s="92" t="s">
        <v>628</v>
      </c>
      <c r="AP423" s="607"/>
      <c r="AQ423" s="607"/>
      <c r="AR423" s="88"/>
      <c r="AS423" s="88"/>
      <c r="AT423" s="607"/>
      <c r="AU423" s="94"/>
      <c r="AV423" s="607"/>
      <c r="AW423" s="607"/>
      <c r="AX423" s="88"/>
      <c r="AY423" s="88"/>
      <c r="AZ423" s="607"/>
      <c r="BA423" s="94"/>
      <c r="BB423" s="607"/>
      <c r="BC423" s="607"/>
      <c r="BD423" s="88"/>
      <c r="BE423" s="88"/>
      <c r="BF423" s="607"/>
      <c r="BG423" s="94"/>
      <c r="BH423" s="607"/>
      <c r="BI423" s="607"/>
      <c r="BJ423" s="88"/>
      <c r="BK423" s="88"/>
      <c r="BL423" s="607"/>
      <c r="BM423" s="607"/>
      <c r="BN423" s="607"/>
      <c r="BO423" s="607"/>
      <c r="BP423" s="88"/>
      <c r="BQ423" s="88"/>
      <c r="BR423" s="607"/>
      <c r="BS423" s="607"/>
      <c r="BT423" s="607"/>
      <c r="BU423" s="607"/>
      <c r="BV423" s="88"/>
      <c r="BW423" s="88"/>
      <c r="BX423" s="607"/>
      <c r="BY423" s="607"/>
      <c r="BZ423" s="607"/>
      <c r="CA423" s="607"/>
      <c r="CB423" s="88"/>
      <c r="CC423" s="88"/>
      <c r="CD423" s="88"/>
      <c r="CE423" s="88"/>
    </row>
    <row r="424" spans="1:83" x14ac:dyDescent="0.5">
      <c r="A424" s="259">
        <v>18065843</v>
      </c>
      <c r="B424" s="104">
        <v>18060529</v>
      </c>
      <c r="C424" s="242"/>
      <c r="D424" s="243"/>
      <c r="E424" s="244"/>
      <c r="F424" s="245"/>
      <c r="G424" s="246"/>
      <c r="H424" s="247"/>
      <c r="I424" s="306"/>
      <c r="J424" s="246"/>
      <c r="K424" s="547" t="s">
        <v>244</v>
      </c>
      <c r="L424" s="548" t="s">
        <v>245</v>
      </c>
      <c r="M424" s="104" t="s">
        <v>51</v>
      </c>
      <c r="N424" s="260">
        <v>177300</v>
      </c>
      <c r="O424" s="260">
        <v>12411</v>
      </c>
      <c r="P424" s="260">
        <f t="shared" si="70"/>
        <v>189711</v>
      </c>
      <c r="Q424" s="212"/>
      <c r="R424" s="165"/>
      <c r="S424" s="166"/>
      <c r="T424" s="167"/>
      <c r="U424" s="568"/>
      <c r="V424" s="166"/>
      <c r="W424" s="568"/>
      <c r="X424" s="568"/>
      <c r="Y424" s="166"/>
      <c r="Z424" s="232"/>
      <c r="AA424" s="229">
        <v>18100413</v>
      </c>
      <c r="AB424" s="230">
        <v>19700</v>
      </c>
      <c r="AC424" s="234">
        <f t="shared" ref="AC424:AC451" si="75">AB424*7/100</f>
        <v>1379</v>
      </c>
      <c r="AD424" s="234">
        <f t="shared" ref="AD424:AD451" si="76">AB424+AC424</f>
        <v>21079</v>
      </c>
      <c r="AE424" s="221">
        <v>43432</v>
      </c>
      <c r="AF424" s="121" t="s">
        <v>869</v>
      </c>
      <c r="AG424" s="121"/>
      <c r="AH424" s="121"/>
      <c r="AI424" s="222" t="s">
        <v>2216</v>
      </c>
      <c r="AJ424" s="128">
        <v>1</v>
      </c>
      <c r="AK424" s="129" t="s">
        <v>678</v>
      </c>
      <c r="AL424" s="130"/>
      <c r="AM424" s="130"/>
      <c r="AN424" s="131">
        <v>1</v>
      </c>
      <c r="AO424" s="132" t="s">
        <v>628</v>
      </c>
      <c r="AP424" s="361"/>
      <c r="AQ424" s="361"/>
      <c r="AR424" s="128"/>
      <c r="AS424" s="128"/>
      <c r="AT424" s="361"/>
      <c r="AU424" s="133"/>
      <c r="AV424" s="361"/>
      <c r="AW424" s="361"/>
      <c r="AX424" s="128"/>
      <c r="AY424" s="128"/>
      <c r="AZ424" s="361"/>
      <c r="BA424" s="133"/>
      <c r="BB424" s="361"/>
      <c r="BC424" s="361"/>
      <c r="BD424" s="128"/>
      <c r="BE424" s="128"/>
      <c r="BF424" s="361"/>
      <c r="BG424" s="133"/>
      <c r="BH424" s="361"/>
      <c r="BI424" s="361"/>
      <c r="BJ424" s="128"/>
      <c r="BK424" s="128"/>
      <c r="BL424" s="361"/>
      <c r="BM424" s="361"/>
      <c r="BN424" s="361"/>
      <c r="BO424" s="361"/>
      <c r="BP424" s="128"/>
      <c r="BQ424" s="128"/>
      <c r="BR424" s="361"/>
      <c r="BS424" s="361"/>
      <c r="BT424" s="361"/>
      <c r="BU424" s="361"/>
      <c r="BV424" s="128"/>
      <c r="BW424" s="128"/>
      <c r="BX424" s="361"/>
      <c r="BY424" s="361"/>
      <c r="BZ424" s="361"/>
      <c r="CA424" s="361"/>
      <c r="CB424" s="128"/>
      <c r="CC424" s="128"/>
      <c r="CD424" s="128"/>
      <c r="CE424" s="128"/>
    </row>
    <row r="425" spans="1:83" x14ac:dyDescent="0.5">
      <c r="A425" s="262"/>
      <c r="B425" s="135"/>
      <c r="C425" s="276"/>
      <c r="D425" s="277"/>
      <c r="E425" s="278"/>
      <c r="F425" s="279"/>
      <c r="G425" s="280"/>
      <c r="H425" s="281"/>
      <c r="I425" s="836"/>
      <c r="J425" s="280"/>
      <c r="K425" s="255"/>
      <c r="L425" s="300"/>
      <c r="M425" s="135"/>
      <c r="N425" s="253"/>
      <c r="O425" s="253"/>
      <c r="P425" s="253"/>
      <c r="Q425" s="213"/>
      <c r="R425" s="172"/>
      <c r="S425" s="173"/>
      <c r="T425" s="174"/>
      <c r="U425" s="570"/>
      <c r="V425" s="173"/>
      <c r="W425" s="570"/>
      <c r="X425" s="570"/>
      <c r="Y425" s="173"/>
      <c r="Z425" s="283"/>
      <c r="AA425" s="292">
        <v>18060228</v>
      </c>
      <c r="AB425" s="293">
        <v>19700</v>
      </c>
      <c r="AC425" s="532">
        <f t="shared" si="75"/>
        <v>1379</v>
      </c>
      <c r="AD425" s="532">
        <f t="shared" si="76"/>
        <v>21079</v>
      </c>
      <c r="AE425" s="295">
        <v>43299</v>
      </c>
      <c r="AF425" s="296" t="s">
        <v>869</v>
      </c>
      <c r="AG425" s="296"/>
      <c r="AH425" s="296"/>
      <c r="AI425" s="308" t="s">
        <v>2217</v>
      </c>
      <c r="AJ425" s="158"/>
      <c r="AK425" s="159"/>
      <c r="AL425" s="160"/>
      <c r="AM425" s="160"/>
      <c r="AN425" s="161"/>
      <c r="AO425" s="162"/>
      <c r="AP425" s="458"/>
      <c r="AQ425" s="458"/>
      <c r="AR425" s="158"/>
      <c r="AS425" s="158"/>
      <c r="AT425" s="458"/>
      <c r="AU425" s="163"/>
      <c r="AV425" s="458"/>
      <c r="AW425" s="458"/>
      <c r="AX425" s="158"/>
      <c r="AY425" s="158"/>
      <c r="AZ425" s="458"/>
      <c r="BA425" s="163"/>
      <c r="BB425" s="458"/>
      <c r="BC425" s="458"/>
      <c r="BD425" s="158"/>
      <c r="BE425" s="158"/>
      <c r="BF425" s="458"/>
      <c r="BG425" s="163"/>
      <c r="BH425" s="458"/>
      <c r="BI425" s="458"/>
      <c r="BJ425" s="158"/>
      <c r="BK425" s="158"/>
      <c r="BL425" s="458"/>
      <c r="BM425" s="458"/>
      <c r="BN425" s="458"/>
      <c r="BO425" s="458"/>
      <c r="BP425" s="158"/>
      <c r="BQ425" s="158"/>
      <c r="BR425" s="458"/>
      <c r="BS425" s="458"/>
      <c r="BT425" s="458"/>
      <c r="BU425" s="458"/>
      <c r="BV425" s="158"/>
      <c r="BW425" s="158"/>
      <c r="BX425" s="458"/>
      <c r="BY425" s="458"/>
      <c r="BZ425" s="458"/>
      <c r="CA425" s="458"/>
      <c r="CB425" s="158"/>
      <c r="CC425" s="158"/>
      <c r="CD425" s="158"/>
      <c r="CE425" s="158"/>
    </row>
    <row r="426" spans="1:83" x14ac:dyDescent="0.5">
      <c r="A426" s="262"/>
      <c r="B426" s="135"/>
      <c r="C426" s="276"/>
      <c r="D426" s="277"/>
      <c r="E426" s="278"/>
      <c r="F426" s="279"/>
      <c r="G426" s="280"/>
      <c r="H426" s="281"/>
      <c r="I426" s="836"/>
      <c r="J426" s="280"/>
      <c r="K426" s="255"/>
      <c r="L426" s="300"/>
      <c r="M426" s="135"/>
      <c r="N426" s="253"/>
      <c r="O426" s="253"/>
      <c r="P426" s="253"/>
      <c r="Q426" s="213"/>
      <c r="R426" s="172"/>
      <c r="S426" s="173"/>
      <c r="T426" s="174"/>
      <c r="U426" s="570"/>
      <c r="V426" s="173"/>
      <c r="W426" s="570"/>
      <c r="X426" s="570"/>
      <c r="Y426" s="173"/>
      <c r="Z426" s="283"/>
      <c r="AA426" s="292">
        <v>18080304</v>
      </c>
      <c r="AB426" s="293">
        <v>19700</v>
      </c>
      <c r="AC426" s="532">
        <f t="shared" si="75"/>
        <v>1379</v>
      </c>
      <c r="AD426" s="532">
        <f t="shared" si="76"/>
        <v>21079</v>
      </c>
      <c r="AE426" s="295">
        <v>43349</v>
      </c>
      <c r="AF426" s="296" t="s">
        <v>869</v>
      </c>
      <c r="AG426" s="296"/>
      <c r="AH426" s="296"/>
      <c r="AI426" s="308" t="s">
        <v>2218</v>
      </c>
      <c r="AJ426" s="158"/>
      <c r="AK426" s="159"/>
      <c r="AL426" s="160"/>
      <c r="AM426" s="160"/>
      <c r="AN426" s="161"/>
      <c r="AO426" s="162"/>
      <c r="AP426" s="458"/>
      <c r="AQ426" s="458"/>
      <c r="AR426" s="158"/>
      <c r="AS426" s="158"/>
      <c r="AT426" s="458"/>
      <c r="AU426" s="163"/>
      <c r="AV426" s="458"/>
      <c r="AW426" s="458"/>
      <c r="AX426" s="158"/>
      <c r="AY426" s="158"/>
      <c r="AZ426" s="458"/>
      <c r="BA426" s="163"/>
      <c r="BB426" s="458"/>
      <c r="BC426" s="458"/>
      <c r="BD426" s="158"/>
      <c r="BE426" s="158"/>
      <c r="BF426" s="458"/>
      <c r="BG426" s="163"/>
      <c r="BH426" s="458"/>
      <c r="BI426" s="458"/>
      <c r="BJ426" s="158"/>
      <c r="BK426" s="158"/>
      <c r="BL426" s="458"/>
      <c r="BM426" s="458"/>
      <c r="BN426" s="458"/>
      <c r="BO426" s="458"/>
      <c r="BP426" s="158"/>
      <c r="BQ426" s="158"/>
      <c r="BR426" s="458"/>
      <c r="BS426" s="458"/>
      <c r="BT426" s="458"/>
      <c r="BU426" s="458"/>
      <c r="BV426" s="158"/>
      <c r="BW426" s="158"/>
      <c r="BX426" s="458"/>
      <c r="BY426" s="458"/>
      <c r="BZ426" s="458"/>
      <c r="CA426" s="458"/>
      <c r="CB426" s="158"/>
      <c r="CC426" s="158"/>
      <c r="CD426" s="158"/>
      <c r="CE426" s="158"/>
    </row>
    <row r="427" spans="1:83" x14ac:dyDescent="0.5">
      <c r="A427" s="262"/>
      <c r="B427" s="135"/>
      <c r="C427" s="276"/>
      <c r="D427" s="277"/>
      <c r="E427" s="278"/>
      <c r="F427" s="279"/>
      <c r="G427" s="280"/>
      <c r="H427" s="281"/>
      <c r="I427" s="836"/>
      <c r="J427" s="280"/>
      <c r="K427" s="255"/>
      <c r="L427" s="300"/>
      <c r="M427" s="135"/>
      <c r="N427" s="253"/>
      <c r="O427" s="253"/>
      <c r="P427" s="253"/>
      <c r="Q427" s="213"/>
      <c r="R427" s="172"/>
      <c r="S427" s="173"/>
      <c r="T427" s="174"/>
      <c r="U427" s="570"/>
      <c r="V427" s="173"/>
      <c r="W427" s="570"/>
      <c r="X427" s="570"/>
      <c r="Y427" s="173"/>
      <c r="Z427" s="283"/>
      <c r="AA427" s="292">
        <v>18120513</v>
      </c>
      <c r="AB427" s="293">
        <v>19700</v>
      </c>
      <c r="AC427" s="532">
        <f t="shared" ref="AC427:AC432" si="77">AB427*7/100</f>
        <v>1379</v>
      </c>
      <c r="AD427" s="532">
        <f t="shared" ref="AD427:AD432" si="78">AB427+AC427</f>
        <v>21079</v>
      </c>
      <c r="AE427" s="295">
        <v>43482</v>
      </c>
      <c r="AF427" s="296" t="s">
        <v>869</v>
      </c>
      <c r="AG427" s="296"/>
      <c r="AH427" s="296"/>
      <c r="AI427" s="308" t="s">
        <v>2219</v>
      </c>
      <c r="AJ427" s="158"/>
      <c r="AK427" s="159"/>
      <c r="AL427" s="160"/>
      <c r="AM427" s="160"/>
      <c r="AN427" s="161"/>
      <c r="AO427" s="162"/>
      <c r="AP427" s="458"/>
      <c r="AQ427" s="458"/>
      <c r="AR427" s="158"/>
      <c r="AS427" s="158"/>
      <c r="AT427" s="458"/>
      <c r="AU427" s="163"/>
      <c r="AV427" s="458"/>
      <c r="AW427" s="458"/>
      <c r="AX427" s="158"/>
      <c r="AY427" s="158"/>
      <c r="AZ427" s="458"/>
      <c r="BA427" s="163"/>
      <c r="BB427" s="458"/>
      <c r="BC427" s="458"/>
      <c r="BD427" s="158"/>
      <c r="BE427" s="158"/>
      <c r="BF427" s="458"/>
      <c r="BG427" s="163"/>
      <c r="BH427" s="458"/>
      <c r="BI427" s="458"/>
      <c r="BJ427" s="158"/>
      <c r="BK427" s="158"/>
      <c r="BL427" s="458"/>
      <c r="BM427" s="458"/>
      <c r="BN427" s="458"/>
      <c r="BO427" s="458"/>
      <c r="BP427" s="158"/>
      <c r="BQ427" s="158"/>
      <c r="BR427" s="458"/>
      <c r="BS427" s="458"/>
      <c r="BT427" s="458"/>
      <c r="BU427" s="458"/>
      <c r="BV427" s="158"/>
      <c r="BW427" s="158"/>
      <c r="BX427" s="458"/>
      <c r="BY427" s="458"/>
      <c r="BZ427" s="458"/>
      <c r="CA427" s="458"/>
      <c r="CB427" s="158"/>
      <c r="CC427" s="158"/>
      <c r="CD427" s="158"/>
      <c r="CE427" s="158"/>
    </row>
    <row r="428" spans="1:83" x14ac:dyDescent="0.5">
      <c r="A428" s="262"/>
      <c r="B428" s="135"/>
      <c r="C428" s="276"/>
      <c r="D428" s="277"/>
      <c r="E428" s="278"/>
      <c r="F428" s="279"/>
      <c r="G428" s="280"/>
      <c r="H428" s="281"/>
      <c r="I428" s="836"/>
      <c r="J428" s="280"/>
      <c r="K428" s="255"/>
      <c r="L428" s="300"/>
      <c r="M428" s="135"/>
      <c r="N428" s="253"/>
      <c r="O428" s="253"/>
      <c r="P428" s="253"/>
      <c r="Q428" s="213"/>
      <c r="R428" s="172"/>
      <c r="S428" s="173"/>
      <c r="T428" s="174"/>
      <c r="U428" s="570"/>
      <c r="V428" s="173"/>
      <c r="W428" s="570"/>
      <c r="X428" s="570"/>
      <c r="Y428" s="173"/>
      <c r="Z428" s="283"/>
      <c r="AA428" s="292">
        <v>19020042</v>
      </c>
      <c r="AB428" s="293">
        <v>19700</v>
      </c>
      <c r="AC428" s="532">
        <f t="shared" si="77"/>
        <v>1379</v>
      </c>
      <c r="AD428" s="532">
        <f t="shared" si="78"/>
        <v>21079</v>
      </c>
      <c r="AE428" s="295">
        <v>43537</v>
      </c>
      <c r="AF428" s="296" t="s">
        <v>869</v>
      </c>
      <c r="AG428" s="296"/>
      <c r="AH428" s="296"/>
      <c r="AI428" s="308" t="s">
        <v>2220</v>
      </c>
      <c r="AJ428" s="158"/>
      <c r="AK428" s="159"/>
      <c r="AL428" s="160"/>
      <c r="AM428" s="160"/>
      <c r="AN428" s="161"/>
      <c r="AO428" s="162"/>
      <c r="AP428" s="458"/>
      <c r="AQ428" s="458"/>
      <c r="AR428" s="158"/>
      <c r="AS428" s="158"/>
      <c r="AT428" s="458"/>
      <c r="AU428" s="163"/>
      <c r="AV428" s="458"/>
      <c r="AW428" s="458"/>
      <c r="AX428" s="158"/>
      <c r="AY428" s="158"/>
      <c r="AZ428" s="458"/>
      <c r="BA428" s="163"/>
      <c r="BB428" s="458"/>
      <c r="BC428" s="458"/>
      <c r="BD428" s="158"/>
      <c r="BE428" s="158"/>
      <c r="BF428" s="458"/>
      <c r="BG428" s="163"/>
      <c r="BH428" s="458"/>
      <c r="BI428" s="458"/>
      <c r="BJ428" s="158"/>
      <c r="BK428" s="158"/>
      <c r="BL428" s="458"/>
      <c r="BM428" s="458"/>
      <c r="BN428" s="458"/>
      <c r="BO428" s="458"/>
      <c r="BP428" s="158"/>
      <c r="BQ428" s="158"/>
      <c r="BR428" s="458"/>
      <c r="BS428" s="458"/>
      <c r="BT428" s="458"/>
      <c r="BU428" s="458"/>
      <c r="BV428" s="158"/>
      <c r="BW428" s="158"/>
      <c r="BX428" s="458"/>
      <c r="BY428" s="458"/>
      <c r="BZ428" s="458"/>
      <c r="CA428" s="458"/>
      <c r="CB428" s="158"/>
      <c r="CC428" s="158"/>
      <c r="CD428" s="158"/>
      <c r="CE428" s="158"/>
    </row>
    <row r="429" spans="1:83" x14ac:dyDescent="0.5">
      <c r="A429" s="262"/>
      <c r="B429" s="135"/>
      <c r="C429" s="276"/>
      <c r="D429" s="277"/>
      <c r="E429" s="278"/>
      <c r="F429" s="279"/>
      <c r="G429" s="280"/>
      <c r="H429" s="281"/>
      <c r="I429" s="836"/>
      <c r="J429" s="280"/>
      <c r="K429" s="255"/>
      <c r="L429" s="300"/>
      <c r="M429" s="135"/>
      <c r="N429" s="253"/>
      <c r="O429" s="253"/>
      <c r="P429" s="253"/>
      <c r="Q429" s="213"/>
      <c r="R429" s="172"/>
      <c r="S429" s="173"/>
      <c r="T429" s="174"/>
      <c r="U429" s="570"/>
      <c r="V429" s="173"/>
      <c r="W429" s="570"/>
      <c r="X429" s="570"/>
      <c r="Y429" s="173"/>
      <c r="Z429" s="283"/>
      <c r="AA429" s="292">
        <v>19040113</v>
      </c>
      <c r="AB429" s="293">
        <v>19700</v>
      </c>
      <c r="AC429" s="532">
        <f t="shared" si="77"/>
        <v>1379</v>
      </c>
      <c r="AD429" s="532">
        <f t="shared" si="78"/>
        <v>21079</v>
      </c>
      <c r="AE429" s="295">
        <v>43587</v>
      </c>
      <c r="AF429" s="296" t="s">
        <v>869</v>
      </c>
      <c r="AG429" s="296"/>
      <c r="AH429" s="296"/>
      <c r="AI429" s="308" t="s">
        <v>2367</v>
      </c>
      <c r="AJ429" s="158"/>
      <c r="AK429" s="159"/>
      <c r="AL429" s="160"/>
      <c r="AM429" s="160"/>
      <c r="AN429" s="161"/>
      <c r="AO429" s="162"/>
      <c r="AP429" s="458"/>
      <c r="AQ429" s="458"/>
      <c r="AR429" s="158"/>
      <c r="AS429" s="158"/>
      <c r="AT429" s="458"/>
      <c r="AU429" s="163"/>
      <c r="AV429" s="458"/>
      <c r="AW429" s="458"/>
      <c r="AX429" s="158"/>
      <c r="AY429" s="158"/>
      <c r="AZ429" s="458"/>
      <c r="BA429" s="163"/>
      <c r="BB429" s="458"/>
      <c r="BC429" s="458"/>
      <c r="BD429" s="158"/>
      <c r="BE429" s="158"/>
      <c r="BF429" s="458"/>
      <c r="BG429" s="163"/>
      <c r="BH429" s="458"/>
      <c r="BI429" s="458"/>
      <c r="BJ429" s="158"/>
      <c r="BK429" s="158"/>
      <c r="BL429" s="458"/>
      <c r="BM429" s="458"/>
      <c r="BN429" s="458"/>
      <c r="BO429" s="458"/>
      <c r="BP429" s="158"/>
      <c r="BQ429" s="158"/>
      <c r="BR429" s="458"/>
      <c r="BS429" s="458"/>
      <c r="BT429" s="458"/>
      <c r="BU429" s="458"/>
      <c r="BV429" s="158"/>
      <c r="BW429" s="158"/>
      <c r="BX429" s="458"/>
      <c r="BY429" s="458"/>
      <c r="BZ429" s="458"/>
      <c r="CA429" s="458"/>
      <c r="CB429" s="158"/>
      <c r="CC429" s="158"/>
      <c r="CD429" s="158"/>
      <c r="CE429" s="158"/>
    </row>
    <row r="430" spans="1:83" x14ac:dyDescent="0.5">
      <c r="A430" s="262"/>
      <c r="B430" s="135"/>
      <c r="C430" s="276"/>
      <c r="D430" s="277"/>
      <c r="E430" s="278"/>
      <c r="F430" s="279"/>
      <c r="G430" s="280"/>
      <c r="H430" s="281"/>
      <c r="I430" s="836"/>
      <c r="J430" s="280"/>
      <c r="K430" s="255"/>
      <c r="L430" s="300"/>
      <c r="M430" s="135"/>
      <c r="N430" s="253"/>
      <c r="O430" s="253"/>
      <c r="P430" s="253"/>
      <c r="Q430" s="213"/>
      <c r="R430" s="172"/>
      <c r="S430" s="173"/>
      <c r="T430" s="174"/>
      <c r="U430" s="570"/>
      <c r="V430" s="173"/>
      <c r="W430" s="570"/>
      <c r="X430" s="570"/>
      <c r="Y430" s="173"/>
      <c r="Z430" s="283"/>
      <c r="AA430" s="292">
        <v>19060198</v>
      </c>
      <c r="AB430" s="293">
        <v>19700</v>
      </c>
      <c r="AC430" s="532">
        <f t="shared" si="77"/>
        <v>1379</v>
      </c>
      <c r="AD430" s="532">
        <f t="shared" si="78"/>
        <v>21079</v>
      </c>
      <c r="AE430" s="295">
        <v>43658</v>
      </c>
      <c r="AF430" s="296" t="s">
        <v>869</v>
      </c>
      <c r="AG430" s="296"/>
      <c r="AH430" s="296"/>
      <c r="AI430" s="308" t="s">
        <v>2731</v>
      </c>
      <c r="AJ430" s="158"/>
      <c r="AK430" s="159"/>
      <c r="AL430" s="160"/>
      <c r="AM430" s="160"/>
      <c r="AN430" s="161"/>
      <c r="AO430" s="162"/>
      <c r="AP430" s="458"/>
      <c r="AQ430" s="458"/>
      <c r="AR430" s="158"/>
      <c r="AS430" s="158"/>
      <c r="AT430" s="458"/>
      <c r="AU430" s="163"/>
      <c r="AV430" s="458"/>
      <c r="AW430" s="458"/>
      <c r="AX430" s="158"/>
      <c r="AY430" s="158"/>
      <c r="AZ430" s="458"/>
      <c r="BA430" s="163"/>
      <c r="BB430" s="458"/>
      <c r="BC430" s="458"/>
      <c r="BD430" s="158"/>
      <c r="BE430" s="158"/>
      <c r="BF430" s="458"/>
      <c r="BG430" s="163"/>
      <c r="BH430" s="458"/>
      <c r="BI430" s="458"/>
      <c r="BJ430" s="158"/>
      <c r="BK430" s="158"/>
      <c r="BL430" s="458"/>
      <c r="BM430" s="458"/>
      <c r="BN430" s="458"/>
      <c r="BO430" s="458"/>
      <c r="BP430" s="158"/>
      <c r="BQ430" s="158"/>
      <c r="BR430" s="458"/>
      <c r="BS430" s="458"/>
      <c r="BT430" s="458"/>
      <c r="BU430" s="458"/>
      <c r="BV430" s="158"/>
      <c r="BW430" s="158"/>
      <c r="BX430" s="458"/>
      <c r="BY430" s="458"/>
      <c r="BZ430" s="458"/>
      <c r="CA430" s="458"/>
      <c r="CB430" s="158"/>
      <c r="CC430" s="158"/>
      <c r="CD430" s="158"/>
      <c r="CE430" s="158"/>
    </row>
    <row r="431" spans="1:83" x14ac:dyDescent="0.5">
      <c r="A431" s="262"/>
      <c r="B431" s="135"/>
      <c r="C431" s="276"/>
      <c r="D431" s="277"/>
      <c r="E431" s="278"/>
      <c r="F431" s="279"/>
      <c r="G431" s="280"/>
      <c r="H431" s="281"/>
      <c r="I431" s="836"/>
      <c r="J431" s="280"/>
      <c r="K431" s="255"/>
      <c r="L431" s="300"/>
      <c r="M431" s="135"/>
      <c r="N431" s="253"/>
      <c r="O431" s="253"/>
      <c r="P431" s="253"/>
      <c r="Q431" s="213"/>
      <c r="R431" s="172"/>
      <c r="S431" s="173"/>
      <c r="T431" s="174"/>
      <c r="U431" s="570"/>
      <c r="V431" s="173"/>
      <c r="W431" s="570"/>
      <c r="X431" s="570"/>
      <c r="Y431" s="173"/>
      <c r="Z431" s="283"/>
      <c r="AA431" s="292">
        <v>19080311</v>
      </c>
      <c r="AB431" s="293">
        <v>19700</v>
      </c>
      <c r="AC431" s="532">
        <f t="shared" si="77"/>
        <v>1379</v>
      </c>
      <c r="AD431" s="532">
        <f t="shared" si="78"/>
        <v>21079</v>
      </c>
      <c r="AE431" s="295">
        <v>43728</v>
      </c>
      <c r="AF431" s="296" t="s">
        <v>869</v>
      </c>
      <c r="AG431" s="296"/>
      <c r="AH431" s="296"/>
      <c r="AI431" s="308" t="s">
        <v>3058</v>
      </c>
      <c r="AJ431" s="158"/>
      <c r="AK431" s="159"/>
      <c r="AL431" s="160"/>
      <c r="AM431" s="160"/>
      <c r="AN431" s="161"/>
      <c r="AO431" s="162"/>
      <c r="AP431" s="458"/>
      <c r="AQ431" s="458"/>
      <c r="AR431" s="158"/>
      <c r="AS431" s="158"/>
      <c r="AT431" s="458"/>
      <c r="AU431" s="163"/>
      <c r="AV431" s="458"/>
      <c r="AW431" s="458"/>
      <c r="AX431" s="158"/>
      <c r="AY431" s="158"/>
      <c r="AZ431" s="458"/>
      <c r="BA431" s="163"/>
      <c r="BB431" s="458"/>
      <c r="BC431" s="458"/>
      <c r="BD431" s="158"/>
      <c r="BE431" s="158"/>
      <c r="BF431" s="458"/>
      <c r="BG431" s="163"/>
      <c r="BH431" s="458"/>
      <c r="BI431" s="458"/>
      <c r="BJ431" s="158"/>
      <c r="BK431" s="158"/>
      <c r="BL431" s="458"/>
      <c r="BM431" s="458"/>
      <c r="BN431" s="458"/>
      <c r="BO431" s="458"/>
      <c r="BP431" s="158"/>
      <c r="BQ431" s="158"/>
      <c r="BR431" s="458"/>
      <c r="BS431" s="458"/>
      <c r="BT431" s="458"/>
      <c r="BU431" s="458"/>
      <c r="BV431" s="158"/>
      <c r="BW431" s="158"/>
      <c r="BX431" s="458"/>
      <c r="BY431" s="458"/>
      <c r="BZ431" s="458"/>
      <c r="CA431" s="458"/>
      <c r="CB431" s="158"/>
      <c r="CC431" s="158"/>
      <c r="CD431" s="158"/>
      <c r="CE431" s="158"/>
    </row>
    <row r="432" spans="1:83" x14ac:dyDescent="0.5">
      <c r="A432" s="262"/>
      <c r="B432" s="135"/>
      <c r="C432" s="276"/>
      <c r="D432" s="277"/>
      <c r="E432" s="278"/>
      <c r="F432" s="279"/>
      <c r="G432" s="280"/>
      <c r="H432" s="281"/>
      <c r="I432" s="836"/>
      <c r="J432" s="280"/>
      <c r="K432" s="255"/>
      <c r="L432" s="300"/>
      <c r="M432" s="135"/>
      <c r="N432" s="253"/>
      <c r="O432" s="253"/>
      <c r="P432" s="253"/>
      <c r="Q432" s="213"/>
      <c r="R432" s="172"/>
      <c r="S432" s="173"/>
      <c r="T432" s="174"/>
      <c r="U432" s="570"/>
      <c r="V432" s="173"/>
      <c r="W432" s="570"/>
      <c r="X432" s="570"/>
      <c r="Y432" s="173"/>
      <c r="Z432" s="283"/>
      <c r="AA432" s="154">
        <v>19100399</v>
      </c>
      <c r="AB432" s="155">
        <v>19700</v>
      </c>
      <c r="AC432" s="263">
        <f t="shared" si="77"/>
        <v>1379</v>
      </c>
      <c r="AD432" s="263">
        <f t="shared" si="78"/>
        <v>21079</v>
      </c>
      <c r="AE432" s="157">
        <v>43784</v>
      </c>
      <c r="AF432" s="152" t="s">
        <v>869</v>
      </c>
      <c r="AG432" s="152"/>
      <c r="AH432" s="152"/>
      <c r="AI432" s="134" t="s">
        <v>3318</v>
      </c>
      <c r="AJ432" s="158"/>
      <c r="AK432" s="159"/>
      <c r="AL432" s="160"/>
      <c r="AM432" s="160"/>
      <c r="AN432" s="161"/>
      <c r="AO432" s="162"/>
      <c r="AP432" s="458"/>
      <c r="AQ432" s="458"/>
      <c r="AR432" s="158"/>
      <c r="AS432" s="158"/>
      <c r="AT432" s="458"/>
      <c r="AU432" s="163"/>
      <c r="AV432" s="458"/>
      <c r="AW432" s="458"/>
      <c r="AX432" s="158"/>
      <c r="AY432" s="158"/>
      <c r="AZ432" s="458"/>
      <c r="BA432" s="163"/>
      <c r="BB432" s="458"/>
      <c r="BC432" s="458"/>
      <c r="BD432" s="158"/>
      <c r="BE432" s="158"/>
      <c r="BF432" s="458"/>
      <c r="BG432" s="163"/>
      <c r="BH432" s="458"/>
      <c r="BI432" s="458"/>
      <c r="BJ432" s="158"/>
      <c r="BK432" s="158"/>
      <c r="BL432" s="458"/>
      <c r="BM432" s="458"/>
      <c r="BN432" s="458"/>
      <c r="BO432" s="458"/>
      <c r="BP432" s="158"/>
      <c r="BQ432" s="158"/>
      <c r="BR432" s="458"/>
      <c r="BS432" s="458"/>
      <c r="BT432" s="458"/>
      <c r="BU432" s="458"/>
      <c r="BV432" s="158"/>
      <c r="BW432" s="158"/>
      <c r="BX432" s="458"/>
      <c r="BY432" s="458"/>
      <c r="BZ432" s="458"/>
      <c r="CA432" s="458"/>
      <c r="CB432" s="158"/>
      <c r="CC432" s="158"/>
      <c r="CD432" s="158"/>
      <c r="CE432" s="158"/>
    </row>
    <row r="433" spans="1:83" x14ac:dyDescent="0.5">
      <c r="A433" s="259">
        <v>18065842</v>
      </c>
      <c r="B433" s="104">
        <v>18060528</v>
      </c>
      <c r="C433" s="242"/>
      <c r="D433" s="243"/>
      <c r="E433" s="244"/>
      <c r="F433" s="245"/>
      <c r="G433" s="246"/>
      <c r="H433" s="247"/>
      <c r="I433" s="306"/>
      <c r="J433" s="246"/>
      <c r="K433" s="547" t="s">
        <v>246</v>
      </c>
      <c r="L433" s="548" t="s">
        <v>247</v>
      </c>
      <c r="M433" s="104" t="s">
        <v>51</v>
      </c>
      <c r="N433" s="260">
        <v>118800</v>
      </c>
      <c r="O433" s="260">
        <v>8316</v>
      </c>
      <c r="P433" s="260">
        <f t="shared" si="70"/>
        <v>127116</v>
      </c>
      <c r="Q433" s="212"/>
      <c r="R433" s="165"/>
      <c r="S433" s="166"/>
      <c r="T433" s="167"/>
      <c r="U433" s="568"/>
      <c r="V433" s="166"/>
      <c r="W433" s="568"/>
      <c r="X433" s="568"/>
      <c r="Y433" s="166"/>
      <c r="Z433" s="232"/>
      <c r="AA433" s="229">
        <v>18100412</v>
      </c>
      <c r="AB433" s="230">
        <v>13200</v>
      </c>
      <c r="AC433" s="234">
        <f t="shared" si="75"/>
        <v>924</v>
      </c>
      <c r="AD433" s="234">
        <f t="shared" si="76"/>
        <v>14124</v>
      </c>
      <c r="AE433" s="221">
        <v>43432</v>
      </c>
      <c r="AF433" s="121" t="s">
        <v>869</v>
      </c>
      <c r="AG433" s="121"/>
      <c r="AH433" s="121"/>
      <c r="AI433" s="222" t="s">
        <v>1870</v>
      </c>
      <c r="AJ433" s="128">
        <v>1</v>
      </c>
      <c r="AK433" s="129" t="s">
        <v>679</v>
      </c>
      <c r="AL433" s="130"/>
      <c r="AM433" s="130"/>
      <c r="AN433" s="131">
        <v>1</v>
      </c>
      <c r="AO433" s="132" t="s">
        <v>628</v>
      </c>
      <c r="AP433" s="361"/>
      <c r="AQ433" s="361"/>
      <c r="AR433" s="128"/>
      <c r="AS433" s="128"/>
      <c r="AT433" s="361"/>
      <c r="AU433" s="133"/>
      <c r="AV433" s="361"/>
      <c r="AW433" s="361"/>
      <c r="AX433" s="128"/>
      <c r="AY433" s="128"/>
      <c r="AZ433" s="361"/>
      <c r="BA433" s="133"/>
      <c r="BB433" s="361"/>
      <c r="BC433" s="361"/>
      <c r="BD433" s="128"/>
      <c r="BE433" s="128"/>
      <c r="BF433" s="361"/>
      <c r="BG433" s="133"/>
      <c r="BH433" s="361"/>
      <c r="BI433" s="361"/>
      <c r="BJ433" s="128"/>
      <c r="BK433" s="128"/>
      <c r="BL433" s="361"/>
      <c r="BM433" s="361"/>
      <c r="BN433" s="361"/>
      <c r="BO433" s="361"/>
      <c r="BP433" s="128"/>
      <c r="BQ433" s="128"/>
      <c r="BR433" s="361"/>
      <c r="BS433" s="361"/>
      <c r="BT433" s="361"/>
      <c r="BU433" s="361"/>
      <c r="BV433" s="128"/>
      <c r="BW433" s="128"/>
      <c r="BX433" s="361"/>
      <c r="BY433" s="361"/>
      <c r="BZ433" s="361"/>
      <c r="CA433" s="361"/>
      <c r="CB433" s="128"/>
      <c r="CC433" s="128"/>
      <c r="CD433" s="361"/>
      <c r="CE433" s="361"/>
    </row>
    <row r="434" spans="1:83" x14ac:dyDescent="0.5">
      <c r="A434" s="262"/>
      <c r="B434" s="135"/>
      <c r="C434" s="276"/>
      <c r="D434" s="277"/>
      <c r="E434" s="278"/>
      <c r="F434" s="279"/>
      <c r="G434" s="280"/>
      <c r="H434" s="281"/>
      <c r="I434" s="836"/>
      <c r="J434" s="280"/>
      <c r="K434" s="255"/>
      <c r="L434" s="300"/>
      <c r="M434" s="135"/>
      <c r="N434" s="253"/>
      <c r="O434" s="253"/>
      <c r="P434" s="253"/>
      <c r="Q434" s="213"/>
      <c r="R434" s="172"/>
      <c r="S434" s="173"/>
      <c r="T434" s="174"/>
      <c r="U434" s="570"/>
      <c r="V434" s="173"/>
      <c r="W434" s="570"/>
      <c r="X434" s="570"/>
      <c r="Y434" s="173"/>
      <c r="Z434" s="283"/>
      <c r="AA434" s="292">
        <v>18060229</v>
      </c>
      <c r="AB434" s="293">
        <v>13200</v>
      </c>
      <c r="AC434" s="532">
        <f t="shared" si="75"/>
        <v>924</v>
      </c>
      <c r="AD434" s="532">
        <f t="shared" si="76"/>
        <v>14124</v>
      </c>
      <c r="AE434" s="295">
        <v>43299</v>
      </c>
      <c r="AF434" s="296" t="s">
        <v>869</v>
      </c>
      <c r="AG434" s="296"/>
      <c r="AH434" s="296"/>
      <c r="AI434" s="308" t="s">
        <v>1869</v>
      </c>
      <c r="AJ434" s="158"/>
      <c r="AK434" s="159"/>
      <c r="AL434" s="160"/>
      <c r="AM434" s="160"/>
      <c r="AN434" s="161"/>
      <c r="AO434" s="162"/>
      <c r="AP434" s="458"/>
      <c r="AQ434" s="458"/>
      <c r="AR434" s="158"/>
      <c r="AS434" s="158"/>
      <c r="AT434" s="458"/>
      <c r="AU434" s="163"/>
      <c r="AV434" s="458"/>
      <c r="AW434" s="458"/>
      <c r="AX434" s="158"/>
      <c r="AY434" s="158"/>
      <c r="AZ434" s="458"/>
      <c r="BA434" s="163"/>
      <c r="BB434" s="458"/>
      <c r="BC434" s="458"/>
      <c r="BD434" s="158"/>
      <c r="BE434" s="158"/>
      <c r="BF434" s="458"/>
      <c r="BG434" s="163"/>
      <c r="BH434" s="458"/>
      <c r="BI434" s="458"/>
      <c r="BJ434" s="158"/>
      <c r="BK434" s="158"/>
      <c r="BL434" s="458"/>
      <c r="BM434" s="458"/>
      <c r="BN434" s="458"/>
      <c r="BO434" s="458"/>
      <c r="BP434" s="158"/>
      <c r="BQ434" s="158"/>
      <c r="BR434" s="458"/>
      <c r="BS434" s="458"/>
      <c r="BT434" s="458"/>
      <c r="BU434" s="458"/>
      <c r="BV434" s="158"/>
      <c r="BW434" s="158"/>
      <c r="BX434" s="458"/>
      <c r="BY434" s="458"/>
      <c r="BZ434" s="458"/>
      <c r="CA434" s="458"/>
      <c r="CB434" s="158"/>
      <c r="CC434" s="158"/>
      <c r="CD434" s="458"/>
      <c r="CE434" s="458"/>
    </row>
    <row r="435" spans="1:83" x14ac:dyDescent="0.5">
      <c r="A435" s="262"/>
      <c r="B435" s="135"/>
      <c r="C435" s="276"/>
      <c r="D435" s="277"/>
      <c r="E435" s="278"/>
      <c r="F435" s="279"/>
      <c r="G435" s="280"/>
      <c r="H435" s="281"/>
      <c r="I435" s="836"/>
      <c r="J435" s="280"/>
      <c r="K435" s="255"/>
      <c r="L435" s="300"/>
      <c r="M435" s="135"/>
      <c r="N435" s="253"/>
      <c r="O435" s="253"/>
      <c r="P435" s="253"/>
      <c r="Q435" s="213"/>
      <c r="R435" s="172"/>
      <c r="S435" s="173"/>
      <c r="T435" s="174"/>
      <c r="U435" s="570"/>
      <c r="V435" s="173"/>
      <c r="W435" s="570"/>
      <c r="X435" s="570"/>
      <c r="Y435" s="173"/>
      <c r="Z435" s="283"/>
      <c r="AA435" s="292">
        <v>18080303</v>
      </c>
      <c r="AB435" s="293">
        <v>13200</v>
      </c>
      <c r="AC435" s="532">
        <f t="shared" si="75"/>
        <v>924</v>
      </c>
      <c r="AD435" s="532">
        <f t="shared" si="76"/>
        <v>14124</v>
      </c>
      <c r="AE435" s="295">
        <v>43349</v>
      </c>
      <c r="AF435" s="296" t="s">
        <v>869</v>
      </c>
      <c r="AG435" s="296"/>
      <c r="AH435" s="296"/>
      <c r="AI435" s="308" t="s">
        <v>1868</v>
      </c>
      <c r="AJ435" s="158"/>
      <c r="AK435" s="159"/>
      <c r="AL435" s="160"/>
      <c r="AM435" s="160"/>
      <c r="AN435" s="161"/>
      <c r="AO435" s="162"/>
      <c r="AP435" s="458"/>
      <c r="AQ435" s="458"/>
      <c r="AR435" s="158"/>
      <c r="AS435" s="158"/>
      <c r="AT435" s="458"/>
      <c r="AU435" s="163"/>
      <c r="AV435" s="458"/>
      <c r="AW435" s="458"/>
      <c r="AX435" s="158"/>
      <c r="AY435" s="158"/>
      <c r="AZ435" s="458"/>
      <c r="BA435" s="163"/>
      <c r="BB435" s="458"/>
      <c r="BC435" s="458"/>
      <c r="BD435" s="158"/>
      <c r="BE435" s="158"/>
      <c r="BF435" s="458"/>
      <c r="BG435" s="163"/>
      <c r="BH435" s="458"/>
      <c r="BI435" s="458"/>
      <c r="BJ435" s="158"/>
      <c r="BK435" s="158"/>
      <c r="BL435" s="458"/>
      <c r="BM435" s="458"/>
      <c r="BN435" s="458"/>
      <c r="BO435" s="458"/>
      <c r="BP435" s="158"/>
      <c r="BQ435" s="158"/>
      <c r="BR435" s="458"/>
      <c r="BS435" s="458"/>
      <c r="BT435" s="458"/>
      <c r="BU435" s="458"/>
      <c r="BV435" s="158"/>
      <c r="BW435" s="158"/>
      <c r="BX435" s="458"/>
      <c r="BY435" s="458"/>
      <c r="BZ435" s="458"/>
      <c r="CA435" s="458"/>
      <c r="CB435" s="158"/>
      <c r="CC435" s="158"/>
      <c r="CD435" s="458"/>
      <c r="CE435" s="458"/>
    </row>
    <row r="436" spans="1:83" x14ac:dyDescent="0.5">
      <c r="A436" s="262"/>
      <c r="B436" s="135"/>
      <c r="C436" s="276"/>
      <c r="D436" s="277"/>
      <c r="E436" s="278"/>
      <c r="F436" s="279"/>
      <c r="G436" s="280"/>
      <c r="H436" s="281"/>
      <c r="I436" s="836"/>
      <c r="J436" s="280"/>
      <c r="K436" s="255"/>
      <c r="L436" s="300"/>
      <c r="M436" s="135"/>
      <c r="N436" s="253"/>
      <c r="O436" s="253"/>
      <c r="P436" s="253"/>
      <c r="Q436" s="213"/>
      <c r="R436" s="172"/>
      <c r="S436" s="173"/>
      <c r="T436" s="174"/>
      <c r="U436" s="570"/>
      <c r="V436" s="173"/>
      <c r="W436" s="570"/>
      <c r="X436" s="570"/>
      <c r="Y436" s="173"/>
      <c r="Z436" s="283"/>
      <c r="AA436" s="292">
        <v>18120514</v>
      </c>
      <c r="AB436" s="293">
        <v>13200</v>
      </c>
      <c r="AC436" s="532">
        <f t="shared" si="75"/>
        <v>924</v>
      </c>
      <c r="AD436" s="532">
        <f t="shared" si="76"/>
        <v>14124</v>
      </c>
      <c r="AE436" s="295">
        <v>43482</v>
      </c>
      <c r="AF436" s="296" t="s">
        <v>869</v>
      </c>
      <c r="AG436" s="296"/>
      <c r="AH436" s="296"/>
      <c r="AI436" s="308" t="s">
        <v>1867</v>
      </c>
      <c r="AJ436" s="158"/>
      <c r="AK436" s="159"/>
      <c r="AL436" s="160"/>
      <c r="AM436" s="160"/>
      <c r="AN436" s="161"/>
      <c r="AO436" s="162"/>
      <c r="AP436" s="458"/>
      <c r="AQ436" s="458"/>
      <c r="AR436" s="158"/>
      <c r="AS436" s="158"/>
      <c r="AT436" s="458"/>
      <c r="AU436" s="163"/>
      <c r="AV436" s="458"/>
      <c r="AW436" s="458"/>
      <c r="AX436" s="158"/>
      <c r="AY436" s="158"/>
      <c r="AZ436" s="458"/>
      <c r="BA436" s="163"/>
      <c r="BB436" s="458"/>
      <c r="BC436" s="458"/>
      <c r="BD436" s="158"/>
      <c r="BE436" s="158"/>
      <c r="BF436" s="458"/>
      <c r="BG436" s="163"/>
      <c r="BH436" s="458"/>
      <c r="BI436" s="458"/>
      <c r="BJ436" s="158"/>
      <c r="BK436" s="158"/>
      <c r="BL436" s="458"/>
      <c r="BM436" s="458"/>
      <c r="BN436" s="458"/>
      <c r="BO436" s="458"/>
      <c r="BP436" s="158"/>
      <c r="BQ436" s="158"/>
      <c r="BR436" s="458"/>
      <c r="BS436" s="458"/>
      <c r="BT436" s="458"/>
      <c r="BU436" s="458"/>
      <c r="BV436" s="158"/>
      <c r="BW436" s="158"/>
      <c r="BX436" s="458"/>
      <c r="BY436" s="458"/>
      <c r="BZ436" s="458"/>
      <c r="CA436" s="458"/>
      <c r="CB436" s="158"/>
      <c r="CC436" s="158"/>
      <c r="CD436" s="458"/>
      <c r="CE436" s="458"/>
    </row>
    <row r="437" spans="1:83" x14ac:dyDescent="0.5">
      <c r="A437" s="262"/>
      <c r="B437" s="135"/>
      <c r="C437" s="276"/>
      <c r="D437" s="277"/>
      <c r="E437" s="278"/>
      <c r="F437" s="279"/>
      <c r="G437" s="280"/>
      <c r="H437" s="281"/>
      <c r="I437" s="836"/>
      <c r="J437" s="280"/>
      <c r="K437" s="255"/>
      <c r="L437" s="300"/>
      <c r="M437" s="135"/>
      <c r="N437" s="253"/>
      <c r="O437" s="253"/>
      <c r="P437" s="253"/>
      <c r="Q437" s="213"/>
      <c r="R437" s="172"/>
      <c r="S437" s="173"/>
      <c r="T437" s="174"/>
      <c r="U437" s="570"/>
      <c r="V437" s="173"/>
      <c r="W437" s="570"/>
      <c r="X437" s="570"/>
      <c r="Y437" s="173"/>
      <c r="Z437" s="283"/>
      <c r="AA437" s="292">
        <v>19020043</v>
      </c>
      <c r="AB437" s="293">
        <v>13200</v>
      </c>
      <c r="AC437" s="532">
        <f t="shared" si="75"/>
        <v>924</v>
      </c>
      <c r="AD437" s="532">
        <f t="shared" si="76"/>
        <v>14124</v>
      </c>
      <c r="AE437" s="295">
        <v>43537</v>
      </c>
      <c r="AF437" s="296" t="s">
        <v>869</v>
      </c>
      <c r="AG437" s="296"/>
      <c r="AH437" s="296"/>
      <c r="AI437" s="308" t="s">
        <v>2039</v>
      </c>
      <c r="AJ437" s="158"/>
      <c r="AK437" s="159"/>
      <c r="AL437" s="160"/>
      <c r="AM437" s="160"/>
      <c r="AN437" s="161"/>
      <c r="AO437" s="162"/>
      <c r="AP437" s="458"/>
      <c r="AQ437" s="458"/>
      <c r="AR437" s="158"/>
      <c r="AS437" s="158"/>
      <c r="AT437" s="458"/>
      <c r="AU437" s="163"/>
      <c r="AV437" s="458"/>
      <c r="AW437" s="458"/>
      <c r="AX437" s="158"/>
      <c r="AY437" s="158"/>
      <c r="AZ437" s="458"/>
      <c r="BA437" s="163"/>
      <c r="BB437" s="458"/>
      <c r="BC437" s="458"/>
      <c r="BD437" s="158"/>
      <c r="BE437" s="158"/>
      <c r="BF437" s="458"/>
      <c r="BG437" s="163"/>
      <c r="BH437" s="458"/>
      <c r="BI437" s="458"/>
      <c r="BJ437" s="158"/>
      <c r="BK437" s="158"/>
      <c r="BL437" s="458"/>
      <c r="BM437" s="458"/>
      <c r="BN437" s="458"/>
      <c r="BO437" s="458"/>
      <c r="BP437" s="158"/>
      <c r="BQ437" s="158"/>
      <c r="BR437" s="458"/>
      <c r="BS437" s="458"/>
      <c r="BT437" s="458"/>
      <c r="BU437" s="458"/>
      <c r="BV437" s="158"/>
      <c r="BW437" s="158"/>
      <c r="BX437" s="458"/>
      <c r="BY437" s="458"/>
      <c r="BZ437" s="458"/>
      <c r="CA437" s="458"/>
      <c r="CB437" s="158"/>
      <c r="CC437" s="158"/>
      <c r="CD437" s="458"/>
      <c r="CE437" s="458"/>
    </row>
    <row r="438" spans="1:83" x14ac:dyDescent="0.5">
      <c r="A438" s="262"/>
      <c r="B438" s="135"/>
      <c r="C438" s="276"/>
      <c r="D438" s="277"/>
      <c r="E438" s="278"/>
      <c r="F438" s="279"/>
      <c r="G438" s="280"/>
      <c r="H438" s="281"/>
      <c r="I438" s="836"/>
      <c r="J438" s="280"/>
      <c r="K438" s="255"/>
      <c r="L438" s="300"/>
      <c r="M438" s="135"/>
      <c r="N438" s="253"/>
      <c r="O438" s="253"/>
      <c r="P438" s="253"/>
      <c r="Q438" s="213"/>
      <c r="R438" s="172"/>
      <c r="S438" s="173"/>
      <c r="T438" s="174"/>
      <c r="U438" s="570"/>
      <c r="V438" s="173"/>
      <c r="W438" s="570"/>
      <c r="X438" s="570"/>
      <c r="Y438" s="173"/>
      <c r="Z438" s="283"/>
      <c r="AA438" s="292">
        <v>19040112</v>
      </c>
      <c r="AB438" s="293">
        <v>13200</v>
      </c>
      <c r="AC438" s="532">
        <f t="shared" si="75"/>
        <v>924</v>
      </c>
      <c r="AD438" s="532">
        <f t="shared" si="76"/>
        <v>14124</v>
      </c>
      <c r="AE438" s="295">
        <v>43587</v>
      </c>
      <c r="AF438" s="296" t="s">
        <v>869</v>
      </c>
      <c r="AG438" s="296"/>
      <c r="AH438" s="296"/>
      <c r="AI438" s="308" t="s">
        <v>2770</v>
      </c>
      <c r="AJ438" s="158"/>
      <c r="AK438" s="159"/>
      <c r="AL438" s="160"/>
      <c r="AM438" s="160"/>
      <c r="AN438" s="161"/>
      <c r="AO438" s="162"/>
      <c r="AP438" s="458"/>
      <c r="AQ438" s="458"/>
      <c r="AR438" s="158"/>
      <c r="AS438" s="158"/>
      <c r="AT438" s="458"/>
      <c r="AU438" s="163"/>
      <c r="AV438" s="458"/>
      <c r="AW438" s="458"/>
      <c r="AX438" s="158"/>
      <c r="AY438" s="158"/>
      <c r="AZ438" s="458"/>
      <c r="BA438" s="163"/>
      <c r="BB438" s="458"/>
      <c r="BC438" s="458"/>
      <c r="BD438" s="158"/>
      <c r="BE438" s="158"/>
      <c r="BF438" s="458"/>
      <c r="BG438" s="163"/>
      <c r="BH438" s="458"/>
      <c r="BI438" s="458"/>
      <c r="BJ438" s="158"/>
      <c r="BK438" s="158"/>
      <c r="BL438" s="458"/>
      <c r="BM438" s="458"/>
      <c r="BN438" s="458"/>
      <c r="BO438" s="458"/>
      <c r="BP438" s="158"/>
      <c r="BQ438" s="158"/>
      <c r="BR438" s="458"/>
      <c r="BS438" s="458"/>
      <c r="BT438" s="458"/>
      <c r="BU438" s="458"/>
      <c r="BV438" s="158"/>
      <c r="BW438" s="158"/>
      <c r="BX438" s="458"/>
      <c r="BY438" s="458"/>
      <c r="BZ438" s="458"/>
      <c r="CA438" s="458"/>
      <c r="CB438" s="158"/>
      <c r="CC438" s="158"/>
      <c r="CD438" s="458"/>
      <c r="CE438" s="458"/>
    </row>
    <row r="439" spans="1:83" x14ac:dyDescent="0.5">
      <c r="A439" s="262"/>
      <c r="B439" s="135"/>
      <c r="C439" s="276"/>
      <c r="D439" s="277"/>
      <c r="E439" s="278"/>
      <c r="F439" s="279"/>
      <c r="G439" s="280"/>
      <c r="H439" s="281"/>
      <c r="I439" s="836"/>
      <c r="J439" s="280"/>
      <c r="K439" s="255"/>
      <c r="L439" s="300"/>
      <c r="M439" s="135"/>
      <c r="N439" s="253"/>
      <c r="O439" s="253"/>
      <c r="P439" s="253"/>
      <c r="Q439" s="213"/>
      <c r="R439" s="172"/>
      <c r="S439" s="173"/>
      <c r="T439" s="174"/>
      <c r="U439" s="570"/>
      <c r="V439" s="173"/>
      <c r="W439" s="570"/>
      <c r="X439" s="570"/>
      <c r="Y439" s="173"/>
      <c r="Z439" s="283"/>
      <c r="AA439" s="292">
        <v>19060199</v>
      </c>
      <c r="AB439" s="293">
        <v>13200</v>
      </c>
      <c r="AC439" s="532">
        <f t="shared" si="75"/>
        <v>924</v>
      </c>
      <c r="AD439" s="532">
        <f t="shared" si="76"/>
        <v>14124</v>
      </c>
      <c r="AE439" s="295">
        <v>43658</v>
      </c>
      <c r="AF439" s="296" t="s">
        <v>869</v>
      </c>
      <c r="AG439" s="296"/>
      <c r="AH439" s="296"/>
      <c r="AI439" s="308" t="s">
        <v>3057</v>
      </c>
      <c r="AJ439" s="158"/>
      <c r="AK439" s="159"/>
      <c r="AL439" s="160"/>
      <c r="AM439" s="160"/>
      <c r="AN439" s="161"/>
      <c r="AO439" s="162"/>
      <c r="AP439" s="458"/>
      <c r="AQ439" s="458"/>
      <c r="AR439" s="158"/>
      <c r="AS439" s="158"/>
      <c r="AT439" s="458"/>
      <c r="AU439" s="163"/>
      <c r="AV439" s="458"/>
      <c r="AW439" s="458"/>
      <c r="AX439" s="158"/>
      <c r="AY439" s="158"/>
      <c r="AZ439" s="458"/>
      <c r="BA439" s="163"/>
      <c r="BB439" s="458"/>
      <c r="BC439" s="458"/>
      <c r="BD439" s="158"/>
      <c r="BE439" s="158"/>
      <c r="BF439" s="458"/>
      <c r="BG439" s="163"/>
      <c r="BH439" s="458"/>
      <c r="BI439" s="458"/>
      <c r="BJ439" s="158"/>
      <c r="BK439" s="158"/>
      <c r="BL439" s="458"/>
      <c r="BM439" s="458"/>
      <c r="BN439" s="458"/>
      <c r="BO439" s="458"/>
      <c r="BP439" s="158"/>
      <c r="BQ439" s="158"/>
      <c r="BR439" s="458"/>
      <c r="BS439" s="458"/>
      <c r="BT439" s="458"/>
      <c r="BU439" s="458"/>
      <c r="BV439" s="158"/>
      <c r="BW439" s="158"/>
      <c r="BX439" s="458"/>
      <c r="BY439" s="458"/>
      <c r="BZ439" s="458"/>
      <c r="CA439" s="458"/>
      <c r="CB439" s="158"/>
      <c r="CC439" s="158"/>
      <c r="CD439" s="458"/>
      <c r="CE439" s="458"/>
    </row>
    <row r="440" spans="1:83" x14ac:dyDescent="0.5">
      <c r="A440" s="262"/>
      <c r="B440" s="135"/>
      <c r="C440" s="276"/>
      <c r="D440" s="277"/>
      <c r="E440" s="278"/>
      <c r="F440" s="279"/>
      <c r="G440" s="280"/>
      <c r="H440" s="281"/>
      <c r="I440" s="836"/>
      <c r="J440" s="280"/>
      <c r="K440" s="255"/>
      <c r="L440" s="300"/>
      <c r="M440" s="135"/>
      <c r="N440" s="253"/>
      <c r="O440" s="253"/>
      <c r="P440" s="253"/>
      <c r="Q440" s="213"/>
      <c r="R440" s="172"/>
      <c r="S440" s="173"/>
      <c r="T440" s="174"/>
      <c r="U440" s="570"/>
      <c r="V440" s="173"/>
      <c r="W440" s="570"/>
      <c r="X440" s="570"/>
      <c r="Y440" s="173"/>
      <c r="Z440" s="283"/>
      <c r="AA440" s="292">
        <v>19080313</v>
      </c>
      <c r="AB440" s="293">
        <v>13200</v>
      </c>
      <c r="AC440" s="532">
        <f t="shared" si="75"/>
        <v>924</v>
      </c>
      <c r="AD440" s="532">
        <f t="shared" si="76"/>
        <v>14124</v>
      </c>
      <c r="AE440" s="295">
        <v>43728</v>
      </c>
      <c r="AF440" s="296" t="s">
        <v>869</v>
      </c>
      <c r="AG440" s="296"/>
      <c r="AH440" s="296"/>
      <c r="AI440" s="308" t="s">
        <v>3317</v>
      </c>
      <c r="AJ440" s="158"/>
      <c r="AK440" s="159"/>
      <c r="AL440" s="160"/>
      <c r="AM440" s="160"/>
      <c r="AN440" s="161"/>
      <c r="AO440" s="162"/>
      <c r="AP440" s="458"/>
      <c r="AQ440" s="458"/>
      <c r="AR440" s="158"/>
      <c r="AS440" s="158"/>
      <c r="AT440" s="458"/>
      <c r="AU440" s="163"/>
      <c r="AV440" s="458"/>
      <c r="AW440" s="458"/>
      <c r="AX440" s="158"/>
      <c r="AY440" s="158"/>
      <c r="AZ440" s="458"/>
      <c r="BA440" s="163"/>
      <c r="BB440" s="458"/>
      <c r="BC440" s="458"/>
      <c r="BD440" s="158"/>
      <c r="BE440" s="158"/>
      <c r="BF440" s="458"/>
      <c r="BG440" s="163"/>
      <c r="BH440" s="458"/>
      <c r="BI440" s="458"/>
      <c r="BJ440" s="158"/>
      <c r="BK440" s="158"/>
      <c r="BL440" s="458"/>
      <c r="BM440" s="458"/>
      <c r="BN440" s="458"/>
      <c r="BO440" s="458"/>
      <c r="BP440" s="158"/>
      <c r="BQ440" s="158"/>
      <c r="BR440" s="458"/>
      <c r="BS440" s="458"/>
      <c r="BT440" s="458"/>
      <c r="BU440" s="458"/>
      <c r="BV440" s="158"/>
      <c r="BW440" s="158"/>
      <c r="BX440" s="458"/>
      <c r="BY440" s="458"/>
      <c r="BZ440" s="458"/>
      <c r="CA440" s="458"/>
      <c r="CB440" s="158"/>
      <c r="CC440" s="158"/>
      <c r="CD440" s="458"/>
      <c r="CE440" s="458"/>
    </row>
    <row r="441" spans="1:83" x14ac:dyDescent="0.5">
      <c r="A441" s="262"/>
      <c r="B441" s="135"/>
      <c r="C441" s="276"/>
      <c r="D441" s="277"/>
      <c r="E441" s="278"/>
      <c r="F441" s="279"/>
      <c r="G441" s="280"/>
      <c r="H441" s="281"/>
      <c r="I441" s="836"/>
      <c r="J441" s="280"/>
      <c r="K441" s="255"/>
      <c r="L441" s="300"/>
      <c r="M441" s="135"/>
      <c r="N441" s="253"/>
      <c r="O441" s="253"/>
      <c r="P441" s="253"/>
      <c r="Q441" s="213"/>
      <c r="R441" s="172"/>
      <c r="S441" s="173"/>
      <c r="T441" s="174"/>
      <c r="U441" s="570"/>
      <c r="V441" s="173"/>
      <c r="W441" s="570"/>
      <c r="X441" s="570"/>
      <c r="Y441" s="173"/>
      <c r="Z441" s="283"/>
      <c r="AA441" s="154">
        <v>19100398</v>
      </c>
      <c r="AB441" s="155">
        <v>13200</v>
      </c>
      <c r="AC441" s="263">
        <f t="shared" si="75"/>
        <v>924</v>
      </c>
      <c r="AD441" s="263">
        <f t="shared" si="76"/>
        <v>14124</v>
      </c>
      <c r="AE441" s="157">
        <v>43784</v>
      </c>
      <c r="AF441" s="152" t="s">
        <v>869</v>
      </c>
      <c r="AG441" s="152"/>
      <c r="AH441" s="152"/>
      <c r="AI441" s="134" t="s">
        <v>3490</v>
      </c>
      <c r="AJ441" s="158"/>
      <c r="AK441" s="159"/>
      <c r="AL441" s="160"/>
      <c r="AM441" s="160"/>
      <c r="AN441" s="161"/>
      <c r="AO441" s="162"/>
      <c r="AP441" s="458"/>
      <c r="AQ441" s="458"/>
      <c r="AR441" s="158"/>
      <c r="AS441" s="158"/>
      <c r="AT441" s="458"/>
      <c r="AU441" s="163"/>
      <c r="AV441" s="458"/>
      <c r="AW441" s="458"/>
      <c r="AX441" s="158"/>
      <c r="AY441" s="158"/>
      <c r="AZ441" s="458"/>
      <c r="BA441" s="163"/>
      <c r="BB441" s="458"/>
      <c r="BC441" s="458"/>
      <c r="BD441" s="158"/>
      <c r="BE441" s="158"/>
      <c r="BF441" s="458"/>
      <c r="BG441" s="163"/>
      <c r="BH441" s="458"/>
      <c r="BI441" s="458"/>
      <c r="BJ441" s="158"/>
      <c r="BK441" s="158"/>
      <c r="BL441" s="458"/>
      <c r="BM441" s="458"/>
      <c r="BN441" s="458"/>
      <c r="BO441" s="458"/>
      <c r="BP441" s="158"/>
      <c r="BQ441" s="158"/>
      <c r="BR441" s="458"/>
      <c r="BS441" s="458"/>
      <c r="BT441" s="458"/>
      <c r="BU441" s="458"/>
      <c r="BV441" s="158"/>
      <c r="BW441" s="158"/>
      <c r="BX441" s="458"/>
      <c r="BY441" s="458"/>
      <c r="BZ441" s="458"/>
      <c r="CA441" s="458"/>
      <c r="CB441" s="158"/>
      <c r="CC441" s="158"/>
      <c r="CD441" s="458"/>
      <c r="CE441" s="458"/>
    </row>
    <row r="442" spans="1:83" x14ac:dyDescent="0.5">
      <c r="A442" s="259">
        <v>18065841</v>
      </c>
      <c r="B442" s="104">
        <v>18060527</v>
      </c>
      <c r="C442" s="242"/>
      <c r="D442" s="243"/>
      <c r="E442" s="244"/>
      <c r="F442" s="245"/>
      <c r="G442" s="246"/>
      <c r="H442" s="247"/>
      <c r="I442" s="306"/>
      <c r="J442" s="246"/>
      <c r="K442" s="547" t="s">
        <v>248</v>
      </c>
      <c r="L442" s="548" t="s">
        <v>249</v>
      </c>
      <c r="M442" s="104" t="s">
        <v>51</v>
      </c>
      <c r="N442" s="260">
        <v>81000</v>
      </c>
      <c r="O442" s="260">
        <v>5670</v>
      </c>
      <c r="P442" s="260">
        <f t="shared" si="70"/>
        <v>86670</v>
      </c>
      <c r="Q442" s="212"/>
      <c r="R442" s="165"/>
      <c r="S442" s="166"/>
      <c r="T442" s="167"/>
      <c r="U442" s="568"/>
      <c r="V442" s="166"/>
      <c r="W442" s="568"/>
      <c r="X442" s="568"/>
      <c r="Y442" s="166"/>
      <c r="Z442" s="232"/>
      <c r="AA442" s="229">
        <v>18060230</v>
      </c>
      <c r="AB442" s="230">
        <v>20250</v>
      </c>
      <c r="AC442" s="233">
        <f t="shared" si="75"/>
        <v>1417.5</v>
      </c>
      <c r="AD442" s="233">
        <f t="shared" si="76"/>
        <v>21667.5</v>
      </c>
      <c r="AE442" s="221">
        <v>43299</v>
      </c>
      <c r="AF442" s="121" t="s">
        <v>869</v>
      </c>
      <c r="AG442" s="121"/>
      <c r="AH442" s="121"/>
      <c r="AI442" s="222" t="s">
        <v>2221</v>
      </c>
      <c r="AJ442" s="128">
        <v>1</v>
      </c>
      <c r="AK442" s="129" t="s">
        <v>680</v>
      </c>
      <c r="AL442" s="130"/>
      <c r="AM442" s="130"/>
      <c r="AN442" s="131">
        <v>1</v>
      </c>
      <c r="AO442" s="132" t="s">
        <v>628</v>
      </c>
      <c r="AP442" s="361"/>
      <c r="AQ442" s="361"/>
      <c r="AR442" s="128"/>
      <c r="AS442" s="128"/>
      <c r="AT442" s="361"/>
      <c r="AU442" s="133"/>
      <c r="AV442" s="361"/>
      <c r="AW442" s="361"/>
      <c r="AX442" s="128"/>
      <c r="AY442" s="128"/>
      <c r="AZ442" s="361"/>
      <c r="BA442" s="133"/>
      <c r="BB442" s="361"/>
      <c r="BC442" s="361"/>
      <c r="BD442" s="128"/>
      <c r="BE442" s="128"/>
      <c r="BF442" s="361"/>
      <c r="BG442" s="133"/>
      <c r="BH442" s="361"/>
      <c r="BI442" s="361"/>
      <c r="BJ442" s="128"/>
      <c r="BK442" s="128"/>
      <c r="BL442" s="361"/>
      <c r="BM442" s="361"/>
      <c r="BN442" s="361"/>
      <c r="BO442" s="361"/>
      <c r="BP442" s="128"/>
      <c r="BQ442" s="128"/>
      <c r="BR442" s="361"/>
      <c r="BS442" s="361"/>
      <c r="BT442" s="361"/>
      <c r="BU442" s="361"/>
      <c r="BV442" s="128"/>
      <c r="BW442" s="128"/>
      <c r="BX442" s="361"/>
      <c r="BY442" s="361"/>
      <c r="BZ442" s="361"/>
      <c r="CA442" s="361"/>
      <c r="CB442" s="128"/>
      <c r="CC442" s="128"/>
      <c r="CD442" s="361"/>
      <c r="CE442" s="361"/>
    </row>
    <row r="443" spans="1:83" x14ac:dyDescent="0.5">
      <c r="A443" s="262"/>
      <c r="B443" s="135"/>
      <c r="C443" s="276"/>
      <c r="D443" s="277"/>
      <c r="E443" s="278"/>
      <c r="F443" s="279"/>
      <c r="G443" s="280"/>
      <c r="H443" s="281"/>
      <c r="I443" s="836"/>
      <c r="J443" s="280"/>
      <c r="K443" s="255"/>
      <c r="L443" s="300"/>
      <c r="M443" s="135"/>
      <c r="N443" s="253"/>
      <c r="O443" s="253"/>
      <c r="P443" s="253"/>
      <c r="Q443" s="213"/>
      <c r="R443" s="172"/>
      <c r="S443" s="173"/>
      <c r="T443" s="174"/>
      <c r="U443" s="570"/>
      <c r="V443" s="173"/>
      <c r="W443" s="570"/>
      <c r="X443" s="570"/>
      <c r="Y443" s="173"/>
      <c r="Z443" s="283"/>
      <c r="AA443" s="292">
        <v>18110450</v>
      </c>
      <c r="AB443" s="293">
        <v>20250</v>
      </c>
      <c r="AC443" s="294">
        <f t="shared" si="75"/>
        <v>1417.5</v>
      </c>
      <c r="AD443" s="294">
        <f t="shared" si="76"/>
        <v>21667.5</v>
      </c>
      <c r="AE443" s="295">
        <v>43450</v>
      </c>
      <c r="AF443" s="296" t="s">
        <v>869</v>
      </c>
      <c r="AG443" s="296"/>
      <c r="AH443" s="296"/>
      <c r="AI443" s="308" t="s">
        <v>2222</v>
      </c>
      <c r="AJ443" s="158"/>
      <c r="AK443" s="159"/>
      <c r="AL443" s="160"/>
      <c r="AM443" s="160"/>
      <c r="AN443" s="161"/>
      <c r="AO443" s="162"/>
      <c r="AP443" s="458"/>
      <c r="AQ443" s="458"/>
      <c r="AR443" s="158"/>
      <c r="AS443" s="158"/>
      <c r="AT443" s="458"/>
      <c r="AU443" s="163"/>
      <c r="AV443" s="458"/>
      <c r="AW443" s="458"/>
      <c r="AX443" s="158"/>
      <c r="AY443" s="158"/>
      <c r="AZ443" s="458"/>
      <c r="BA443" s="163"/>
      <c r="BB443" s="458"/>
      <c r="BC443" s="458"/>
      <c r="BD443" s="158"/>
      <c r="BE443" s="158"/>
      <c r="BF443" s="458"/>
      <c r="BG443" s="163"/>
      <c r="BH443" s="458"/>
      <c r="BI443" s="458"/>
      <c r="BJ443" s="158"/>
      <c r="BK443" s="158"/>
      <c r="BL443" s="458"/>
      <c r="BM443" s="458"/>
      <c r="BN443" s="458"/>
      <c r="BO443" s="458"/>
      <c r="BP443" s="158"/>
      <c r="BQ443" s="158"/>
      <c r="BR443" s="458"/>
      <c r="BS443" s="458"/>
      <c r="BT443" s="458"/>
      <c r="BU443" s="458"/>
      <c r="BV443" s="158"/>
      <c r="BW443" s="158"/>
      <c r="BX443" s="458"/>
      <c r="BY443" s="458"/>
      <c r="BZ443" s="458"/>
      <c r="CA443" s="458"/>
      <c r="CB443" s="158"/>
      <c r="CC443" s="158"/>
      <c r="CD443" s="458"/>
      <c r="CE443" s="458"/>
    </row>
    <row r="444" spans="1:83" x14ac:dyDescent="0.5">
      <c r="A444" s="262"/>
      <c r="B444" s="135"/>
      <c r="C444" s="276"/>
      <c r="D444" s="277"/>
      <c r="E444" s="278"/>
      <c r="F444" s="279"/>
      <c r="G444" s="280"/>
      <c r="H444" s="281"/>
      <c r="I444" s="836"/>
      <c r="J444" s="280"/>
      <c r="K444" s="255"/>
      <c r="L444" s="300"/>
      <c r="M444" s="135"/>
      <c r="N444" s="253"/>
      <c r="O444" s="253"/>
      <c r="P444" s="253"/>
      <c r="Q444" s="213"/>
      <c r="R444" s="172"/>
      <c r="S444" s="173"/>
      <c r="T444" s="174"/>
      <c r="U444" s="570"/>
      <c r="V444" s="173"/>
      <c r="W444" s="570"/>
      <c r="X444" s="570"/>
      <c r="Y444" s="173"/>
      <c r="Z444" s="283"/>
      <c r="AA444" s="292">
        <v>19040117</v>
      </c>
      <c r="AB444" s="293">
        <v>20250</v>
      </c>
      <c r="AC444" s="294">
        <f t="shared" si="75"/>
        <v>1417.5</v>
      </c>
      <c r="AD444" s="294">
        <f t="shared" si="76"/>
        <v>21667.5</v>
      </c>
      <c r="AE444" s="295">
        <v>43587</v>
      </c>
      <c r="AF444" s="296" t="s">
        <v>869</v>
      </c>
      <c r="AG444" s="296"/>
      <c r="AH444" s="296"/>
      <c r="AI444" s="308" t="s">
        <v>2359</v>
      </c>
      <c r="AJ444" s="158"/>
      <c r="AK444" s="159"/>
      <c r="AL444" s="160"/>
      <c r="AM444" s="160"/>
      <c r="AN444" s="161"/>
      <c r="AO444" s="162"/>
      <c r="AP444" s="458"/>
      <c r="AQ444" s="458"/>
      <c r="AR444" s="158"/>
      <c r="AS444" s="158"/>
      <c r="AT444" s="458"/>
      <c r="AU444" s="163"/>
      <c r="AV444" s="458"/>
      <c r="AW444" s="458"/>
      <c r="AX444" s="158"/>
      <c r="AY444" s="158"/>
      <c r="AZ444" s="458"/>
      <c r="BA444" s="163"/>
      <c r="BB444" s="458"/>
      <c r="BC444" s="458"/>
      <c r="BD444" s="158"/>
      <c r="BE444" s="158"/>
      <c r="BF444" s="458"/>
      <c r="BG444" s="163"/>
      <c r="BH444" s="458"/>
      <c r="BI444" s="458"/>
      <c r="BJ444" s="158"/>
      <c r="BK444" s="158"/>
      <c r="BL444" s="458"/>
      <c r="BM444" s="458"/>
      <c r="BN444" s="458"/>
      <c r="BO444" s="458"/>
      <c r="BP444" s="158"/>
      <c r="BQ444" s="158"/>
      <c r="BR444" s="458"/>
      <c r="BS444" s="458"/>
      <c r="BT444" s="458"/>
      <c r="BU444" s="458"/>
      <c r="BV444" s="158"/>
      <c r="BW444" s="158"/>
      <c r="BX444" s="458"/>
      <c r="BY444" s="458"/>
      <c r="BZ444" s="458"/>
      <c r="CA444" s="458"/>
      <c r="CB444" s="158"/>
      <c r="CC444" s="158"/>
      <c r="CD444" s="458"/>
      <c r="CE444" s="458"/>
    </row>
    <row r="445" spans="1:83" x14ac:dyDescent="0.5">
      <c r="A445" s="262"/>
      <c r="B445" s="135"/>
      <c r="C445" s="276"/>
      <c r="D445" s="277"/>
      <c r="E445" s="278"/>
      <c r="F445" s="279"/>
      <c r="G445" s="280"/>
      <c r="H445" s="281"/>
      <c r="I445" s="836"/>
      <c r="J445" s="280"/>
      <c r="K445" s="255"/>
      <c r="L445" s="300"/>
      <c r="M445" s="135"/>
      <c r="N445" s="253"/>
      <c r="O445" s="253"/>
      <c r="P445" s="253"/>
      <c r="Q445" s="213"/>
      <c r="R445" s="172"/>
      <c r="S445" s="173"/>
      <c r="T445" s="174"/>
      <c r="U445" s="570"/>
      <c r="V445" s="173"/>
      <c r="W445" s="570"/>
      <c r="X445" s="570"/>
      <c r="Y445" s="173"/>
      <c r="Z445" s="283"/>
      <c r="AA445" s="154">
        <v>19100403</v>
      </c>
      <c r="AB445" s="155">
        <v>20250</v>
      </c>
      <c r="AC445" s="253">
        <f t="shared" si="75"/>
        <v>1417.5</v>
      </c>
      <c r="AD445" s="253">
        <f t="shared" si="76"/>
        <v>21667.5</v>
      </c>
      <c r="AE445" s="157">
        <v>43784</v>
      </c>
      <c r="AF445" s="152" t="s">
        <v>869</v>
      </c>
      <c r="AG445" s="152"/>
      <c r="AH445" s="152"/>
      <c r="AI445" s="134" t="s">
        <v>3472</v>
      </c>
      <c r="AJ445" s="158"/>
      <c r="AK445" s="159"/>
      <c r="AL445" s="160"/>
      <c r="AM445" s="160"/>
      <c r="AN445" s="161"/>
      <c r="AO445" s="162"/>
      <c r="AP445" s="458"/>
      <c r="AQ445" s="458"/>
      <c r="AR445" s="158"/>
      <c r="AS445" s="158"/>
      <c r="AT445" s="458"/>
      <c r="AU445" s="163"/>
      <c r="AV445" s="458"/>
      <c r="AW445" s="458"/>
      <c r="AX445" s="158"/>
      <c r="AY445" s="158"/>
      <c r="AZ445" s="458"/>
      <c r="BA445" s="163"/>
      <c r="BB445" s="458"/>
      <c r="BC445" s="458"/>
      <c r="BD445" s="158"/>
      <c r="BE445" s="158"/>
      <c r="BF445" s="458"/>
      <c r="BG445" s="163"/>
      <c r="BH445" s="458"/>
      <c r="BI445" s="458"/>
      <c r="BJ445" s="158"/>
      <c r="BK445" s="158"/>
      <c r="BL445" s="458"/>
      <c r="BM445" s="458"/>
      <c r="BN445" s="458"/>
      <c r="BO445" s="458"/>
      <c r="BP445" s="158"/>
      <c r="BQ445" s="158"/>
      <c r="BR445" s="458"/>
      <c r="BS445" s="458"/>
      <c r="BT445" s="458"/>
      <c r="BU445" s="458"/>
      <c r="BV445" s="158"/>
      <c r="BW445" s="158"/>
      <c r="BX445" s="458"/>
      <c r="BY445" s="458"/>
      <c r="BZ445" s="458"/>
      <c r="CA445" s="458"/>
      <c r="CB445" s="158"/>
      <c r="CC445" s="158"/>
      <c r="CD445" s="458"/>
      <c r="CE445" s="458"/>
    </row>
    <row r="446" spans="1:83" x14ac:dyDescent="0.5">
      <c r="A446" s="103">
        <v>18065840</v>
      </c>
      <c r="B446" s="104">
        <v>18060526</v>
      </c>
      <c r="C446" s="242"/>
      <c r="D446" s="243"/>
      <c r="E446" s="244"/>
      <c r="F446" s="245"/>
      <c r="G446" s="246"/>
      <c r="H446" s="247"/>
      <c r="I446" s="306"/>
      <c r="J446" s="246"/>
      <c r="K446" s="547" t="s">
        <v>74</v>
      </c>
      <c r="L446" s="548" t="s">
        <v>250</v>
      </c>
      <c r="M446" s="104" t="s">
        <v>51</v>
      </c>
      <c r="N446" s="260">
        <v>82000</v>
      </c>
      <c r="O446" s="260">
        <v>5740</v>
      </c>
      <c r="P446" s="260">
        <f t="shared" si="70"/>
        <v>87740</v>
      </c>
      <c r="Q446" s="212"/>
      <c r="R446" s="165"/>
      <c r="S446" s="166"/>
      <c r="T446" s="167"/>
      <c r="U446" s="568"/>
      <c r="V446" s="166"/>
      <c r="W446" s="568"/>
      <c r="X446" s="568"/>
      <c r="Y446" s="166"/>
      <c r="Z446" s="232"/>
      <c r="AA446" s="229">
        <v>18110457</v>
      </c>
      <c r="AB446" s="230">
        <v>20500</v>
      </c>
      <c r="AC446" s="233">
        <f t="shared" si="75"/>
        <v>1435</v>
      </c>
      <c r="AD446" s="233">
        <f t="shared" si="76"/>
        <v>21935</v>
      </c>
      <c r="AE446" s="221">
        <v>43453</v>
      </c>
      <c r="AF446" s="121" t="s">
        <v>869</v>
      </c>
      <c r="AG446" s="121"/>
      <c r="AH446" s="121"/>
      <c r="AI446" s="222" t="s">
        <v>2241</v>
      </c>
      <c r="AJ446" s="128">
        <v>1</v>
      </c>
      <c r="AK446" s="129" t="s">
        <v>681</v>
      </c>
      <c r="AL446" s="130"/>
      <c r="AM446" s="130"/>
      <c r="AN446" s="131">
        <v>1</v>
      </c>
      <c r="AO446" s="132" t="s">
        <v>628</v>
      </c>
      <c r="AP446" s="361"/>
      <c r="AQ446" s="361"/>
      <c r="AR446" s="128"/>
      <c r="AS446" s="128"/>
      <c r="AT446" s="361"/>
      <c r="AU446" s="133"/>
      <c r="AV446" s="361"/>
      <c r="AW446" s="361"/>
      <c r="AX446" s="128"/>
      <c r="AY446" s="128"/>
      <c r="AZ446" s="361"/>
      <c r="BA446" s="133"/>
      <c r="BB446" s="361"/>
      <c r="BC446" s="361"/>
      <c r="BD446" s="128"/>
      <c r="BE446" s="128"/>
      <c r="BF446" s="361"/>
      <c r="BG446" s="133"/>
      <c r="BH446" s="361"/>
      <c r="BI446" s="361"/>
      <c r="BJ446" s="128"/>
      <c r="BK446" s="128"/>
      <c r="BL446" s="361"/>
      <c r="BM446" s="361"/>
      <c r="BN446" s="361"/>
      <c r="BO446" s="361"/>
      <c r="BP446" s="128"/>
      <c r="BQ446" s="128"/>
      <c r="BR446" s="361"/>
      <c r="BS446" s="361"/>
      <c r="BT446" s="361"/>
      <c r="BU446" s="361"/>
      <c r="BV446" s="128"/>
      <c r="BW446" s="128"/>
      <c r="BX446" s="361"/>
      <c r="BY446" s="361"/>
      <c r="BZ446" s="361"/>
      <c r="CA446" s="361"/>
      <c r="CB446" s="128"/>
      <c r="CC446" s="128"/>
      <c r="CD446" s="361"/>
      <c r="CE446" s="361"/>
    </row>
    <row r="447" spans="1:83" x14ac:dyDescent="0.5">
      <c r="A447" s="134"/>
      <c r="B447" s="135"/>
      <c r="C447" s="276"/>
      <c r="D447" s="277"/>
      <c r="E447" s="278"/>
      <c r="F447" s="279"/>
      <c r="G447" s="280"/>
      <c r="H447" s="281"/>
      <c r="I447" s="836"/>
      <c r="J447" s="280"/>
      <c r="K447" s="255"/>
      <c r="L447" s="300"/>
      <c r="M447" s="135"/>
      <c r="N447" s="253"/>
      <c r="O447" s="253"/>
      <c r="P447" s="253"/>
      <c r="Q447" s="213"/>
      <c r="R447" s="172"/>
      <c r="S447" s="173"/>
      <c r="T447" s="174"/>
      <c r="U447" s="570"/>
      <c r="V447" s="173"/>
      <c r="W447" s="570"/>
      <c r="X447" s="570"/>
      <c r="Y447" s="173"/>
      <c r="Z447" s="283"/>
      <c r="AA447" s="292">
        <v>18060231</v>
      </c>
      <c r="AB447" s="293">
        <v>20500</v>
      </c>
      <c r="AC447" s="294">
        <f t="shared" si="75"/>
        <v>1435</v>
      </c>
      <c r="AD447" s="294">
        <f t="shared" si="76"/>
        <v>21935</v>
      </c>
      <c r="AE447" s="295">
        <v>43299</v>
      </c>
      <c r="AF447" s="296"/>
      <c r="AG447" s="296"/>
      <c r="AH447" s="296"/>
      <c r="AI447" s="308" t="s">
        <v>1025</v>
      </c>
      <c r="AJ447" s="158"/>
      <c r="AK447" s="159"/>
      <c r="AL447" s="160"/>
      <c r="AM447" s="160"/>
      <c r="AN447" s="161"/>
      <c r="AO447" s="162"/>
      <c r="AP447" s="458"/>
      <c r="AQ447" s="458"/>
      <c r="AR447" s="158"/>
      <c r="AS447" s="158"/>
      <c r="AT447" s="458"/>
      <c r="AU447" s="163"/>
      <c r="AV447" s="458"/>
      <c r="AW447" s="458"/>
      <c r="AX447" s="158"/>
      <c r="AY447" s="158"/>
      <c r="AZ447" s="458"/>
      <c r="BA447" s="163"/>
      <c r="BB447" s="458"/>
      <c r="BC447" s="458"/>
      <c r="BD447" s="158"/>
      <c r="BE447" s="158"/>
      <c r="BF447" s="458"/>
      <c r="BG447" s="163"/>
      <c r="BH447" s="458"/>
      <c r="BI447" s="458"/>
      <c r="BJ447" s="158"/>
      <c r="BK447" s="158"/>
      <c r="BL447" s="458"/>
      <c r="BM447" s="458"/>
      <c r="BN447" s="458"/>
      <c r="BO447" s="458"/>
      <c r="BP447" s="158"/>
      <c r="BQ447" s="158"/>
      <c r="BR447" s="458"/>
      <c r="BS447" s="458"/>
      <c r="BT447" s="458"/>
      <c r="BU447" s="458"/>
      <c r="BV447" s="158"/>
      <c r="BW447" s="158"/>
      <c r="BX447" s="458"/>
      <c r="BY447" s="458"/>
      <c r="BZ447" s="458"/>
      <c r="CA447" s="458"/>
      <c r="CB447" s="158"/>
      <c r="CC447" s="158"/>
      <c r="CD447" s="458"/>
      <c r="CE447" s="458"/>
    </row>
    <row r="448" spans="1:83" x14ac:dyDescent="0.5">
      <c r="A448" s="134"/>
      <c r="B448" s="135"/>
      <c r="C448" s="276"/>
      <c r="D448" s="277"/>
      <c r="E448" s="278"/>
      <c r="F448" s="279"/>
      <c r="G448" s="280"/>
      <c r="H448" s="281"/>
      <c r="I448" s="836"/>
      <c r="J448" s="280"/>
      <c r="K448" s="255"/>
      <c r="L448" s="300"/>
      <c r="M448" s="135"/>
      <c r="N448" s="253"/>
      <c r="O448" s="253"/>
      <c r="P448" s="253"/>
      <c r="Q448" s="213"/>
      <c r="R448" s="172"/>
      <c r="S448" s="173"/>
      <c r="T448" s="174"/>
      <c r="U448" s="570"/>
      <c r="V448" s="173"/>
      <c r="W448" s="570"/>
      <c r="X448" s="570"/>
      <c r="Y448" s="173"/>
      <c r="Z448" s="283"/>
      <c r="AA448" s="857">
        <v>19040116</v>
      </c>
      <c r="AB448" s="858">
        <v>20500</v>
      </c>
      <c r="AC448" s="859">
        <f t="shared" si="75"/>
        <v>1435</v>
      </c>
      <c r="AD448" s="859">
        <f t="shared" si="76"/>
        <v>21935</v>
      </c>
      <c r="AE448" s="860">
        <v>43587</v>
      </c>
      <c r="AF448" s="861"/>
      <c r="AG448" s="861"/>
      <c r="AH448" s="861" t="s">
        <v>869</v>
      </c>
      <c r="AI448" s="862" t="s">
        <v>1022</v>
      </c>
      <c r="AJ448" s="158"/>
      <c r="AK448" s="159"/>
      <c r="AL448" s="160"/>
      <c r="AM448" s="160"/>
      <c r="AN448" s="161"/>
      <c r="AO448" s="162"/>
      <c r="AP448" s="458"/>
      <c r="AQ448" s="458"/>
      <c r="AR448" s="158"/>
      <c r="AS448" s="158"/>
      <c r="AT448" s="458"/>
      <c r="AU448" s="163"/>
      <c r="AV448" s="458"/>
      <c r="AW448" s="458"/>
      <c r="AX448" s="158"/>
      <c r="AY448" s="158"/>
      <c r="AZ448" s="458"/>
      <c r="BA448" s="163"/>
      <c r="BB448" s="458"/>
      <c r="BC448" s="458"/>
      <c r="BD448" s="158"/>
      <c r="BE448" s="158"/>
      <c r="BF448" s="458"/>
      <c r="BG448" s="163"/>
      <c r="BH448" s="458"/>
      <c r="BI448" s="458"/>
      <c r="BJ448" s="158"/>
      <c r="BK448" s="158"/>
      <c r="BL448" s="458"/>
      <c r="BM448" s="458"/>
      <c r="BN448" s="458"/>
      <c r="BO448" s="458"/>
      <c r="BP448" s="158"/>
      <c r="BQ448" s="158"/>
      <c r="BR448" s="458"/>
      <c r="BS448" s="458"/>
      <c r="BT448" s="458"/>
      <c r="BU448" s="458"/>
      <c r="BV448" s="158"/>
      <c r="BW448" s="158"/>
      <c r="BX448" s="458"/>
      <c r="BY448" s="458"/>
      <c r="BZ448" s="458"/>
      <c r="CA448" s="458"/>
      <c r="CB448" s="158"/>
      <c r="CC448" s="158"/>
      <c r="CD448" s="458"/>
      <c r="CE448" s="458"/>
    </row>
    <row r="449" spans="1:83" x14ac:dyDescent="0.5">
      <c r="A449" s="134"/>
      <c r="B449" s="135"/>
      <c r="C449" s="276"/>
      <c r="D449" s="277"/>
      <c r="E449" s="278"/>
      <c r="F449" s="279"/>
      <c r="G449" s="280"/>
      <c r="H449" s="281"/>
      <c r="I449" s="836"/>
      <c r="J449" s="280"/>
      <c r="K449" s="255"/>
      <c r="L449" s="300"/>
      <c r="M449" s="135"/>
      <c r="N449" s="253"/>
      <c r="O449" s="253"/>
      <c r="P449" s="253"/>
      <c r="Q449" s="213"/>
      <c r="R449" s="172"/>
      <c r="S449" s="173"/>
      <c r="T449" s="174"/>
      <c r="U449" s="570"/>
      <c r="V449" s="173"/>
      <c r="W449" s="570"/>
      <c r="X449" s="570"/>
      <c r="Y449" s="173"/>
      <c r="Z449" s="283"/>
      <c r="AA449" s="857">
        <v>19100402</v>
      </c>
      <c r="AB449" s="858">
        <v>20500</v>
      </c>
      <c r="AC449" s="859">
        <f t="shared" si="75"/>
        <v>1435</v>
      </c>
      <c r="AD449" s="859">
        <f t="shared" si="76"/>
        <v>21935</v>
      </c>
      <c r="AE449" s="860">
        <v>43784</v>
      </c>
      <c r="AF449" s="861"/>
      <c r="AG449" s="861"/>
      <c r="AH449" s="861" t="s">
        <v>869</v>
      </c>
      <c r="AI449" s="862" t="s">
        <v>2698</v>
      </c>
      <c r="AJ449" s="158"/>
      <c r="AK449" s="159"/>
      <c r="AL449" s="160"/>
      <c r="AM449" s="160"/>
      <c r="AN449" s="161"/>
      <c r="AO449" s="162"/>
      <c r="AP449" s="458"/>
      <c r="AQ449" s="458"/>
      <c r="AR449" s="158"/>
      <c r="AS449" s="158"/>
      <c r="AT449" s="458"/>
      <c r="AU449" s="163"/>
      <c r="AV449" s="458"/>
      <c r="AW449" s="458"/>
      <c r="AX449" s="158"/>
      <c r="AY449" s="158"/>
      <c r="AZ449" s="458"/>
      <c r="BA449" s="163"/>
      <c r="BB449" s="458"/>
      <c r="BC449" s="458"/>
      <c r="BD449" s="158"/>
      <c r="BE449" s="158"/>
      <c r="BF449" s="458"/>
      <c r="BG449" s="163"/>
      <c r="BH449" s="458"/>
      <c r="BI449" s="458"/>
      <c r="BJ449" s="158"/>
      <c r="BK449" s="158"/>
      <c r="BL449" s="458"/>
      <c r="BM449" s="458"/>
      <c r="BN449" s="458"/>
      <c r="BO449" s="458"/>
      <c r="BP449" s="158"/>
      <c r="BQ449" s="158"/>
      <c r="BR449" s="458"/>
      <c r="BS449" s="458"/>
      <c r="BT449" s="458"/>
      <c r="BU449" s="458"/>
      <c r="BV449" s="158"/>
      <c r="BW449" s="158"/>
      <c r="BX449" s="458"/>
      <c r="BY449" s="458"/>
      <c r="BZ449" s="458"/>
      <c r="CA449" s="458"/>
      <c r="CB449" s="158"/>
      <c r="CC449" s="158"/>
      <c r="CD449" s="458"/>
      <c r="CE449" s="458"/>
    </row>
    <row r="450" spans="1:83" x14ac:dyDescent="0.5">
      <c r="A450" s="134"/>
      <c r="B450" s="135"/>
      <c r="C450" s="276"/>
      <c r="D450" s="277"/>
      <c r="E450" s="278"/>
      <c r="F450" s="279"/>
      <c r="G450" s="280"/>
      <c r="H450" s="281"/>
      <c r="I450" s="836"/>
      <c r="J450" s="280"/>
      <c r="K450" s="255"/>
      <c r="L450" s="300"/>
      <c r="M450" s="135"/>
      <c r="N450" s="253"/>
      <c r="O450" s="253"/>
      <c r="P450" s="253"/>
      <c r="Q450" s="213"/>
      <c r="R450" s="172"/>
      <c r="S450" s="173"/>
      <c r="T450" s="174"/>
      <c r="U450" s="570"/>
      <c r="V450" s="173"/>
      <c r="W450" s="570"/>
      <c r="X450" s="570"/>
      <c r="Y450" s="173"/>
      <c r="Z450" s="283"/>
      <c r="AA450" s="292" t="s">
        <v>3185</v>
      </c>
      <c r="AB450" s="293">
        <v>20500</v>
      </c>
      <c r="AC450" s="294">
        <f t="shared" si="75"/>
        <v>1435</v>
      </c>
      <c r="AD450" s="294">
        <f t="shared" si="76"/>
        <v>21935</v>
      </c>
      <c r="AE450" s="295">
        <v>43798</v>
      </c>
      <c r="AF450" s="296" t="s">
        <v>869</v>
      </c>
      <c r="AG450" s="296"/>
      <c r="AH450" s="296"/>
      <c r="AI450" s="308" t="s">
        <v>3614</v>
      </c>
      <c r="AJ450" s="158"/>
      <c r="AK450" s="159"/>
      <c r="AL450" s="160"/>
      <c r="AM450" s="160"/>
      <c r="AN450" s="161"/>
      <c r="AO450" s="162"/>
      <c r="AP450" s="458"/>
      <c r="AQ450" s="458"/>
      <c r="AR450" s="158"/>
      <c r="AS450" s="158"/>
      <c r="AT450" s="458"/>
      <c r="AU450" s="163"/>
      <c r="AV450" s="458"/>
      <c r="AW450" s="458"/>
      <c r="AX450" s="158"/>
      <c r="AY450" s="158"/>
      <c r="AZ450" s="458"/>
      <c r="BA450" s="163"/>
      <c r="BB450" s="458"/>
      <c r="BC450" s="458"/>
      <c r="BD450" s="158"/>
      <c r="BE450" s="158"/>
      <c r="BF450" s="458"/>
      <c r="BG450" s="163"/>
      <c r="BH450" s="458"/>
      <c r="BI450" s="458"/>
      <c r="BJ450" s="158"/>
      <c r="BK450" s="158"/>
      <c r="BL450" s="458"/>
      <c r="BM450" s="458"/>
      <c r="BN450" s="458"/>
      <c r="BO450" s="458"/>
      <c r="BP450" s="158"/>
      <c r="BQ450" s="158"/>
      <c r="BR450" s="458"/>
      <c r="BS450" s="458"/>
      <c r="BT450" s="458"/>
      <c r="BU450" s="458"/>
      <c r="BV450" s="158"/>
      <c r="BW450" s="158"/>
      <c r="BX450" s="458"/>
      <c r="BY450" s="458"/>
      <c r="BZ450" s="458"/>
      <c r="CA450" s="458"/>
      <c r="CB450" s="158"/>
      <c r="CC450" s="158"/>
      <c r="CD450" s="458"/>
      <c r="CE450" s="458"/>
    </row>
    <row r="451" spans="1:83" x14ac:dyDescent="0.5">
      <c r="A451" s="134"/>
      <c r="B451" s="135"/>
      <c r="C451" s="276"/>
      <c r="D451" s="277"/>
      <c r="E451" s="278"/>
      <c r="F451" s="279"/>
      <c r="G451" s="280"/>
      <c r="H451" s="281"/>
      <c r="I451" s="836"/>
      <c r="J451" s="280"/>
      <c r="K451" s="255"/>
      <c r="L451" s="300"/>
      <c r="M451" s="135"/>
      <c r="N451" s="253"/>
      <c r="O451" s="253"/>
      <c r="P451" s="253"/>
      <c r="Q451" s="213"/>
      <c r="R451" s="172"/>
      <c r="S451" s="173"/>
      <c r="T451" s="174"/>
      <c r="U451" s="570"/>
      <c r="V451" s="173"/>
      <c r="W451" s="570"/>
      <c r="X451" s="570"/>
      <c r="Y451" s="173"/>
      <c r="Z451" s="283"/>
      <c r="AA451" s="154" t="s">
        <v>3756</v>
      </c>
      <c r="AB451" s="155">
        <v>20500</v>
      </c>
      <c r="AC451" s="253">
        <f t="shared" si="75"/>
        <v>1435</v>
      </c>
      <c r="AD451" s="253">
        <f t="shared" si="76"/>
        <v>21935</v>
      </c>
      <c r="AE451" s="157">
        <v>43937</v>
      </c>
      <c r="AF451" s="152"/>
      <c r="AG451" s="152"/>
      <c r="AH451" s="152" t="s">
        <v>869</v>
      </c>
      <c r="AI451" s="134" t="s">
        <v>3757</v>
      </c>
      <c r="AJ451" s="158"/>
      <c r="AK451" s="159"/>
      <c r="AL451" s="160"/>
      <c r="AM451" s="160"/>
      <c r="AN451" s="161"/>
      <c r="AO451" s="162"/>
      <c r="AP451" s="458"/>
      <c r="AQ451" s="458"/>
      <c r="AR451" s="158"/>
      <c r="AS451" s="158"/>
      <c r="AT451" s="458"/>
      <c r="AU451" s="163"/>
      <c r="AV451" s="458"/>
      <c r="AW451" s="458"/>
      <c r="AX451" s="158"/>
      <c r="AY451" s="158"/>
      <c r="AZ451" s="458"/>
      <c r="BA451" s="163"/>
      <c r="BB451" s="458"/>
      <c r="BC451" s="458"/>
      <c r="BD451" s="158"/>
      <c r="BE451" s="158"/>
      <c r="BF451" s="458"/>
      <c r="BG451" s="163"/>
      <c r="BH451" s="458"/>
      <c r="BI451" s="458"/>
      <c r="BJ451" s="158"/>
      <c r="BK451" s="158"/>
      <c r="BL451" s="458"/>
      <c r="BM451" s="458"/>
      <c r="BN451" s="458"/>
      <c r="BO451" s="458"/>
      <c r="BP451" s="158"/>
      <c r="BQ451" s="158"/>
      <c r="BR451" s="458"/>
      <c r="BS451" s="458"/>
      <c r="BT451" s="458"/>
      <c r="BU451" s="458"/>
      <c r="BV451" s="158"/>
      <c r="BW451" s="158"/>
      <c r="BX451" s="458"/>
      <c r="BY451" s="458"/>
      <c r="BZ451" s="458"/>
      <c r="CA451" s="458"/>
      <c r="CB451" s="158"/>
      <c r="CC451" s="158"/>
      <c r="CD451" s="458"/>
      <c r="CE451" s="458"/>
    </row>
    <row r="452" spans="1:83" x14ac:dyDescent="0.5">
      <c r="A452" s="259">
        <v>18065839</v>
      </c>
      <c r="B452" s="104">
        <v>18060523</v>
      </c>
      <c r="C452" s="242"/>
      <c r="D452" s="243"/>
      <c r="E452" s="244"/>
      <c r="F452" s="245"/>
      <c r="G452" s="246"/>
      <c r="H452" s="247"/>
      <c r="I452" s="306"/>
      <c r="J452" s="246"/>
      <c r="K452" s="547" t="s">
        <v>173</v>
      </c>
      <c r="L452" s="548" t="s">
        <v>251</v>
      </c>
      <c r="M452" s="104" t="s">
        <v>51</v>
      </c>
      <c r="N452" s="260">
        <v>118800</v>
      </c>
      <c r="O452" s="260">
        <v>8316</v>
      </c>
      <c r="P452" s="260">
        <f t="shared" si="70"/>
        <v>127116</v>
      </c>
      <c r="Q452" s="311"/>
      <c r="R452" s="113"/>
      <c r="S452" s="114"/>
      <c r="T452" s="115"/>
      <c r="U452" s="550"/>
      <c r="V452" s="551"/>
      <c r="W452" s="552"/>
      <c r="X452" s="552"/>
      <c r="Y452" s="553"/>
      <c r="Z452" s="120"/>
      <c r="AA452" s="229">
        <v>18100411</v>
      </c>
      <c r="AB452" s="230">
        <v>13200</v>
      </c>
      <c r="AC452" s="234">
        <f t="shared" ref="AC452:AC479" si="79">AB452*7/100</f>
        <v>924</v>
      </c>
      <c r="AD452" s="234">
        <f t="shared" ref="AD452:AD479" si="80">AB452+AC452</f>
        <v>14124</v>
      </c>
      <c r="AE452" s="221">
        <v>43432</v>
      </c>
      <c r="AF452" s="121" t="s">
        <v>869</v>
      </c>
      <c r="AG452" s="121"/>
      <c r="AH452" s="121"/>
      <c r="AI452" s="222" t="s">
        <v>2223</v>
      </c>
      <c r="AJ452" s="128">
        <v>1</v>
      </c>
      <c r="AK452" s="129" t="s">
        <v>682</v>
      </c>
      <c r="AL452" s="130"/>
      <c r="AM452" s="130"/>
      <c r="AN452" s="131">
        <v>1</v>
      </c>
      <c r="AO452" s="132" t="s">
        <v>628</v>
      </c>
      <c r="AP452" s="361"/>
      <c r="AQ452" s="361"/>
      <c r="AR452" s="128"/>
      <c r="AS452" s="128"/>
      <c r="AT452" s="361"/>
      <c r="AU452" s="133"/>
      <c r="AV452" s="361"/>
      <c r="AW452" s="361"/>
      <c r="AX452" s="128"/>
      <c r="AY452" s="128"/>
      <c r="AZ452" s="361"/>
      <c r="BA452" s="133"/>
      <c r="BB452" s="361"/>
      <c r="BC452" s="361"/>
      <c r="BD452" s="128"/>
      <c r="BE452" s="128"/>
      <c r="BF452" s="361"/>
      <c r="BG452" s="133"/>
      <c r="BH452" s="361"/>
      <c r="BI452" s="361"/>
      <c r="BJ452" s="128"/>
      <c r="BK452" s="128"/>
      <c r="BL452" s="361"/>
      <c r="BM452" s="361"/>
      <c r="BN452" s="361"/>
      <c r="BO452" s="361"/>
      <c r="BP452" s="128"/>
      <c r="BQ452" s="128"/>
      <c r="BR452" s="361"/>
      <c r="BS452" s="361"/>
      <c r="BT452" s="361"/>
      <c r="BU452" s="361"/>
      <c r="BV452" s="128"/>
      <c r="BW452" s="128"/>
      <c r="BX452" s="361"/>
      <c r="BY452" s="361"/>
      <c r="BZ452" s="361"/>
      <c r="CA452" s="361"/>
      <c r="CB452" s="128"/>
      <c r="CC452" s="128"/>
      <c r="CD452" s="361"/>
      <c r="CE452" s="361"/>
    </row>
    <row r="453" spans="1:83" x14ac:dyDescent="0.5">
      <c r="A453" s="262"/>
      <c r="B453" s="135"/>
      <c r="C453" s="276"/>
      <c r="D453" s="277"/>
      <c r="E453" s="278"/>
      <c r="F453" s="279"/>
      <c r="G453" s="280"/>
      <c r="H453" s="281"/>
      <c r="I453" s="836"/>
      <c r="J453" s="280"/>
      <c r="K453" s="255"/>
      <c r="L453" s="300"/>
      <c r="M453" s="135"/>
      <c r="N453" s="253"/>
      <c r="O453" s="253"/>
      <c r="P453" s="253"/>
      <c r="Q453" s="143"/>
      <c r="R453" s="144"/>
      <c r="S453" s="145"/>
      <c r="T453" s="146"/>
      <c r="U453" s="529"/>
      <c r="V453" s="555"/>
      <c r="W453" s="556"/>
      <c r="X453" s="556"/>
      <c r="Y453" s="557"/>
      <c r="Z453" s="151"/>
      <c r="AA453" s="637">
        <v>18120515</v>
      </c>
      <c r="AB453" s="537">
        <v>13200</v>
      </c>
      <c r="AC453" s="638">
        <f t="shared" si="79"/>
        <v>924</v>
      </c>
      <c r="AD453" s="538">
        <f t="shared" si="80"/>
        <v>14124</v>
      </c>
      <c r="AE453" s="539">
        <v>43482</v>
      </c>
      <c r="AF453" s="639" t="s">
        <v>869</v>
      </c>
      <c r="AG453" s="639"/>
      <c r="AH453" s="639"/>
      <c r="AI453" s="640" t="s">
        <v>2224</v>
      </c>
      <c r="AJ453" s="158"/>
      <c r="AK453" s="159"/>
      <c r="AL453" s="160"/>
      <c r="AM453" s="160"/>
      <c r="AN453" s="161"/>
      <c r="AO453" s="162"/>
      <c r="AP453" s="458"/>
      <c r="AQ453" s="458"/>
      <c r="AR453" s="158"/>
      <c r="AS453" s="158"/>
      <c r="AT453" s="458"/>
      <c r="AU453" s="163"/>
      <c r="AV453" s="458"/>
      <c r="AW453" s="458"/>
      <c r="AX453" s="158"/>
      <c r="AY453" s="158"/>
      <c r="AZ453" s="458"/>
      <c r="BA453" s="163"/>
      <c r="BB453" s="458"/>
      <c r="BC453" s="458"/>
      <c r="BD453" s="158"/>
      <c r="BE453" s="158"/>
      <c r="BF453" s="458"/>
      <c r="BG453" s="163"/>
      <c r="BH453" s="458"/>
      <c r="BI453" s="458"/>
      <c r="BJ453" s="158"/>
      <c r="BK453" s="158"/>
      <c r="BL453" s="458"/>
      <c r="BM453" s="458"/>
      <c r="BN453" s="458"/>
      <c r="BO453" s="458"/>
      <c r="BP453" s="158"/>
      <c r="BQ453" s="158"/>
      <c r="BR453" s="458"/>
      <c r="BS453" s="458"/>
      <c r="BT453" s="458"/>
      <c r="BU453" s="458"/>
      <c r="BV453" s="158"/>
      <c r="BW453" s="158"/>
      <c r="BX453" s="458"/>
      <c r="BY453" s="458"/>
      <c r="BZ453" s="458"/>
      <c r="CA453" s="458"/>
      <c r="CB453" s="158"/>
      <c r="CC453" s="158"/>
      <c r="CD453" s="458"/>
      <c r="CE453" s="458"/>
    </row>
    <row r="454" spans="1:83" x14ac:dyDescent="0.5">
      <c r="A454" s="262"/>
      <c r="B454" s="135"/>
      <c r="C454" s="276"/>
      <c r="D454" s="277"/>
      <c r="E454" s="278"/>
      <c r="F454" s="279"/>
      <c r="G454" s="280"/>
      <c r="H454" s="281"/>
      <c r="I454" s="836"/>
      <c r="J454" s="280"/>
      <c r="K454" s="255"/>
      <c r="L454" s="300"/>
      <c r="M454" s="135"/>
      <c r="N454" s="253"/>
      <c r="O454" s="253"/>
      <c r="P454" s="253"/>
      <c r="Q454" s="143"/>
      <c r="R454" s="144"/>
      <c r="S454" s="145"/>
      <c r="T454" s="146"/>
      <c r="U454" s="529"/>
      <c r="V454" s="555"/>
      <c r="W454" s="556"/>
      <c r="X454" s="556"/>
      <c r="Y454" s="557"/>
      <c r="Z454" s="151"/>
      <c r="AA454" s="292">
        <v>18060232</v>
      </c>
      <c r="AB454" s="293">
        <v>13200</v>
      </c>
      <c r="AC454" s="294">
        <f t="shared" si="79"/>
        <v>924</v>
      </c>
      <c r="AD454" s="294">
        <f t="shared" si="80"/>
        <v>14124</v>
      </c>
      <c r="AE454" s="295">
        <v>43299</v>
      </c>
      <c r="AF454" s="296" t="s">
        <v>869</v>
      </c>
      <c r="AG454" s="296"/>
      <c r="AH454" s="296"/>
      <c r="AI454" s="308" t="s">
        <v>2225</v>
      </c>
      <c r="AJ454" s="158"/>
      <c r="AK454" s="159"/>
      <c r="AL454" s="160"/>
      <c r="AM454" s="160"/>
      <c r="AN454" s="161"/>
      <c r="AO454" s="162"/>
      <c r="AP454" s="458"/>
      <c r="AQ454" s="458"/>
      <c r="AR454" s="158"/>
      <c r="AS454" s="158"/>
      <c r="AT454" s="458"/>
      <c r="AU454" s="163"/>
      <c r="AV454" s="458"/>
      <c r="AW454" s="458"/>
      <c r="AX454" s="158"/>
      <c r="AY454" s="158"/>
      <c r="AZ454" s="458"/>
      <c r="BA454" s="163"/>
      <c r="BB454" s="458"/>
      <c r="BC454" s="458"/>
      <c r="BD454" s="158"/>
      <c r="BE454" s="158"/>
      <c r="BF454" s="458"/>
      <c r="BG454" s="163"/>
      <c r="BH454" s="458"/>
      <c r="BI454" s="458"/>
      <c r="BJ454" s="158"/>
      <c r="BK454" s="158"/>
      <c r="BL454" s="458"/>
      <c r="BM454" s="458"/>
      <c r="BN454" s="458"/>
      <c r="BO454" s="458"/>
      <c r="BP454" s="158"/>
      <c r="BQ454" s="158"/>
      <c r="BR454" s="458"/>
      <c r="BS454" s="458"/>
      <c r="BT454" s="458"/>
      <c r="BU454" s="458"/>
      <c r="BV454" s="158"/>
      <c r="BW454" s="158"/>
      <c r="BX454" s="458"/>
      <c r="BY454" s="458"/>
      <c r="BZ454" s="458"/>
      <c r="CA454" s="458"/>
      <c r="CB454" s="158"/>
      <c r="CC454" s="158"/>
      <c r="CD454" s="458"/>
      <c r="CE454" s="458"/>
    </row>
    <row r="455" spans="1:83" x14ac:dyDescent="0.5">
      <c r="A455" s="262"/>
      <c r="B455" s="135"/>
      <c r="C455" s="276"/>
      <c r="D455" s="277"/>
      <c r="E455" s="278"/>
      <c r="F455" s="279"/>
      <c r="G455" s="280"/>
      <c r="H455" s="281"/>
      <c r="I455" s="836"/>
      <c r="J455" s="280"/>
      <c r="K455" s="255"/>
      <c r="L455" s="300"/>
      <c r="M455" s="135"/>
      <c r="N455" s="253"/>
      <c r="O455" s="253"/>
      <c r="P455" s="253"/>
      <c r="Q455" s="143"/>
      <c r="R455" s="144"/>
      <c r="S455" s="145"/>
      <c r="T455" s="146"/>
      <c r="U455" s="529"/>
      <c r="V455" s="555"/>
      <c r="W455" s="556"/>
      <c r="X455" s="556"/>
      <c r="Y455" s="557"/>
      <c r="Z455" s="151"/>
      <c r="AA455" s="292">
        <v>18080302</v>
      </c>
      <c r="AB455" s="293">
        <v>13200</v>
      </c>
      <c r="AC455" s="294">
        <f t="shared" si="79"/>
        <v>924</v>
      </c>
      <c r="AD455" s="294">
        <f t="shared" si="80"/>
        <v>14124</v>
      </c>
      <c r="AE455" s="295">
        <v>43349</v>
      </c>
      <c r="AF455" s="296" t="s">
        <v>869</v>
      </c>
      <c r="AG455" s="296"/>
      <c r="AH455" s="296"/>
      <c r="AI455" s="308" t="s">
        <v>2226</v>
      </c>
      <c r="AJ455" s="158"/>
      <c r="AK455" s="159"/>
      <c r="AL455" s="160"/>
      <c r="AM455" s="160"/>
      <c r="AN455" s="161"/>
      <c r="AO455" s="162"/>
      <c r="AP455" s="458"/>
      <c r="AQ455" s="458"/>
      <c r="AR455" s="158"/>
      <c r="AS455" s="158"/>
      <c r="AT455" s="458"/>
      <c r="AU455" s="163"/>
      <c r="AV455" s="458"/>
      <c r="AW455" s="458"/>
      <c r="AX455" s="158"/>
      <c r="AY455" s="158"/>
      <c r="AZ455" s="458"/>
      <c r="BA455" s="163"/>
      <c r="BB455" s="458"/>
      <c r="BC455" s="458"/>
      <c r="BD455" s="158"/>
      <c r="BE455" s="158"/>
      <c r="BF455" s="458"/>
      <c r="BG455" s="163"/>
      <c r="BH455" s="458"/>
      <c r="BI455" s="458"/>
      <c r="BJ455" s="158"/>
      <c r="BK455" s="158"/>
      <c r="BL455" s="458"/>
      <c r="BM455" s="458"/>
      <c r="BN455" s="458"/>
      <c r="BO455" s="458"/>
      <c r="BP455" s="158"/>
      <c r="BQ455" s="158"/>
      <c r="BR455" s="458"/>
      <c r="BS455" s="458"/>
      <c r="BT455" s="458"/>
      <c r="BU455" s="458"/>
      <c r="BV455" s="158"/>
      <c r="BW455" s="158"/>
      <c r="BX455" s="458"/>
      <c r="BY455" s="458"/>
      <c r="BZ455" s="458"/>
      <c r="CA455" s="458"/>
      <c r="CB455" s="158"/>
      <c r="CC455" s="158"/>
      <c r="CD455" s="458"/>
      <c r="CE455" s="458"/>
    </row>
    <row r="456" spans="1:83" x14ac:dyDescent="0.5">
      <c r="A456" s="262"/>
      <c r="B456" s="135"/>
      <c r="C456" s="276"/>
      <c r="D456" s="277"/>
      <c r="E456" s="278"/>
      <c r="F456" s="279"/>
      <c r="G456" s="280"/>
      <c r="H456" s="281"/>
      <c r="I456" s="836"/>
      <c r="J456" s="280"/>
      <c r="K456" s="255"/>
      <c r="L456" s="300"/>
      <c r="M456" s="135"/>
      <c r="N456" s="253"/>
      <c r="O456" s="253"/>
      <c r="P456" s="253"/>
      <c r="Q456" s="143"/>
      <c r="R456" s="144"/>
      <c r="S456" s="145"/>
      <c r="T456" s="146"/>
      <c r="U456" s="529"/>
      <c r="V456" s="555"/>
      <c r="W456" s="556"/>
      <c r="X456" s="556"/>
      <c r="Y456" s="557"/>
      <c r="Z456" s="151"/>
      <c r="AA456" s="292">
        <v>19020041</v>
      </c>
      <c r="AB456" s="293">
        <v>13200</v>
      </c>
      <c r="AC456" s="294">
        <f t="shared" si="79"/>
        <v>924</v>
      </c>
      <c r="AD456" s="294">
        <f t="shared" si="80"/>
        <v>14124</v>
      </c>
      <c r="AE456" s="295">
        <v>43537</v>
      </c>
      <c r="AF456" s="296" t="s">
        <v>869</v>
      </c>
      <c r="AG456" s="296"/>
      <c r="AH456" s="296"/>
      <c r="AI456" s="308" t="s">
        <v>2227</v>
      </c>
      <c r="AJ456" s="158"/>
      <c r="AK456" s="159"/>
      <c r="AL456" s="160"/>
      <c r="AM456" s="160"/>
      <c r="AN456" s="161"/>
      <c r="AO456" s="162"/>
      <c r="AP456" s="458"/>
      <c r="AQ456" s="458"/>
      <c r="AR456" s="158"/>
      <c r="AS456" s="158"/>
      <c r="AT456" s="458"/>
      <c r="AU456" s="163"/>
      <c r="AV456" s="458"/>
      <c r="AW456" s="458"/>
      <c r="AX456" s="158"/>
      <c r="AY456" s="158"/>
      <c r="AZ456" s="458"/>
      <c r="BA456" s="163"/>
      <c r="BB456" s="458"/>
      <c r="BC456" s="458"/>
      <c r="BD456" s="158"/>
      <c r="BE456" s="158"/>
      <c r="BF456" s="458"/>
      <c r="BG456" s="163"/>
      <c r="BH456" s="458"/>
      <c r="BI456" s="458"/>
      <c r="BJ456" s="158"/>
      <c r="BK456" s="158"/>
      <c r="BL456" s="458"/>
      <c r="BM456" s="458"/>
      <c r="BN456" s="458"/>
      <c r="BO456" s="458"/>
      <c r="BP456" s="158"/>
      <c r="BQ456" s="158"/>
      <c r="BR456" s="458"/>
      <c r="BS456" s="458"/>
      <c r="BT456" s="458"/>
      <c r="BU456" s="458"/>
      <c r="BV456" s="158"/>
      <c r="BW456" s="158"/>
      <c r="BX456" s="458"/>
      <c r="BY456" s="458"/>
      <c r="BZ456" s="458"/>
      <c r="CA456" s="458"/>
      <c r="CB456" s="158"/>
      <c r="CC456" s="158"/>
      <c r="CD456" s="458"/>
      <c r="CE456" s="458"/>
    </row>
    <row r="457" spans="1:83" x14ac:dyDescent="0.5">
      <c r="A457" s="262"/>
      <c r="B457" s="135"/>
      <c r="C457" s="276"/>
      <c r="D457" s="277"/>
      <c r="E457" s="278"/>
      <c r="F457" s="279"/>
      <c r="G457" s="280"/>
      <c r="H457" s="281"/>
      <c r="I457" s="836"/>
      <c r="J457" s="280"/>
      <c r="K457" s="255"/>
      <c r="L457" s="300"/>
      <c r="M457" s="135"/>
      <c r="N457" s="253"/>
      <c r="O457" s="253"/>
      <c r="P457" s="253"/>
      <c r="Q457" s="143"/>
      <c r="R457" s="144"/>
      <c r="S457" s="145"/>
      <c r="T457" s="146"/>
      <c r="U457" s="529"/>
      <c r="V457" s="555"/>
      <c r="W457" s="556"/>
      <c r="X457" s="556"/>
      <c r="Y457" s="557"/>
      <c r="Z457" s="151"/>
      <c r="AA457" s="292">
        <v>19040111</v>
      </c>
      <c r="AB457" s="293">
        <v>13200</v>
      </c>
      <c r="AC457" s="294">
        <f t="shared" si="79"/>
        <v>924</v>
      </c>
      <c r="AD457" s="294">
        <f t="shared" si="80"/>
        <v>14124</v>
      </c>
      <c r="AE457" s="295">
        <v>43587</v>
      </c>
      <c r="AF457" s="296" t="s">
        <v>869</v>
      </c>
      <c r="AG457" s="296"/>
      <c r="AH457" s="296"/>
      <c r="AI457" s="308" t="s">
        <v>2366</v>
      </c>
      <c r="AJ457" s="158"/>
      <c r="AK457" s="159"/>
      <c r="AL457" s="160"/>
      <c r="AM457" s="160"/>
      <c r="AN457" s="161"/>
      <c r="AO457" s="162"/>
      <c r="AP457" s="458"/>
      <c r="AQ457" s="458"/>
      <c r="AR457" s="158"/>
      <c r="AS457" s="158"/>
      <c r="AT457" s="458"/>
      <c r="AU457" s="163"/>
      <c r="AV457" s="458"/>
      <c r="AW457" s="458"/>
      <c r="AX457" s="158"/>
      <c r="AY457" s="158"/>
      <c r="AZ457" s="458"/>
      <c r="BA457" s="163"/>
      <c r="BB457" s="458"/>
      <c r="BC457" s="458"/>
      <c r="BD457" s="158"/>
      <c r="BE457" s="158"/>
      <c r="BF457" s="458"/>
      <c r="BG457" s="163"/>
      <c r="BH457" s="458"/>
      <c r="BI457" s="458"/>
      <c r="BJ457" s="158"/>
      <c r="BK457" s="158"/>
      <c r="BL457" s="458"/>
      <c r="BM457" s="458"/>
      <c r="BN457" s="458"/>
      <c r="BO457" s="458"/>
      <c r="BP457" s="158"/>
      <c r="BQ457" s="158"/>
      <c r="BR457" s="458"/>
      <c r="BS457" s="458"/>
      <c r="BT457" s="458"/>
      <c r="BU457" s="458"/>
      <c r="BV457" s="158"/>
      <c r="BW457" s="158"/>
      <c r="BX457" s="458"/>
      <c r="BY457" s="458"/>
      <c r="BZ457" s="458"/>
      <c r="CA457" s="458"/>
      <c r="CB457" s="158"/>
      <c r="CC457" s="158"/>
      <c r="CD457" s="458"/>
      <c r="CE457" s="458"/>
    </row>
    <row r="458" spans="1:83" x14ac:dyDescent="0.5">
      <c r="A458" s="262"/>
      <c r="B458" s="135"/>
      <c r="C458" s="276"/>
      <c r="D458" s="277"/>
      <c r="E458" s="278"/>
      <c r="F458" s="279"/>
      <c r="G458" s="280"/>
      <c r="H458" s="281"/>
      <c r="I458" s="836"/>
      <c r="J458" s="280"/>
      <c r="K458" s="255"/>
      <c r="L458" s="300"/>
      <c r="M458" s="135"/>
      <c r="N458" s="253"/>
      <c r="O458" s="253"/>
      <c r="P458" s="253"/>
      <c r="Q458" s="143"/>
      <c r="R458" s="144"/>
      <c r="S458" s="145"/>
      <c r="T458" s="146"/>
      <c r="U458" s="529"/>
      <c r="V458" s="555"/>
      <c r="W458" s="556"/>
      <c r="X458" s="556"/>
      <c r="Y458" s="557"/>
      <c r="Z458" s="151"/>
      <c r="AA458" s="292">
        <v>19060197</v>
      </c>
      <c r="AB458" s="293">
        <v>13200</v>
      </c>
      <c r="AC458" s="294">
        <f t="shared" si="79"/>
        <v>924</v>
      </c>
      <c r="AD458" s="294">
        <f t="shared" si="80"/>
        <v>14124</v>
      </c>
      <c r="AE458" s="295">
        <v>43658</v>
      </c>
      <c r="AF458" s="296" t="s">
        <v>869</v>
      </c>
      <c r="AG458" s="296"/>
      <c r="AH458" s="296"/>
      <c r="AI458" s="308" t="s">
        <v>2730</v>
      </c>
      <c r="AJ458" s="158"/>
      <c r="AK458" s="159"/>
      <c r="AL458" s="160"/>
      <c r="AM458" s="160"/>
      <c r="AN458" s="161"/>
      <c r="AO458" s="162"/>
      <c r="AP458" s="458"/>
      <c r="AQ458" s="458"/>
      <c r="AR458" s="158"/>
      <c r="AS458" s="158"/>
      <c r="AT458" s="458"/>
      <c r="AU458" s="163"/>
      <c r="AV458" s="458"/>
      <c r="AW458" s="458"/>
      <c r="AX458" s="158"/>
      <c r="AY458" s="158"/>
      <c r="AZ458" s="458"/>
      <c r="BA458" s="163"/>
      <c r="BB458" s="458"/>
      <c r="BC458" s="458"/>
      <c r="BD458" s="158"/>
      <c r="BE458" s="158"/>
      <c r="BF458" s="458"/>
      <c r="BG458" s="163"/>
      <c r="BH458" s="458"/>
      <c r="BI458" s="458"/>
      <c r="BJ458" s="158"/>
      <c r="BK458" s="158"/>
      <c r="BL458" s="458"/>
      <c r="BM458" s="458"/>
      <c r="BN458" s="458"/>
      <c r="BO458" s="458"/>
      <c r="BP458" s="158"/>
      <c r="BQ458" s="158"/>
      <c r="BR458" s="458"/>
      <c r="BS458" s="458"/>
      <c r="BT458" s="458"/>
      <c r="BU458" s="458"/>
      <c r="BV458" s="158"/>
      <c r="BW458" s="158"/>
      <c r="BX458" s="458"/>
      <c r="BY458" s="458"/>
      <c r="BZ458" s="458"/>
      <c r="CA458" s="458"/>
      <c r="CB458" s="158"/>
      <c r="CC458" s="158"/>
      <c r="CD458" s="458"/>
      <c r="CE458" s="458"/>
    </row>
    <row r="459" spans="1:83" x14ac:dyDescent="0.5">
      <c r="A459" s="262"/>
      <c r="B459" s="135"/>
      <c r="C459" s="276"/>
      <c r="D459" s="277"/>
      <c r="E459" s="278"/>
      <c r="F459" s="279"/>
      <c r="G459" s="280"/>
      <c r="H459" s="281"/>
      <c r="I459" s="836"/>
      <c r="J459" s="280"/>
      <c r="K459" s="255"/>
      <c r="L459" s="300"/>
      <c r="M459" s="135"/>
      <c r="N459" s="253"/>
      <c r="O459" s="253"/>
      <c r="P459" s="253"/>
      <c r="Q459" s="143"/>
      <c r="R459" s="144"/>
      <c r="S459" s="145"/>
      <c r="T459" s="146"/>
      <c r="U459" s="529"/>
      <c r="V459" s="555"/>
      <c r="W459" s="556"/>
      <c r="X459" s="556"/>
      <c r="Y459" s="557"/>
      <c r="Z459" s="151"/>
      <c r="AA459" s="292">
        <v>19080312</v>
      </c>
      <c r="AB459" s="293">
        <v>13200</v>
      </c>
      <c r="AC459" s="294">
        <f t="shared" si="79"/>
        <v>924</v>
      </c>
      <c r="AD459" s="294">
        <f t="shared" si="80"/>
        <v>14124</v>
      </c>
      <c r="AE459" s="295">
        <v>43728</v>
      </c>
      <c r="AF459" s="296" t="s">
        <v>869</v>
      </c>
      <c r="AG459" s="296"/>
      <c r="AH459" s="296"/>
      <c r="AI459" s="308" t="s">
        <v>3363</v>
      </c>
      <c r="AJ459" s="158"/>
      <c r="AK459" s="159"/>
      <c r="AL459" s="160"/>
      <c r="AM459" s="160"/>
      <c r="AN459" s="161"/>
      <c r="AO459" s="162"/>
      <c r="AP459" s="458"/>
      <c r="AQ459" s="458"/>
      <c r="AR459" s="158"/>
      <c r="AS459" s="158"/>
      <c r="AT459" s="458"/>
      <c r="AU459" s="163"/>
      <c r="AV459" s="458"/>
      <c r="AW459" s="458"/>
      <c r="AX459" s="158"/>
      <c r="AY459" s="158"/>
      <c r="AZ459" s="458"/>
      <c r="BA459" s="163"/>
      <c r="BB459" s="458"/>
      <c r="BC459" s="458"/>
      <c r="BD459" s="158"/>
      <c r="BE459" s="158"/>
      <c r="BF459" s="458"/>
      <c r="BG459" s="163"/>
      <c r="BH459" s="458"/>
      <c r="BI459" s="458"/>
      <c r="BJ459" s="158"/>
      <c r="BK459" s="158"/>
      <c r="BL459" s="458"/>
      <c r="BM459" s="458"/>
      <c r="BN459" s="458"/>
      <c r="BO459" s="458"/>
      <c r="BP459" s="158"/>
      <c r="BQ459" s="158"/>
      <c r="BR459" s="458"/>
      <c r="BS459" s="458"/>
      <c r="BT459" s="458"/>
      <c r="BU459" s="458"/>
      <c r="BV459" s="158"/>
      <c r="BW459" s="158"/>
      <c r="BX459" s="458"/>
      <c r="BY459" s="458"/>
      <c r="BZ459" s="458"/>
      <c r="CA459" s="458"/>
      <c r="CB459" s="158"/>
      <c r="CC459" s="158"/>
      <c r="CD459" s="458"/>
      <c r="CE459" s="458"/>
    </row>
    <row r="460" spans="1:83" x14ac:dyDescent="0.5">
      <c r="A460" s="262"/>
      <c r="B460" s="135"/>
      <c r="C460" s="276"/>
      <c r="D460" s="277"/>
      <c r="E460" s="278"/>
      <c r="F460" s="279"/>
      <c r="G460" s="280"/>
      <c r="H460" s="281"/>
      <c r="I460" s="836"/>
      <c r="J460" s="280"/>
      <c r="K460" s="255"/>
      <c r="L460" s="300"/>
      <c r="M460" s="135"/>
      <c r="N460" s="253"/>
      <c r="O460" s="253"/>
      <c r="P460" s="253"/>
      <c r="Q460" s="143"/>
      <c r="R460" s="144"/>
      <c r="S460" s="145"/>
      <c r="T460" s="146"/>
      <c r="U460" s="529"/>
      <c r="V460" s="555"/>
      <c r="W460" s="556"/>
      <c r="X460" s="556"/>
      <c r="Y460" s="557"/>
      <c r="Z460" s="151"/>
      <c r="AA460" s="154">
        <v>19100396</v>
      </c>
      <c r="AB460" s="155">
        <v>13200</v>
      </c>
      <c r="AC460" s="253">
        <f t="shared" si="79"/>
        <v>924</v>
      </c>
      <c r="AD460" s="253">
        <f t="shared" si="80"/>
        <v>14124</v>
      </c>
      <c r="AE460" s="157">
        <v>43784</v>
      </c>
      <c r="AF460" s="152" t="s">
        <v>869</v>
      </c>
      <c r="AG460" s="152"/>
      <c r="AH460" s="152"/>
      <c r="AI460" s="134" t="s">
        <v>3315</v>
      </c>
      <c r="AJ460" s="158"/>
      <c r="AK460" s="159"/>
      <c r="AL460" s="160"/>
      <c r="AM460" s="160"/>
      <c r="AN460" s="161"/>
      <c r="AO460" s="162"/>
      <c r="AP460" s="458"/>
      <c r="AQ460" s="458"/>
      <c r="AR460" s="158"/>
      <c r="AS460" s="158"/>
      <c r="AT460" s="458"/>
      <c r="AU460" s="163"/>
      <c r="AV460" s="458"/>
      <c r="AW460" s="458"/>
      <c r="AX460" s="158"/>
      <c r="AY460" s="158"/>
      <c r="AZ460" s="458"/>
      <c r="BA460" s="163"/>
      <c r="BB460" s="458"/>
      <c r="BC460" s="458"/>
      <c r="BD460" s="158"/>
      <c r="BE460" s="158"/>
      <c r="BF460" s="458"/>
      <c r="BG460" s="163"/>
      <c r="BH460" s="458"/>
      <c r="BI460" s="458"/>
      <c r="BJ460" s="158"/>
      <c r="BK460" s="158"/>
      <c r="BL460" s="458"/>
      <c r="BM460" s="458"/>
      <c r="BN460" s="458"/>
      <c r="BO460" s="458"/>
      <c r="BP460" s="158"/>
      <c r="BQ460" s="158"/>
      <c r="BR460" s="458"/>
      <c r="BS460" s="458"/>
      <c r="BT460" s="458"/>
      <c r="BU460" s="458"/>
      <c r="BV460" s="158"/>
      <c r="BW460" s="158"/>
      <c r="BX460" s="458"/>
      <c r="BY460" s="458"/>
      <c r="BZ460" s="458"/>
      <c r="CA460" s="458"/>
      <c r="CB460" s="158"/>
      <c r="CC460" s="158"/>
      <c r="CD460" s="458"/>
      <c r="CE460" s="458"/>
    </row>
    <row r="461" spans="1:83" x14ac:dyDescent="0.5">
      <c r="A461" s="259">
        <v>18065838</v>
      </c>
      <c r="B461" s="104">
        <v>18060525</v>
      </c>
      <c r="C461" s="242"/>
      <c r="D461" s="243"/>
      <c r="E461" s="244"/>
      <c r="F461" s="245"/>
      <c r="G461" s="246"/>
      <c r="H461" s="247"/>
      <c r="I461" s="306"/>
      <c r="J461" s="246"/>
      <c r="K461" s="547" t="s">
        <v>252</v>
      </c>
      <c r="L461" s="548" t="s">
        <v>254</v>
      </c>
      <c r="M461" s="104" t="s">
        <v>51</v>
      </c>
      <c r="N461" s="260">
        <v>63000</v>
      </c>
      <c r="O461" s="260">
        <v>4410</v>
      </c>
      <c r="P461" s="260">
        <f t="shared" si="70"/>
        <v>67410</v>
      </c>
      <c r="Q461" s="212"/>
      <c r="R461" s="165"/>
      <c r="S461" s="166"/>
      <c r="T461" s="167"/>
      <c r="U461" s="568"/>
      <c r="V461" s="166"/>
      <c r="W461" s="568"/>
      <c r="X461" s="568"/>
      <c r="Y461" s="166"/>
      <c r="Z461" s="232"/>
      <c r="AA461" s="229">
        <v>18060233</v>
      </c>
      <c r="AB461" s="230">
        <v>15750</v>
      </c>
      <c r="AC461" s="220">
        <f t="shared" si="79"/>
        <v>1102.5</v>
      </c>
      <c r="AD461" s="220">
        <f t="shared" si="80"/>
        <v>16852.5</v>
      </c>
      <c r="AE461" s="221">
        <v>43299</v>
      </c>
      <c r="AF461" s="121" t="s">
        <v>869</v>
      </c>
      <c r="AG461" s="121"/>
      <c r="AH461" s="121"/>
      <c r="AI461" s="222" t="s">
        <v>2228</v>
      </c>
      <c r="AJ461" s="128">
        <v>1</v>
      </c>
      <c r="AK461" s="129" t="s">
        <v>683</v>
      </c>
      <c r="AL461" s="130"/>
      <c r="AM461" s="130"/>
      <c r="AN461" s="131">
        <v>1</v>
      </c>
      <c r="AO461" s="132" t="s">
        <v>628</v>
      </c>
      <c r="AP461" s="361"/>
      <c r="AQ461" s="361"/>
      <c r="AR461" s="128"/>
      <c r="AS461" s="128"/>
      <c r="AT461" s="361"/>
      <c r="AU461" s="133"/>
      <c r="AV461" s="361"/>
      <c r="AW461" s="361"/>
      <c r="AX461" s="128"/>
      <c r="AY461" s="128"/>
      <c r="AZ461" s="361"/>
      <c r="BA461" s="133"/>
      <c r="BB461" s="361"/>
      <c r="BC461" s="361"/>
      <c r="BD461" s="128"/>
      <c r="BE461" s="128"/>
      <c r="BF461" s="361"/>
      <c r="BG461" s="133"/>
      <c r="BH461" s="361"/>
      <c r="BI461" s="361"/>
      <c r="BJ461" s="128"/>
      <c r="BK461" s="128"/>
      <c r="BL461" s="361"/>
      <c r="BM461" s="361"/>
      <c r="BN461" s="361"/>
      <c r="BO461" s="361"/>
      <c r="BP461" s="128"/>
      <c r="BQ461" s="128"/>
      <c r="BR461" s="361"/>
      <c r="BS461" s="361"/>
      <c r="BT461" s="361"/>
      <c r="BU461" s="361"/>
      <c r="BV461" s="128"/>
      <c r="BW461" s="128"/>
      <c r="BX461" s="361"/>
      <c r="BY461" s="361"/>
      <c r="BZ461" s="361"/>
      <c r="CA461" s="361"/>
      <c r="CB461" s="128"/>
      <c r="CC461" s="128"/>
      <c r="CD461" s="361"/>
      <c r="CE461" s="361"/>
    </row>
    <row r="462" spans="1:83" x14ac:dyDescent="0.5">
      <c r="A462" s="262"/>
      <c r="B462" s="135"/>
      <c r="C462" s="276"/>
      <c r="D462" s="277"/>
      <c r="E462" s="278"/>
      <c r="F462" s="279"/>
      <c r="G462" s="280"/>
      <c r="H462" s="281"/>
      <c r="I462" s="836"/>
      <c r="J462" s="280"/>
      <c r="K462" s="255"/>
      <c r="L462" s="300"/>
      <c r="M462" s="135"/>
      <c r="N462" s="253"/>
      <c r="O462" s="253"/>
      <c r="P462" s="253"/>
      <c r="Q462" s="213"/>
      <c r="R462" s="172"/>
      <c r="S462" s="173"/>
      <c r="T462" s="174"/>
      <c r="U462" s="570"/>
      <c r="V462" s="173"/>
      <c r="W462" s="570"/>
      <c r="X462" s="570"/>
      <c r="Y462" s="173"/>
      <c r="Z462" s="283"/>
      <c r="AA462" s="857">
        <v>18110448</v>
      </c>
      <c r="AB462" s="858">
        <v>15750</v>
      </c>
      <c r="AC462" s="915">
        <f t="shared" si="79"/>
        <v>1102.5</v>
      </c>
      <c r="AD462" s="915">
        <f t="shared" si="80"/>
        <v>16852.5</v>
      </c>
      <c r="AE462" s="860">
        <v>43450</v>
      </c>
      <c r="AF462" s="861"/>
      <c r="AG462" s="861"/>
      <c r="AH462" s="861" t="s">
        <v>869</v>
      </c>
      <c r="AI462" s="862" t="s">
        <v>1206</v>
      </c>
      <c r="AJ462" s="158"/>
      <c r="AK462" s="159"/>
      <c r="AL462" s="160"/>
      <c r="AM462" s="160"/>
      <c r="AN462" s="161"/>
      <c r="AO462" s="162"/>
      <c r="AP462" s="458"/>
      <c r="AQ462" s="458"/>
      <c r="AR462" s="158"/>
      <c r="AS462" s="158"/>
      <c r="AT462" s="458"/>
      <c r="AU462" s="163"/>
      <c r="AV462" s="458"/>
      <c r="AW462" s="458"/>
      <c r="AX462" s="158"/>
      <c r="AY462" s="158"/>
      <c r="AZ462" s="458"/>
      <c r="BA462" s="163"/>
      <c r="BB462" s="458"/>
      <c r="BC462" s="458"/>
      <c r="BD462" s="158"/>
      <c r="BE462" s="158"/>
      <c r="BF462" s="458"/>
      <c r="BG462" s="163"/>
      <c r="BH462" s="458"/>
      <c r="BI462" s="458"/>
      <c r="BJ462" s="158"/>
      <c r="BK462" s="158"/>
      <c r="BL462" s="458"/>
      <c r="BM462" s="458"/>
      <c r="BN462" s="458"/>
      <c r="BO462" s="458"/>
      <c r="BP462" s="158"/>
      <c r="BQ462" s="158"/>
      <c r="BR462" s="458"/>
      <c r="BS462" s="458"/>
      <c r="BT462" s="458"/>
      <c r="BU462" s="458"/>
      <c r="BV462" s="158"/>
      <c r="BW462" s="158"/>
      <c r="BX462" s="458"/>
      <c r="BY462" s="458"/>
      <c r="BZ462" s="458"/>
      <c r="CA462" s="458"/>
      <c r="CB462" s="158"/>
      <c r="CC462" s="158"/>
      <c r="CD462" s="458"/>
      <c r="CE462" s="458"/>
    </row>
    <row r="463" spans="1:83" x14ac:dyDescent="0.5">
      <c r="A463" s="262"/>
      <c r="B463" s="135"/>
      <c r="C463" s="276"/>
      <c r="D463" s="277"/>
      <c r="E463" s="278"/>
      <c r="F463" s="279"/>
      <c r="G463" s="280"/>
      <c r="H463" s="281"/>
      <c r="I463" s="836"/>
      <c r="J463" s="280"/>
      <c r="K463" s="255"/>
      <c r="L463" s="300"/>
      <c r="M463" s="135"/>
      <c r="N463" s="253"/>
      <c r="O463" s="253"/>
      <c r="P463" s="253"/>
      <c r="Q463" s="213"/>
      <c r="R463" s="172"/>
      <c r="S463" s="173"/>
      <c r="T463" s="174"/>
      <c r="U463" s="570"/>
      <c r="V463" s="173"/>
      <c r="W463" s="570"/>
      <c r="X463" s="570"/>
      <c r="Y463" s="173"/>
      <c r="Z463" s="283"/>
      <c r="AA463" s="292" t="s">
        <v>2308</v>
      </c>
      <c r="AB463" s="293">
        <v>15750</v>
      </c>
      <c r="AC463" s="307">
        <f t="shared" si="79"/>
        <v>1102.5</v>
      </c>
      <c r="AD463" s="307">
        <f t="shared" si="80"/>
        <v>16852.5</v>
      </c>
      <c r="AE463" s="295">
        <v>43640</v>
      </c>
      <c r="AF463" s="296" t="s">
        <v>869</v>
      </c>
      <c r="AG463" s="296"/>
      <c r="AH463" s="296"/>
      <c r="AI463" s="308" t="s">
        <v>2732</v>
      </c>
      <c r="AJ463" s="158"/>
      <c r="AK463" s="159"/>
      <c r="AL463" s="160"/>
      <c r="AM463" s="160"/>
      <c r="AN463" s="161"/>
      <c r="AO463" s="162"/>
      <c r="AP463" s="458"/>
      <c r="AQ463" s="458"/>
      <c r="AR463" s="158"/>
      <c r="AS463" s="158"/>
      <c r="AT463" s="458"/>
      <c r="AU463" s="163"/>
      <c r="AV463" s="458"/>
      <c r="AW463" s="458"/>
      <c r="AX463" s="158"/>
      <c r="AY463" s="158"/>
      <c r="AZ463" s="458"/>
      <c r="BA463" s="163"/>
      <c r="BB463" s="458"/>
      <c r="BC463" s="458"/>
      <c r="BD463" s="158"/>
      <c r="BE463" s="158"/>
      <c r="BF463" s="458"/>
      <c r="BG463" s="163"/>
      <c r="BH463" s="458"/>
      <c r="BI463" s="458"/>
      <c r="BJ463" s="158"/>
      <c r="BK463" s="158"/>
      <c r="BL463" s="458"/>
      <c r="BM463" s="458"/>
      <c r="BN463" s="458"/>
      <c r="BO463" s="458"/>
      <c r="BP463" s="158"/>
      <c r="BQ463" s="158"/>
      <c r="BR463" s="458"/>
      <c r="BS463" s="458"/>
      <c r="BT463" s="458"/>
      <c r="BU463" s="458"/>
      <c r="BV463" s="158"/>
      <c r="BW463" s="158"/>
      <c r="BX463" s="458"/>
      <c r="BY463" s="458"/>
      <c r="BZ463" s="458"/>
      <c r="CA463" s="458"/>
      <c r="CB463" s="158"/>
      <c r="CC463" s="158"/>
      <c r="CD463" s="458"/>
      <c r="CE463" s="458"/>
    </row>
    <row r="464" spans="1:83" x14ac:dyDescent="0.5">
      <c r="A464" s="262"/>
      <c r="B464" s="135"/>
      <c r="C464" s="276"/>
      <c r="D464" s="277"/>
      <c r="E464" s="278"/>
      <c r="F464" s="279"/>
      <c r="G464" s="280"/>
      <c r="H464" s="281"/>
      <c r="I464" s="836"/>
      <c r="J464" s="280"/>
      <c r="K464" s="255"/>
      <c r="L464" s="300"/>
      <c r="M464" s="135"/>
      <c r="N464" s="253"/>
      <c r="O464" s="253"/>
      <c r="P464" s="253"/>
      <c r="Q464" s="213"/>
      <c r="R464" s="172"/>
      <c r="S464" s="173"/>
      <c r="T464" s="174"/>
      <c r="U464" s="570"/>
      <c r="V464" s="173"/>
      <c r="W464" s="570"/>
      <c r="X464" s="570"/>
      <c r="Y464" s="173"/>
      <c r="Z464" s="283"/>
      <c r="AA464" s="292">
        <v>19040114</v>
      </c>
      <c r="AB464" s="293">
        <v>15750</v>
      </c>
      <c r="AC464" s="307">
        <f t="shared" si="79"/>
        <v>1102.5</v>
      </c>
      <c r="AD464" s="307">
        <f t="shared" si="80"/>
        <v>16852.5</v>
      </c>
      <c r="AE464" s="295">
        <v>43587</v>
      </c>
      <c r="AF464" s="296" t="s">
        <v>869</v>
      </c>
      <c r="AG464" s="296"/>
      <c r="AH464" s="296"/>
      <c r="AI464" s="308" t="s">
        <v>2771</v>
      </c>
      <c r="AJ464" s="158"/>
      <c r="AK464" s="159"/>
      <c r="AL464" s="160"/>
      <c r="AM464" s="160"/>
      <c r="AN464" s="161"/>
      <c r="AO464" s="162"/>
      <c r="AP464" s="458"/>
      <c r="AQ464" s="458"/>
      <c r="AR464" s="158"/>
      <c r="AS464" s="158"/>
      <c r="AT464" s="458"/>
      <c r="AU464" s="163"/>
      <c r="AV464" s="458"/>
      <c r="AW464" s="458"/>
      <c r="AX464" s="158"/>
      <c r="AY464" s="158"/>
      <c r="AZ464" s="458"/>
      <c r="BA464" s="163"/>
      <c r="BB464" s="458"/>
      <c r="BC464" s="458"/>
      <c r="BD464" s="158"/>
      <c r="BE464" s="158"/>
      <c r="BF464" s="458"/>
      <c r="BG464" s="163"/>
      <c r="BH464" s="458"/>
      <c r="BI464" s="458"/>
      <c r="BJ464" s="158"/>
      <c r="BK464" s="158"/>
      <c r="BL464" s="458"/>
      <c r="BM464" s="458"/>
      <c r="BN464" s="458"/>
      <c r="BO464" s="458"/>
      <c r="BP464" s="158"/>
      <c r="BQ464" s="158"/>
      <c r="BR464" s="458"/>
      <c r="BS464" s="458"/>
      <c r="BT464" s="458"/>
      <c r="BU464" s="458"/>
      <c r="BV464" s="158"/>
      <c r="BW464" s="158"/>
      <c r="BX464" s="458"/>
      <c r="BY464" s="458"/>
      <c r="BZ464" s="458"/>
      <c r="CA464" s="458"/>
      <c r="CB464" s="158"/>
      <c r="CC464" s="158"/>
      <c r="CD464" s="458"/>
      <c r="CE464" s="458"/>
    </row>
    <row r="465" spans="1:83" x14ac:dyDescent="0.5">
      <c r="A465" s="262"/>
      <c r="B465" s="135"/>
      <c r="C465" s="276"/>
      <c r="D465" s="277"/>
      <c r="E465" s="278"/>
      <c r="F465" s="279"/>
      <c r="G465" s="280"/>
      <c r="H465" s="281"/>
      <c r="I465" s="836"/>
      <c r="J465" s="280"/>
      <c r="K465" s="255"/>
      <c r="L465" s="300"/>
      <c r="M465" s="135"/>
      <c r="N465" s="253"/>
      <c r="O465" s="253"/>
      <c r="P465" s="253"/>
      <c r="Q465" s="213"/>
      <c r="R465" s="172"/>
      <c r="S465" s="173"/>
      <c r="T465" s="174"/>
      <c r="U465" s="570"/>
      <c r="V465" s="173"/>
      <c r="W465" s="570"/>
      <c r="X465" s="570"/>
      <c r="Y465" s="173"/>
      <c r="Z465" s="283"/>
      <c r="AA465" s="154">
        <v>19100400</v>
      </c>
      <c r="AB465" s="155">
        <v>15750</v>
      </c>
      <c r="AC465" s="156">
        <f t="shared" si="79"/>
        <v>1102.5</v>
      </c>
      <c r="AD465" s="156">
        <f t="shared" si="80"/>
        <v>16852.5</v>
      </c>
      <c r="AE465" s="157">
        <v>43784</v>
      </c>
      <c r="AF465" s="152" t="s">
        <v>869</v>
      </c>
      <c r="AG465" s="152"/>
      <c r="AH465" s="152"/>
      <c r="AI465" s="134" t="s">
        <v>3491</v>
      </c>
      <c r="AJ465" s="158"/>
      <c r="AK465" s="159"/>
      <c r="AL465" s="160"/>
      <c r="AM465" s="160"/>
      <c r="AN465" s="161"/>
      <c r="AO465" s="162"/>
      <c r="AP465" s="458"/>
      <c r="AQ465" s="458"/>
      <c r="AR465" s="158"/>
      <c r="AS465" s="158"/>
      <c r="AT465" s="458"/>
      <c r="AU465" s="163"/>
      <c r="AV465" s="458"/>
      <c r="AW465" s="458"/>
      <c r="AX465" s="158"/>
      <c r="AY465" s="158"/>
      <c r="AZ465" s="458"/>
      <c r="BA465" s="163"/>
      <c r="BB465" s="458"/>
      <c r="BC465" s="458"/>
      <c r="BD465" s="158"/>
      <c r="BE465" s="158"/>
      <c r="BF465" s="458"/>
      <c r="BG465" s="163"/>
      <c r="BH465" s="458"/>
      <c r="BI465" s="458"/>
      <c r="BJ465" s="158"/>
      <c r="BK465" s="158"/>
      <c r="BL465" s="458"/>
      <c r="BM465" s="458"/>
      <c r="BN465" s="458"/>
      <c r="BO465" s="458"/>
      <c r="BP465" s="158"/>
      <c r="BQ465" s="158"/>
      <c r="BR465" s="458"/>
      <c r="BS465" s="458"/>
      <c r="BT465" s="458"/>
      <c r="BU465" s="458"/>
      <c r="BV465" s="158"/>
      <c r="BW465" s="158"/>
      <c r="BX465" s="458"/>
      <c r="BY465" s="458"/>
      <c r="BZ465" s="458"/>
      <c r="CA465" s="458"/>
      <c r="CB465" s="158"/>
      <c r="CC465" s="158"/>
      <c r="CD465" s="458"/>
      <c r="CE465" s="458"/>
    </row>
    <row r="466" spans="1:83" x14ac:dyDescent="0.5">
      <c r="A466" s="259">
        <v>18065837</v>
      </c>
      <c r="B466" s="104">
        <v>18060524</v>
      </c>
      <c r="C466" s="242"/>
      <c r="D466" s="243"/>
      <c r="E466" s="244"/>
      <c r="F466" s="245"/>
      <c r="G466" s="246"/>
      <c r="H466" s="247"/>
      <c r="I466" s="306"/>
      <c r="J466" s="246"/>
      <c r="K466" s="547" t="s">
        <v>253</v>
      </c>
      <c r="L466" s="548" t="s">
        <v>255</v>
      </c>
      <c r="M466" s="104" t="s">
        <v>51</v>
      </c>
      <c r="N466" s="260">
        <v>81000</v>
      </c>
      <c r="O466" s="260">
        <v>5670</v>
      </c>
      <c r="P466" s="260">
        <f t="shared" si="70"/>
        <v>86670</v>
      </c>
      <c r="Q466" s="212"/>
      <c r="R466" s="165"/>
      <c r="S466" s="166"/>
      <c r="T466" s="167"/>
      <c r="U466" s="568"/>
      <c r="V466" s="166"/>
      <c r="W466" s="568"/>
      <c r="X466" s="568"/>
      <c r="Y466" s="166"/>
      <c r="Z466" s="232"/>
      <c r="AA466" s="229">
        <v>18060234</v>
      </c>
      <c r="AB466" s="230">
        <v>20250</v>
      </c>
      <c r="AC466" s="233">
        <f t="shared" si="79"/>
        <v>1417.5</v>
      </c>
      <c r="AD466" s="233">
        <f t="shared" si="80"/>
        <v>21667.5</v>
      </c>
      <c r="AE466" s="221">
        <v>43299</v>
      </c>
      <c r="AF466" s="121" t="s">
        <v>869</v>
      </c>
      <c r="AG466" s="121"/>
      <c r="AH466" s="121"/>
      <c r="AI466" s="222" t="s">
        <v>2229</v>
      </c>
      <c r="AJ466" s="128">
        <v>1</v>
      </c>
      <c r="AK466" s="129" t="s">
        <v>684</v>
      </c>
      <c r="AL466" s="130"/>
      <c r="AM466" s="130"/>
      <c r="AN466" s="131">
        <v>1</v>
      </c>
      <c r="AO466" s="132" t="s">
        <v>628</v>
      </c>
      <c r="AP466" s="361"/>
      <c r="AQ466" s="361"/>
      <c r="AR466" s="128"/>
      <c r="AS466" s="128"/>
      <c r="AT466" s="361"/>
      <c r="AU466" s="133"/>
      <c r="AV466" s="361"/>
      <c r="AW466" s="361"/>
      <c r="AX466" s="128"/>
      <c r="AY466" s="128"/>
      <c r="AZ466" s="361"/>
      <c r="BA466" s="133"/>
      <c r="BB466" s="361"/>
      <c r="BC466" s="361"/>
      <c r="BD466" s="128"/>
      <c r="BE466" s="128"/>
      <c r="BF466" s="361"/>
      <c r="BG466" s="133"/>
      <c r="BH466" s="361"/>
      <c r="BI466" s="361"/>
      <c r="BJ466" s="128"/>
      <c r="BK466" s="128"/>
      <c r="BL466" s="361"/>
      <c r="BM466" s="361"/>
      <c r="BN466" s="361"/>
      <c r="BO466" s="361"/>
      <c r="BP466" s="128"/>
      <c r="BQ466" s="128"/>
      <c r="BR466" s="361"/>
      <c r="BS466" s="361"/>
      <c r="BT466" s="361"/>
      <c r="BU466" s="361"/>
      <c r="BV466" s="128"/>
      <c r="BW466" s="128"/>
      <c r="BX466" s="361"/>
      <c r="BY466" s="361"/>
      <c r="BZ466" s="361"/>
      <c r="CA466" s="361"/>
      <c r="CB466" s="128"/>
      <c r="CC466" s="128"/>
      <c r="CD466" s="361"/>
      <c r="CE466" s="361"/>
    </row>
    <row r="467" spans="1:83" x14ac:dyDescent="0.5">
      <c r="A467" s="262"/>
      <c r="B467" s="135"/>
      <c r="C467" s="276"/>
      <c r="D467" s="277"/>
      <c r="E467" s="278"/>
      <c r="F467" s="279"/>
      <c r="G467" s="280"/>
      <c r="H467" s="281"/>
      <c r="I467" s="836"/>
      <c r="J467" s="280"/>
      <c r="K467" s="255"/>
      <c r="L467" s="300"/>
      <c r="M467" s="135"/>
      <c r="N467" s="253"/>
      <c r="O467" s="253"/>
      <c r="P467" s="253"/>
      <c r="Q467" s="213"/>
      <c r="R467" s="172"/>
      <c r="S467" s="173"/>
      <c r="T467" s="174"/>
      <c r="U467" s="570"/>
      <c r="V467" s="173"/>
      <c r="W467" s="570"/>
      <c r="X467" s="570"/>
      <c r="Y467" s="173"/>
      <c r="Z467" s="283"/>
      <c r="AA467" s="292">
        <v>18110474</v>
      </c>
      <c r="AB467" s="293">
        <v>20250</v>
      </c>
      <c r="AC467" s="294">
        <f t="shared" si="79"/>
        <v>1417.5</v>
      </c>
      <c r="AD467" s="294">
        <f t="shared" si="80"/>
        <v>21667.5</v>
      </c>
      <c r="AE467" s="295">
        <v>43461</v>
      </c>
      <c r="AF467" s="296" t="s">
        <v>869</v>
      </c>
      <c r="AG467" s="296"/>
      <c r="AH467" s="296"/>
      <c r="AI467" s="308" t="s">
        <v>2230</v>
      </c>
      <c r="AJ467" s="158"/>
      <c r="AK467" s="159"/>
      <c r="AL467" s="160"/>
      <c r="AM467" s="160"/>
      <c r="AN467" s="161"/>
      <c r="AO467" s="162"/>
      <c r="AP467" s="458"/>
      <c r="AQ467" s="458"/>
      <c r="AR467" s="158"/>
      <c r="AS467" s="158"/>
      <c r="AT467" s="458"/>
      <c r="AU467" s="163"/>
      <c r="AV467" s="458"/>
      <c r="AW467" s="458"/>
      <c r="AX467" s="158"/>
      <c r="AY467" s="158"/>
      <c r="AZ467" s="458"/>
      <c r="BA467" s="163"/>
      <c r="BB467" s="458"/>
      <c r="BC467" s="458"/>
      <c r="BD467" s="158"/>
      <c r="BE467" s="158"/>
      <c r="BF467" s="458"/>
      <c r="BG467" s="163"/>
      <c r="BH467" s="458"/>
      <c r="BI467" s="458"/>
      <c r="BJ467" s="158"/>
      <c r="BK467" s="158"/>
      <c r="BL467" s="458"/>
      <c r="BM467" s="458"/>
      <c r="BN467" s="458"/>
      <c r="BO467" s="458"/>
      <c r="BP467" s="158"/>
      <c r="BQ467" s="158"/>
      <c r="BR467" s="458"/>
      <c r="BS467" s="458"/>
      <c r="BT467" s="458"/>
      <c r="BU467" s="458"/>
      <c r="BV467" s="158"/>
      <c r="BW467" s="158"/>
      <c r="BX467" s="458"/>
      <c r="BY467" s="458"/>
      <c r="BZ467" s="458"/>
      <c r="CA467" s="458"/>
      <c r="CB467" s="158"/>
      <c r="CC467" s="158"/>
      <c r="CD467" s="458"/>
      <c r="CE467" s="458"/>
    </row>
    <row r="468" spans="1:83" x14ac:dyDescent="0.5">
      <c r="A468" s="262"/>
      <c r="B468" s="135"/>
      <c r="C468" s="276"/>
      <c r="D468" s="277"/>
      <c r="E468" s="278"/>
      <c r="F468" s="279"/>
      <c r="G468" s="280"/>
      <c r="H468" s="281"/>
      <c r="I468" s="836"/>
      <c r="J468" s="280"/>
      <c r="K468" s="255"/>
      <c r="L468" s="300"/>
      <c r="M468" s="135"/>
      <c r="N468" s="253"/>
      <c r="O468" s="253"/>
      <c r="P468" s="253"/>
      <c r="Q468" s="213"/>
      <c r="R468" s="172"/>
      <c r="S468" s="173"/>
      <c r="T468" s="174"/>
      <c r="U468" s="570"/>
      <c r="V468" s="173"/>
      <c r="W468" s="570"/>
      <c r="X468" s="570"/>
      <c r="Y468" s="173"/>
      <c r="Z468" s="283"/>
      <c r="AA468" s="292">
        <v>19040115</v>
      </c>
      <c r="AB468" s="293">
        <v>20250</v>
      </c>
      <c r="AC468" s="294">
        <f t="shared" si="79"/>
        <v>1417.5</v>
      </c>
      <c r="AD468" s="294">
        <f t="shared" si="80"/>
        <v>21667.5</v>
      </c>
      <c r="AE468" s="295">
        <v>43587</v>
      </c>
      <c r="AF468" s="296" t="s">
        <v>869</v>
      </c>
      <c r="AG468" s="296"/>
      <c r="AH468" s="296"/>
      <c r="AI468" s="308" t="s">
        <v>2360</v>
      </c>
      <c r="AJ468" s="158"/>
      <c r="AK468" s="159"/>
      <c r="AL468" s="160"/>
      <c r="AM468" s="160"/>
      <c r="AN468" s="161"/>
      <c r="AO468" s="162"/>
      <c r="AP468" s="458"/>
      <c r="AQ468" s="458"/>
      <c r="AR468" s="158"/>
      <c r="AS468" s="158"/>
      <c r="AT468" s="458"/>
      <c r="AU468" s="163"/>
      <c r="AV468" s="458"/>
      <c r="AW468" s="458"/>
      <c r="AX468" s="158"/>
      <c r="AY468" s="158"/>
      <c r="AZ468" s="458"/>
      <c r="BA468" s="163"/>
      <c r="BB468" s="458"/>
      <c r="BC468" s="458"/>
      <c r="BD468" s="158"/>
      <c r="BE468" s="158"/>
      <c r="BF468" s="458"/>
      <c r="BG468" s="163"/>
      <c r="BH468" s="458"/>
      <c r="BI468" s="458"/>
      <c r="BJ468" s="158"/>
      <c r="BK468" s="158"/>
      <c r="BL468" s="458"/>
      <c r="BM468" s="458"/>
      <c r="BN468" s="458"/>
      <c r="BO468" s="458"/>
      <c r="BP468" s="158"/>
      <c r="BQ468" s="158"/>
      <c r="BR468" s="458"/>
      <c r="BS468" s="458"/>
      <c r="BT468" s="458"/>
      <c r="BU468" s="458"/>
      <c r="BV468" s="158"/>
      <c r="BW468" s="158"/>
      <c r="BX468" s="458"/>
      <c r="BY468" s="458"/>
      <c r="BZ468" s="458"/>
      <c r="CA468" s="458"/>
      <c r="CB468" s="158"/>
      <c r="CC468" s="158"/>
      <c r="CD468" s="458"/>
      <c r="CE468" s="458"/>
    </row>
    <row r="469" spans="1:83" x14ac:dyDescent="0.5">
      <c r="A469" s="262"/>
      <c r="B469" s="135"/>
      <c r="C469" s="276"/>
      <c r="D469" s="277"/>
      <c r="E469" s="278"/>
      <c r="F469" s="279"/>
      <c r="G469" s="280"/>
      <c r="H469" s="281"/>
      <c r="I469" s="836"/>
      <c r="J469" s="280"/>
      <c r="K469" s="255"/>
      <c r="L469" s="300"/>
      <c r="M469" s="135"/>
      <c r="N469" s="253"/>
      <c r="O469" s="253"/>
      <c r="P469" s="253"/>
      <c r="Q469" s="213"/>
      <c r="R469" s="172"/>
      <c r="S469" s="173"/>
      <c r="T469" s="174"/>
      <c r="U469" s="570"/>
      <c r="V469" s="173"/>
      <c r="W469" s="570"/>
      <c r="X469" s="570"/>
      <c r="Y469" s="173"/>
      <c r="Z469" s="283"/>
      <c r="AA469" s="154">
        <v>19100401</v>
      </c>
      <c r="AB469" s="155">
        <v>20250</v>
      </c>
      <c r="AC469" s="253">
        <f t="shared" si="79"/>
        <v>1417.5</v>
      </c>
      <c r="AD469" s="253">
        <f t="shared" si="80"/>
        <v>21667.5</v>
      </c>
      <c r="AE469" s="157">
        <v>43784</v>
      </c>
      <c r="AF469" s="152" t="s">
        <v>869</v>
      </c>
      <c r="AG469" s="152"/>
      <c r="AH469" s="152"/>
      <c r="AI469" s="134" t="s">
        <v>3474</v>
      </c>
      <c r="AJ469" s="158"/>
      <c r="AK469" s="159"/>
      <c r="AL469" s="160"/>
      <c r="AM469" s="160"/>
      <c r="AN469" s="161"/>
      <c r="AO469" s="162"/>
      <c r="AP469" s="458"/>
      <c r="AQ469" s="458"/>
      <c r="AR469" s="158"/>
      <c r="AS469" s="158"/>
      <c r="AT469" s="458"/>
      <c r="AU469" s="163"/>
      <c r="AV469" s="458"/>
      <c r="AW469" s="458"/>
      <c r="AX469" s="158"/>
      <c r="AY469" s="158"/>
      <c r="AZ469" s="458"/>
      <c r="BA469" s="163"/>
      <c r="BB469" s="458"/>
      <c r="BC469" s="458"/>
      <c r="BD469" s="158"/>
      <c r="BE469" s="158"/>
      <c r="BF469" s="458"/>
      <c r="BG469" s="163"/>
      <c r="BH469" s="458"/>
      <c r="BI469" s="458"/>
      <c r="BJ469" s="158"/>
      <c r="BK469" s="158"/>
      <c r="BL469" s="458"/>
      <c r="BM469" s="458"/>
      <c r="BN469" s="458"/>
      <c r="BO469" s="458"/>
      <c r="BP469" s="158"/>
      <c r="BQ469" s="158"/>
      <c r="BR469" s="458"/>
      <c r="BS469" s="458"/>
      <c r="BT469" s="458"/>
      <c r="BU469" s="458"/>
      <c r="BV469" s="158"/>
      <c r="BW469" s="158"/>
      <c r="BX469" s="458"/>
      <c r="BY469" s="458"/>
      <c r="BZ469" s="458"/>
      <c r="CA469" s="458"/>
      <c r="CB469" s="158"/>
      <c r="CC469" s="158"/>
      <c r="CD469" s="458"/>
      <c r="CE469" s="458"/>
    </row>
    <row r="470" spans="1:83" x14ac:dyDescent="0.5">
      <c r="A470" s="103">
        <v>18065836</v>
      </c>
      <c r="B470" s="104">
        <v>18060522</v>
      </c>
      <c r="C470" s="242"/>
      <c r="D470" s="243"/>
      <c r="E470" s="244"/>
      <c r="F470" s="245"/>
      <c r="G470" s="246"/>
      <c r="H470" s="247"/>
      <c r="I470" s="306"/>
      <c r="J470" s="246"/>
      <c r="K470" s="547" t="s">
        <v>256</v>
      </c>
      <c r="L470" s="548" t="s">
        <v>257</v>
      </c>
      <c r="M470" s="104" t="s">
        <v>51</v>
      </c>
      <c r="N470" s="260">
        <v>100800</v>
      </c>
      <c r="O470" s="260">
        <v>7056</v>
      </c>
      <c r="P470" s="260">
        <f t="shared" si="70"/>
        <v>107856</v>
      </c>
      <c r="Q470" s="311"/>
      <c r="R470" s="113"/>
      <c r="S470" s="114"/>
      <c r="T470" s="115"/>
      <c r="U470" s="550"/>
      <c r="V470" s="551"/>
      <c r="W470" s="552"/>
      <c r="X470" s="552"/>
      <c r="Y470" s="553"/>
      <c r="Z470" s="120"/>
      <c r="AA470" s="229">
        <v>18100410</v>
      </c>
      <c r="AB470" s="230">
        <v>11200</v>
      </c>
      <c r="AC470" s="234">
        <f t="shared" si="79"/>
        <v>784</v>
      </c>
      <c r="AD470" s="234">
        <f t="shared" si="80"/>
        <v>11984</v>
      </c>
      <c r="AE470" s="221">
        <v>43432</v>
      </c>
      <c r="AF470" s="121"/>
      <c r="AG470" s="121"/>
      <c r="AH470" s="121" t="s">
        <v>869</v>
      </c>
      <c r="AI470" s="222" t="s">
        <v>1022</v>
      </c>
      <c r="AJ470" s="128">
        <v>1</v>
      </c>
      <c r="AK470" s="129" t="s">
        <v>685</v>
      </c>
      <c r="AL470" s="130"/>
      <c r="AM470" s="130"/>
      <c r="AN470" s="131">
        <v>1</v>
      </c>
      <c r="AO470" s="132" t="s">
        <v>628</v>
      </c>
      <c r="AP470" s="361"/>
      <c r="AQ470" s="361"/>
      <c r="AR470" s="128"/>
      <c r="AS470" s="128"/>
      <c r="AT470" s="361"/>
      <c r="AU470" s="133"/>
      <c r="AV470" s="361"/>
      <c r="AW470" s="361"/>
      <c r="AX470" s="128"/>
      <c r="AY470" s="128"/>
      <c r="AZ470" s="361"/>
      <c r="BA470" s="133"/>
      <c r="BB470" s="361"/>
      <c r="BC470" s="361"/>
      <c r="BD470" s="128"/>
      <c r="BE470" s="128"/>
      <c r="BF470" s="361"/>
      <c r="BG470" s="133"/>
      <c r="BH470" s="361"/>
      <c r="BI470" s="361"/>
      <c r="BJ470" s="128"/>
      <c r="BK470" s="128"/>
      <c r="BL470" s="361"/>
      <c r="BM470" s="361"/>
      <c r="BN470" s="361"/>
      <c r="BO470" s="361"/>
      <c r="BP470" s="128"/>
      <c r="BQ470" s="128"/>
      <c r="BR470" s="361"/>
      <c r="BS470" s="361"/>
      <c r="BT470" s="361"/>
      <c r="BU470" s="361"/>
      <c r="BV470" s="128"/>
      <c r="BW470" s="128"/>
      <c r="BX470" s="361"/>
      <c r="BY470" s="361"/>
      <c r="BZ470" s="361"/>
      <c r="CA470" s="361"/>
      <c r="CB470" s="128"/>
      <c r="CC470" s="128"/>
      <c r="CD470" s="361"/>
      <c r="CE470" s="361"/>
    </row>
    <row r="471" spans="1:83" x14ac:dyDescent="0.5">
      <c r="A471" s="134"/>
      <c r="B471" s="135"/>
      <c r="C471" s="276"/>
      <c r="D471" s="277"/>
      <c r="E471" s="278"/>
      <c r="F471" s="279"/>
      <c r="G471" s="280"/>
      <c r="H471" s="281"/>
      <c r="I471" s="836"/>
      <c r="J471" s="280"/>
      <c r="K471" s="255"/>
      <c r="L471" s="300"/>
      <c r="M471" s="135"/>
      <c r="N471" s="253"/>
      <c r="O471" s="253"/>
      <c r="P471" s="253"/>
      <c r="Q471" s="143"/>
      <c r="R471" s="144"/>
      <c r="S471" s="145"/>
      <c r="T471" s="146"/>
      <c r="U471" s="529"/>
      <c r="V471" s="555"/>
      <c r="W471" s="556"/>
      <c r="X471" s="556"/>
      <c r="Y471" s="557"/>
      <c r="Z471" s="151"/>
      <c r="AA471" s="292">
        <v>18060235</v>
      </c>
      <c r="AB471" s="293">
        <v>11200</v>
      </c>
      <c r="AC471" s="532">
        <f t="shared" si="79"/>
        <v>784</v>
      </c>
      <c r="AD471" s="532">
        <f t="shared" si="80"/>
        <v>11984</v>
      </c>
      <c r="AE471" s="295">
        <v>43299</v>
      </c>
      <c r="AF471" s="296" t="s">
        <v>869</v>
      </c>
      <c r="AG471" s="296"/>
      <c r="AH471" s="296"/>
      <c r="AI471" s="308" t="s">
        <v>2177</v>
      </c>
      <c r="AJ471" s="158"/>
      <c r="AK471" s="159"/>
      <c r="AL471" s="160"/>
      <c r="AM471" s="160"/>
      <c r="AN471" s="161"/>
      <c r="AO471" s="162"/>
      <c r="AP471" s="458"/>
      <c r="AQ471" s="458"/>
      <c r="AR471" s="158"/>
      <c r="AS471" s="158"/>
      <c r="AT471" s="458"/>
      <c r="AU471" s="163"/>
      <c r="AV471" s="458"/>
      <c r="AW471" s="458"/>
      <c r="AX471" s="158"/>
      <c r="AY471" s="158"/>
      <c r="AZ471" s="458"/>
      <c r="BA471" s="163"/>
      <c r="BB471" s="458"/>
      <c r="BC471" s="458"/>
      <c r="BD471" s="158"/>
      <c r="BE471" s="158"/>
      <c r="BF471" s="458"/>
      <c r="BG471" s="163"/>
      <c r="BH471" s="458"/>
      <c r="BI471" s="458"/>
      <c r="BJ471" s="158"/>
      <c r="BK471" s="158"/>
      <c r="BL471" s="458"/>
      <c r="BM471" s="458"/>
      <c r="BN471" s="458"/>
      <c r="BO471" s="458"/>
      <c r="BP471" s="158"/>
      <c r="BQ471" s="158"/>
      <c r="BR471" s="458"/>
      <c r="BS471" s="458"/>
      <c r="BT471" s="458"/>
      <c r="BU471" s="458"/>
      <c r="BV471" s="158"/>
      <c r="BW471" s="158"/>
      <c r="BX471" s="458"/>
      <c r="BY471" s="458"/>
      <c r="BZ471" s="458"/>
      <c r="CA471" s="458"/>
      <c r="CB471" s="158"/>
      <c r="CC471" s="158"/>
      <c r="CD471" s="458"/>
      <c r="CE471" s="458"/>
    </row>
    <row r="472" spans="1:83" x14ac:dyDescent="0.5">
      <c r="A472" s="134"/>
      <c r="B472" s="135"/>
      <c r="C472" s="276"/>
      <c r="D472" s="277"/>
      <c r="E472" s="278"/>
      <c r="F472" s="279"/>
      <c r="G472" s="280"/>
      <c r="H472" s="281"/>
      <c r="I472" s="836"/>
      <c r="J472" s="280"/>
      <c r="K472" s="255"/>
      <c r="L472" s="300"/>
      <c r="M472" s="135"/>
      <c r="N472" s="253"/>
      <c r="O472" s="253"/>
      <c r="P472" s="253"/>
      <c r="Q472" s="143"/>
      <c r="R472" s="144"/>
      <c r="S472" s="145"/>
      <c r="T472" s="146"/>
      <c r="U472" s="529"/>
      <c r="V472" s="555"/>
      <c r="W472" s="556"/>
      <c r="X472" s="556"/>
      <c r="Y472" s="557"/>
      <c r="Z472" s="151"/>
      <c r="AA472" s="292">
        <v>18080301</v>
      </c>
      <c r="AB472" s="293">
        <v>11200</v>
      </c>
      <c r="AC472" s="532">
        <f t="shared" si="79"/>
        <v>784</v>
      </c>
      <c r="AD472" s="532">
        <f t="shared" si="80"/>
        <v>11984</v>
      </c>
      <c r="AE472" s="295">
        <v>43349</v>
      </c>
      <c r="AF472" s="296" t="s">
        <v>869</v>
      </c>
      <c r="AG472" s="296"/>
      <c r="AH472" s="296"/>
      <c r="AI472" s="308" t="s">
        <v>2178</v>
      </c>
      <c r="AJ472" s="158"/>
      <c r="AK472" s="159"/>
      <c r="AL472" s="160"/>
      <c r="AM472" s="160"/>
      <c r="AN472" s="161"/>
      <c r="AO472" s="162"/>
      <c r="AP472" s="458"/>
      <c r="AQ472" s="458"/>
      <c r="AR472" s="158"/>
      <c r="AS472" s="158"/>
      <c r="AT472" s="458"/>
      <c r="AU472" s="163"/>
      <c r="AV472" s="458"/>
      <c r="AW472" s="458"/>
      <c r="AX472" s="158"/>
      <c r="AY472" s="158"/>
      <c r="AZ472" s="458"/>
      <c r="BA472" s="163"/>
      <c r="BB472" s="458"/>
      <c r="BC472" s="458"/>
      <c r="BD472" s="158"/>
      <c r="BE472" s="158"/>
      <c r="BF472" s="458"/>
      <c r="BG472" s="163"/>
      <c r="BH472" s="458"/>
      <c r="BI472" s="458"/>
      <c r="BJ472" s="158"/>
      <c r="BK472" s="158"/>
      <c r="BL472" s="458"/>
      <c r="BM472" s="458"/>
      <c r="BN472" s="458"/>
      <c r="BO472" s="458"/>
      <c r="BP472" s="158"/>
      <c r="BQ472" s="158"/>
      <c r="BR472" s="458"/>
      <c r="BS472" s="458"/>
      <c r="BT472" s="458"/>
      <c r="BU472" s="458"/>
      <c r="BV472" s="158"/>
      <c r="BW472" s="158"/>
      <c r="BX472" s="458"/>
      <c r="BY472" s="458"/>
      <c r="BZ472" s="458"/>
      <c r="CA472" s="458"/>
      <c r="CB472" s="158"/>
      <c r="CC472" s="158"/>
      <c r="CD472" s="458"/>
      <c r="CE472" s="458"/>
    </row>
    <row r="473" spans="1:83" x14ac:dyDescent="0.5">
      <c r="A473" s="134"/>
      <c r="B473" s="135"/>
      <c r="C473" s="276"/>
      <c r="D473" s="277"/>
      <c r="E473" s="278"/>
      <c r="F473" s="279"/>
      <c r="G473" s="280"/>
      <c r="H473" s="281"/>
      <c r="I473" s="836"/>
      <c r="J473" s="280"/>
      <c r="K473" s="255"/>
      <c r="L473" s="255"/>
      <c r="M473" s="135"/>
      <c r="N473" s="253"/>
      <c r="O473" s="253"/>
      <c r="P473" s="253"/>
      <c r="Q473" s="143"/>
      <c r="R473" s="144"/>
      <c r="S473" s="145"/>
      <c r="T473" s="146"/>
      <c r="U473" s="529"/>
      <c r="V473" s="555"/>
      <c r="W473" s="556"/>
      <c r="X473" s="556"/>
      <c r="Y473" s="557"/>
      <c r="Z473" s="151"/>
      <c r="AA473" s="292">
        <v>18120512</v>
      </c>
      <c r="AB473" s="293">
        <v>11200</v>
      </c>
      <c r="AC473" s="532">
        <f t="shared" si="79"/>
        <v>784</v>
      </c>
      <c r="AD473" s="532">
        <f t="shared" si="80"/>
        <v>11984</v>
      </c>
      <c r="AE473" s="295">
        <v>43482</v>
      </c>
      <c r="AF473" s="296" t="s">
        <v>869</v>
      </c>
      <c r="AG473" s="296"/>
      <c r="AH473" s="296"/>
      <c r="AI473" s="308" t="s">
        <v>2179</v>
      </c>
      <c r="AJ473" s="158"/>
      <c r="AK473" s="154"/>
      <c r="AL473" s="160"/>
      <c r="AM473" s="160"/>
      <c r="AN473" s="161"/>
      <c r="AO473" s="162"/>
      <c r="AP473" s="458"/>
      <c r="AQ473" s="458"/>
      <c r="AR473" s="158"/>
      <c r="AS473" s="158"/>
      <c r="AT473" s="458"/>
      <c r="AU473" s="163"/>
      <c r="AV473" s="458"/>
      <c r="AW473" s="458"/>
      <c r="AX473" s="158"/>
      <c r="AY473" s="158"/>
      <c r="AZ473" s="458"/>
      <c r="BA473" s="163"/>
      <c r="BB473" s="458"/>
      <c r="BC473" s="458"/>
      <c r="BD473" s="158"/>
      <c r="BE473" s="158"/>
      <c r="BF473" s="458"/>
      <c r="BG473" s="163"/>
      <c r="BH473" s="458"/>
      <c r="BI473" s="458"/>
      <c r="BJ473" s="158"/>
      <c r="BK473" s="158"/>
      <c r="BL473" s="458"/>
      <c r="BM473" s="458"/>
      <c r="BN473" s="458"/>
      <c r="BO473" s="458"/>
      <c r="BP473" s="158"/>
      <c r="BQ473" s="158"/>
      <c r="BR473" s="458"/>
      <c r="BS473" s="458"/>
      <c r="BT473" s="458"/>
      <c r="BU473" s="458"/>
      <c r="BV473" s="158"/>
      <c r="BW473" s="158"/>
      <c r="BX473" s="458"/>
      <c r="BY473" s="458"/>
      <c r="BZ473" s="458"/>
      <c r="CA473" s="458"/>
      <c r="CB473" s="158"/>
      <c r="CC473" s="158"/>
      <c r="CD473" s="458"/>
      <c r="CE473" s="458"/>
    </row>
    <row r="474" spans="1:83" x14ac:dyDescent="0.5">
      <c r="A474" s="134"/>
      <c r="B474" s="135"/>
      <c r="C474" s="276"/>
      <c r="D474" s="277"/>
      <c r="E474" s="278"/>
      <c r="F474" s="279"/>
      <c r="G474" s="280"/>
      <c r="H474" s="281"/>
      <c r="I474" s="836"/>
      <c r="J474" s="280"/>
      <c r="K474" s="255"/>
      <c r="L474" s="300"/>
      <c r="M474" s="135"/>
      <c r="N474" s="253"/>
      <c r="O474" s="253"/>
      <c r="P474" s="253"/>
      <c r="Q474" s="143"/>
      <c r="R474" s="144"/>
      <c r="S474" s="145"/>
      <c r="T474" s="146"/>
      <c r="U474" s="529"/>
      <c r="V474" s="555"/>
      <c r="W474" s="556"/>
      <c r="X474" s="556"/>
      <c r="Y474" s="557"/>
      <c r="Z474" s="151"/>
      <c r="AA474" s="154">
        <v>19020040</v>
      </c>
      <c r="AB474" s="293">
        <v>11200</v>
      </c>
      <c r="AC474" s="532">
        <f t="shared" si="79"/>
        <v>784</v>
      </c>
      <c r="AD474" s="532">
        <f t="shared" si="80"/>
        <v>11984</v>
      </c>
      <c r="AE474" s="295">
        <v>43535</v>
      </c>
      <c r="AF474" s="296" t="s">
        <v>869</v>
      </c>
      <c r="AG474" s="296"/>
      <c r="AH474" s="296"/>
      <c r="AI474" s="308" t="s">
        <v>2180</v>
      </c>
      <c r="AJ474" s="158"/>
      <c r="AK474" s="159"/>
      <c r="AL474" s="160"/>
      <c r="AM474" s="160"/>
      <c r="AN474" s="161"/>
      <c r="AO474" s="162"/>
      <c r="AP474" s="458"/>
      <c r="AQ474" s="458"/>
      <c r="AR474" s="158"/>
      <c r="AS474" s="158"/>
      <c r="AT474" s="458"/>
      <c r="AU474" s="163"/>
      <c r="AV474" s="458"/>
      <c r="AW474" s="458"/>
      <c r="AX474" s="158"/>
      <c r="AY474" s="158"/>
      <c r="AZ474" s="458"/>
      <c r="BA474" s="163"/>
      <c r="BB474" s="458"/>
      <c r="BC474" s="458"/>
      <c r="BD474" s="158"/>
      <c r="BE474" s="158"/>
      <c r="BF474" s="458"/>
      <c r="BG474" s="163"/>
      <c r="BH474" s="458"/>
      <c r="BI474" s="458"/>
      <c r="BJ474" s="158"/>
      <c r="BK474" s="158"/>
      <c r="BL474" s="458"/>
      <c r="BM474" s="458"/>
      <c r="BN474" s="458"/>
      <c r="BO474" s="458"/>
      <c r="BP474" s="158"/>
      <c r="BQ474" s="158"/>
      <c r="BR474" s="458"/>
      <c r="BS474" s="458"/>
      <c r="BT474" s="458"/>
      <c r="BU474" s="458"/>
      <c r="BV474" s="158"/>
      <c r="BW474" s="158"/>
      <c r="BX474" s="458"/>
      <c r="BY474" s="458"/>
      <c r="BZ474" s="458"/>
      <c r="CA474" s="458"/>
      <c r="CB474" s="158"/>
      <c r="CC474" s="158"/>
      <c r="CD474" s="458"/>
      <c r="CE474" s="458"/>
    </row>
    <row r="475" spans="1:83" x14ac:dyDescent="0.5">
      <c r="A475" s="134"/>
      <c r="B475" s="135"/>
      <c r="C475" s="276"/>
      <c r="D475" s="277"/>
      <c r="E475" s="278"/>
      <c r="F475" s="279"/>
      <c r="G475" s="280"/>
      <c r="H475" s="281"/>
      <c r="I475" s="836"/>
      <c r="J475" s="280"/>
      <c r="K475" s="255"/>
      <c r="L475" s="300"/>
      <c r="M475" s="135"/>
      <c r="N475" s="253"/>
      <c r="O475" s="253"/>
      <c r="P475" s="253"/>
      <c r="Q475" s="143"/>
      <c r="R475" s="144"/>
      <c r="S475" s="145"/>
      <c r="T475" s="146"/>
      <c r="U475" s="529"/>
      <c r="V475" s="555"/>
      <c r="W475" s="556"/>
      <c r="X475" s="556"/>
      <c r="Y475" s="557"/>
      <c r="Z475" s="151"/>
      <c r="AA475" s="292">
        <v>19040110</v>
      </c>
      <c r="AB475" s="293">
        <v>11200</v>
      </c>
      <c r="AC475" s="532">
        <f t="shared" si="79"/>
        <v>784</v>
      </c>
      <c r="AD475" s="532">
        <f t="shared" si="80"/>
        <v>11984</v>
      </c>
      <c r="AE475" s="295">
        <v>43587</v>
      </c>
      <c r="AF475" s="296" t="s">
        <v>869</v>
      </c>
      <c r="AG475" s="296"/>
      <c r="AH475" s="296"/>
      <c r="AI475" s="308" t="s">
        <v>2181</v>
      </c>
      <c r="AJ475" s="158"/>
      <c r="AK475" s="159"/>
      <c r="AL475" s="160"/>
      <c r="AM475" s="160"/>
      <c r="AN475" s="161"/>
      <c r="AO475" s="162"/>
      <c r="AP475" s="458"/>
      <c r="AQ475" s="458"/>
      <c r="AR475" s="158"/>
      <c r="AS475" s="158"/>
      <c r="AT475" s="458"/>
      <c r="AU475" s="163"/>
      <c r="AV475" s="458"/>
      <c r="AW475" s="458"/>
      <c r="AX475" s="158"/>
      <c r="AY475" s="158"/>
      <c r="AZ475" s="458"/>
      <c r="BA475" s="163"/>
      <c r="BB475" s="458"/>
      <c r="BC475" s="458"/>
      <c r="BD475" s="158"/>
      <c r="BE475" s="158"/>
      <c r="BF475" s="458"/>
      <c r="BG475" s="163"/>
      <c r="BH475" s="458"/>
      <c r="BI475" s="458"/>
      <c r="BJ475" s="158"/>
      <c r="BK475" s="158"/>
      <c r="BL475" s="458"/>
      <c r="BM475" s="458"/>
      <c r="BN475" s="458"/>
      <c r="BO475" s="458"/>
      <c r="BP475" s="158"/>
      <c r="BQ475" s="158"/>
      <c r="BR475" s="458"/>
      <c r="BS475" s="458"/>
      <c r="BT475" s="458"/>
      <c r="BU475" s="458"/>
      <c r="BV475" s="158"/>
      <c r="BW475" s="158"/>
      <c r="BX475" s="458"/>
      <c r="BY475" s="458"/>
      <c r="BZ475" s="458"/>
      <c r="CA475" s="458"/>
      <c r="CB475" s="158"/>
      <c r="CC475" s="158"/>
      <c r="CD475" s="458"/>
      <c r="CE475" s="458"/>
    </row>
    <row r="476" spans="1:83" x14ac:dyDescent="0.5">
      <c r="A476" s="134"/>
      <c r="B476" s="135"/>
      <c r="C476" s="276"/>
      <c r="D476" s="277"/>
      <c r="E476" s="278"/>
      <c r="F476" s="279"/>
      <c r="G476" s="280"/>
      <c r="H476" s="281"/>
      <c r="I476" s="836"/>
      <c r="J476" s="280"/>
      <c r="K476" s="255"/>
      <c r="L476" s="300"/>
      <c r="M476" s="135"/>
      <c r="N476" s="253"/>
      <c r="O476" s="253"/>
      <c r="P476" s="253"/>
      <c r="Q476" s="143"/>
      <c r="R476" s="144"/>
      <c r="S476" s="145"/>
      <c r="T476" s="146"/>
      <c r="U476" s="529"/>
      <c r="V476" s="555"/>
      <c r="W476" s="556"/>
      <c r="X476" s="556"/>
      <c r="Y476" s="557"/>
      <c r="Z476" s="151"/>
      <c r="AA476" s="292">
        <v>19060196</v>
      </c>
      <c r="AB476" s="293">
        <v>11200</v>
      </c>
      <c r="AC476" s="532">
        <f t="shared" si="79"/>
        <v>784</v>
      </c>
      <c r="AD476" s="532">
        <f t="shared" si="80"/>
        <v>11984</v>
      </c>
      <c r="AE476" s="295">
        <v>43658</v>
      </c>
      <c r="AF476" s="296" t="s">
        <v>869</v>
      </c>
      <c r="AG476" s="296"/>
      <c r="AH476" s="296"/>
      <c r="AI476" s="308" t="s">
        <v>2733</v>
      </c>
      <c r="AJ476" s="158"/>
      <c r="AK476" s="159"/>
      <c r="AL476" s="160"/>
      <c r="AM476" s="160"/>
      <c r="AN476" s="161"/>
      <c r="AO476" s="162"/>
      <c r="AP476" s="458"/>
      <c r="AQ476" s="458"/>
      <c r="AR476" s="158"/>
      <c r="AS476" s="158"/>
      <c r="AT476" s="458"/>
      <c r="AU476" s="163"/>
      <c r="AV476" s="458"/>
      <c r="AW476" s="458"/>
      <c r="AX476" s="158"/>
      <c r="AY476" s="158"/>
      <c r="AZ476" s="458"/>
      <c r="BA476" s="163"/>
      <c r="BB476" s="458"/>
      <c r="BC476" s="458"/>
      <c r="BD476" s="158"/>
      <c r="BE476" s="158"/>
      <c r="BF476" s="458"/>
      <c r="BG476" s="163"/>
      <c r="BH476" s="458"/>
      <c r="BI476" s="458"/>
      <c r="BJ476" s="158"/>
      <c r="BK476" s="158"/>
      <c r="BL476" s="458"/>
      <c r="BM476" s="458"/>
      <c r="BN476" s="458"/>
      <c r="BO476" s="458"/>
      <c r="BP476" s="158"/>
      <c r="BQ476" s="158"/>
      <c r="BR476" s="458"/>
      <c r="BS476" s="458"/>
      <c r="BT476" s="458"/>
      <c r="BU476" s="458"/>
      <c r="BV476" s="158"/>
      <c r="BW476" s="158"/>
      <c r="BX476" s="458"/>
      <c r="BY476" s="458"/>
      <c r="BZ476" s="458"/>
      <c r="CA476" s="458"/>
      <c r="CB476" s="158"/>
      <c r="CC476" s="158"/>
      <c r="CD476" s="458"/>
      <c r="CE476" s="458"/>
    </row>
    <row r="477" spans="1:83" x14ac:dyDescent="0.5">
      <c r="A477" s="134"/>
      <c r="B477" s="135"/>
      <c r="C477" s="276"/>
      <c r="D477" s="277"/>
      <c r="E477" s="278"/>
      <c r="F477" s="279"/>
      <c r="G477" s="280"/>
      <c r="H477" s="281"/>
      <c r="I477" s="836"/>
      <c r="J477" s="280"/>
      <c r="K477" s="255"/>
      <c r="L477" s="300"/>
      <c r="M477" s="135"/>
      <c r="N477" s="253"/>
      <c r="O477" s="253"/>
      <c r="P477" s="253"/>
      <c r="Q477" s="143"/>
      <c r="R477" s="144"/>
      <c r="S477" s="145"/>
      <c r="T477" s="146"/>
      <c r="U477" s="529"/>
      <c r="V477" s="555"/>
      <c r="W477" s="556"/>
      <c r="X477" s="556"/>
      <c r="Y477" s="557"/>
      <c r="Z477" s="151"/>
      <c r="AA477" s="292">
        <v>19080309</v>
      </c>
      <c r="AB477" s="293">
        <v>11200</v>
      </c>
      <c r="AC477" s="532">
        <f t="shared" si="79"/>
        <v>784</v>
      </c>
      <c r="AD477" s="532">
        <f t="shared" si="80"/>
        <v>11984</v>
      </c>
      <c r="AE477" s="295">
        <v>43728</v>
      </c>
      <c r="AF477" s="296" t="s">
        <v>869</v>
      </c>
      <c r="AG477" s="296"/>
      <c r="AH477" s="296"/>
      <c r="AI477" s="308" t="s">
        <v>3059</v>
      </c>
      <c r="AJ477" s="158"/>
      <c r="AK477" s="159"/>
      <c r="AL477" s="160"/>
      <c r="AM477" s="160"/>
      <c r="AN477" s="161"/>
      <c r="AO477" s="162"/>
      <c r="AP477" s="458"/>
      <c r="AQ477" s="458"/>
      <c r="AR477" s="158"/>
      <c r="AS477" s="158"/>
      <c r="AT477" s="458"/>
      <c r="AU477" s="163"/>
      <c r="AV477" s="458"/>
      <c r="AW477" s="458"/>
      <c r="AX477" s="158"/>
      <c r="AY477" s="158"/>
      <c r="AZ477" s="458"/>
      <c r="BA477" s="163"/>
      <c r="BB477" s="458"/>
      <c r="BC477" s="458"/>
      <c r="BD477" s="158"/>
      <c r="BE477" s="158"/>
      <c r="BF477" s="458"/>
      <c r="BG477" s="163"/>
      <c r="BH477" s="458"/>
      <c r="BI477" s="458"/>
      <c r="BJ477" s="158"/>
      <c r="BK477" s="158"/>
      <c r="BL477" s="458"/>
      <c r="BM477" s="458"/>
      <c r="BN477" s="458"/>
      <c r="BO477" s="458"/>
      <c r="BP477" s="158"/>
      <c r="BQ477" s="158"/>
      <c r="BR477" s="458"/>
      <c r="BS477" s="458"/>
      <c r="BT477" s="458"/>
      <c r="BU477" s="458"/>
      <c r="BV477" s="158"/>
      <c r="BW477" s="158"/>
      <c r="BX477" s="458"/>
      <c r="BY477" s="458"/>
      <c r="BZ477" s="458"/>
      <c r="CA477" s="458"/>
      <c r="CB477" s="158"/>
      <c r="CC477" s="158"/>
      <c r="CD477" s="458"/>
      <c r="CE477" s="458"/>
    </row>
    <row r="478" spans="1:83" x14ac:dyDescent="0.5">
      <c r="A478" s="180"/>
      <c r="B478" s="181"/>
      <c r="C478" s="285"/>
      <c r="D478" s="286"/>
      <c r="E478" s="287"/>
      <c r="F478" s="288"/>
      <c r="G478" s="289"/>
      <c r="H478" s="290"/>
      <c r="I478" s="832"/>
      <c r="J478" s="289"/>
      <c r="K478" s="240"/>
      <c r="L478" s="558"/>
      <c r="M478" s="181"/>
      <c r="N478" s="237"/>
      <c r="O478" s="237"/>
      <c r="P478" s="237"/>
      <c r="Q478" s="190"/>
      <c r="R478" s="215"/>
      <c r="S478" s="216"/>
      <c r="T478" s="217"/>
      <c r="U478" s="544"/>
      <c r="V478" s="560"/>
      <c r="W478" s="561"/>
      <c r="X478" s="561"/>
      <c r="Y478" s="562"/>
      <c r="Z478" s="198"/>
      <c r="AA478" s="200">
        <v>19100395</v>
      </c>
      <c r="AB478" s="201">
        <v>11200</v>
      </c>
      <c r="AC478" s="238">
        <f t="shared" si="79"/>
        <v>784</v>
      </c>
      <c r="AD478" s="238">
        <f t="shared" si="80"/>
        <v>11984</v>
      </c>
      <c r="AE478" s="203">
        <v>43784</v>
      </c>
      <c r="AF478" s="199" t="s">
        <v>869</v>
      </c>
      <c r="AG478" s="199"/>
      <c r="AH478" s="199"/>
      <c r="AI478" s="180" t="s">
        <v>3319</v>
      </c>
      <c r="AJ478" s="204"/>
      <c r="AK478" s="205"/>
      <c r="AL478" s="206"/>
      <c r="AM478" s="206"/>
      <c r="AN478" s="207"/>
      <c r="AO478" s="208"/>
      <c r="AP478" s="365"/>
      <c r="AQ478" s="365"/>
      <c r="AR478" s="204"/>
      <c r="AS478" s="204"/>
      <c r="AT478" s="365"/>
      <c r="AU478" s="210"/>
      <c r="AV478" s="365"/>
      <c r="AW478" s="365"/>
      <c r="AX478" s="204"/>
      <c r="AY478" s="204"/>
      <c r="AZ478" s="365"/>
      <c r="BA478" s="210"/>
      <c r="BB478" s="365"/>
      <c r="BC478" s="365"/>
      <c r="BD478" s="204"/>
      <c r="BE478" s="204"/>
      <c r="BF478" s="365"/>
      <c r="BG478" s="210"/>
      <c r="BH478" s="365"/>
      <c r="BI478" s="365"/>
      <c r="BJ478" s="204"/>
      <c r="BK478" s="204"/>
      <c r="BL478" s="365"/>
      <c r="BM478" s="365"/>
      <c r="BN478" s="365"/>
      <c r="BO478" s="365"/>
      <c r="BP478" s="204"/>
      <c r="BQ478" s="204"/>
      <c r="BR478" s="365"/>
      <c r="BS478" s="365"/>
      <c r="BT478" s="365"/>
      <c r="BU478" s="365"/>
      <c r="BV478" s="204"/>
      <c r="BW478" s="204"/>
      <c r="BX478" s="365"/>
      <c r="BY478" s="365"/>
      <c r="BZ478" s="365"/>
      <c r="CA478" s="365"/>
      <c r="CB478" s="204"/>
      <c r="CC478" s="204"/>
      <c r="CD478" s="365"/>
      <c r="CE478" s="365"/>
    </row>
    <row r="479" spans="1:83" x14ac:dyDescent="0.5">
      <c r="A479" s="21">
        <v>18065835</v>
      </c>
      <c r="B479" s="22">
        <v>18060503</v>
      </c>
      <c r="C479" s="55"/>
      <c r="D479" s="56"/>
      <c r="E479" s="57"/>
      <c r="F479" s="58"/>
      <c r="G479" s="59"/>
      <c r="H479" s="60"/>
      <c r="I479" s="269"/>
      <c r="J479" s="59"/>
      <c r="K479" s="42" t="s">
        <v>258</v>
      </c>
      <c r="L479" s="520" t="s">
        <v>259</v>
      </c>
      <c r="M479" s="22" t="s">
        <v>51</v>
      </c>
      <c r="N479" s="63">
        <v>16800</v>
      </c>
      <c r="O479" s="63">
        <v>1176</v>
      </c>
      <c r="P479" s="63">
        <f t="shared" si="70"/>
        <v>17976</v>
      </c>
      <c r="AA479" s="40">
        <v>18060201</v>
      </c>
      <c r="AB479" s="41">
        <v>16800</v>
      </c>
      <c r="AC479" s="63">
        <f t="shared" si="79"/>
        <v>1176</v>
      </c>
      <c r="AD479" s="63">
        <f t="shared" si="80"/>
        <v>17976</v>
      </c>
      <c r="AE479" s="53">
        <v>43294</v>
      </c>
      <c r="AJ479" s="44">
        <v>1</v>
      </c>
      <c r="AK479" s="45" t="s">
        <v>686</v>
      </c>
      <c r="AN479" s="47">
        <v>1</v>
      </c>
      <c r="AO479" s="48" t="s">
        <v>628</v>
      </c>
      <c r="AP479" s="356"/>
      <c r="AQ479" s="356"/>
      <c r="AR479" s="44"/>
      <c r="AS479" s="44"/>
      <c r="AT479" s="356"/>
      <c r="AU479" s="54"/>
      <c r="AV479" s="356"/>
      <c r="AW479" s="356"/>
      <c r="AX479" s="44"/>
      <c r="AY479" s="44"/>
      <c r="AZ479" s="356"/>
      <c r="BA479" s="54"/>
      <c r="BB479" s="356"/>
      <c r="BC479" s="356"/>
      <c r="BD479" s="44"/>
      <c r="BE479" s="44"/>
      <c r="BF479" s="356"/>
      <c r="BG479" s="54"/>
      <c r="BH479" s="356"/>
      <c r="BI479" s="356"/>
      <c r="BJ479" s="44"/>
      <c r="BK479" s="44"/>
      <c r="BL479" s="356"/>
      <c r="BM479" s="356"/>
      <c r="BN479" s="356"/>
      <c r="BO479" s="356"/>
      <c r="BP479" s="44"/>
      <c r="BQ479" s="44"/>
      <c r="BR479" s="356"/>
      <c r="BS479" s="356"/>
      <c r="BT479" s="356"/>
      <c r="BU479" s="356"/>
      <c r="BV479" s="44"/>
      <c r="BW479" s="44"/>
      <c r="BX479" s="356"/>
      <c r="BY479" s="356"/>
      <c r="BZ479" s="356"/>
      <c r="CA479" s="356"/>
      <c r="CB479" s="44"/>
      <c r="CC479" s="44"/>
      <c r="CD479" s="44"/>
      <c r="CE479" s="44"/>
    </row>
    <row r="480" spans="1:83" x14ac:dyDescent="0.5">
      <c r="A480" s="227">
        <v>18065834</v>
      </c>
      <c r="B480" s="22">
        <v>18060497</v>
      </c>
      <c r="C480" s="23">
        <v>119</v>
      </c>
      <c r="D480" s="24" t="s">
        <v>184</v>
      </c>
      <c r="E480" s="25" t="s">
        <v>185</v>
      </c>
      <c r="F480" s="26">
        <v>151</v>
      </c>
      <c r="G480" s="62">
        <v>43285</v>
      </c>
      <c r="H480" s="27">
        <v>18224</v>
      </c>
      <c r="I480" s="39" t="s">
        <v>869</v>
      </c>
      <c r="J480" s="62">
        <v>43285</v>
      </c>
      <c r="K480" s="42" t="s">
        <v>260</v>
      </c>
      <c r="L480" s="520" t="s">
        <v>261</v>
      </c>
      <c r="M480" s="22" t="s">
        <v>52</v>
      </c>
      <c r="N480" s="63">
        <v>28037.38</v>
      </c>
      <c r="O480" s="63">
        <v>1962.62</v>
      </c>
      <c r="P480" s="63">
        <f t="shared" ref="P480:P519" si="81">SUM(N480:O480)</f>
        <v>30000</v>
      </c>
      <c r="X480" s="518">
        <v>70.09</v>
      </c>
      <c r="AA480" s="40">
        <v>18070255</v>
      </c>
      <c r="AB480" s="41">
        <v>28037.39</v>
      </c>
      <c r="AC480" s="64">
        <f t="shared" ref="AC480:AC493" si="82">AB480*7/100</f>
        <v>1962.6172999999999</v>
      </c>
      <c r="AD480" s="64">
        <f t="shared" ref="AD480:AD493" si="83">AB480+AC480</f>
        <v>30000.007299999997</v>
      </c>
      <c r="AE480" s="53">
        <v>43317</v>
      </c>
      <c r="AF480" s="39" t="s">
        <v>869</v>
      </c>
      <c r="AI480" s="21" t="s">
        <v>1069</v>
      </c>
      <c r="AJ480" s="44">
        <v>1</v>
      </c>
      <c r="AK480" s="45" t="s">
        <v>774</v>
      </c>
      <c r="AM480" s="46" t="s">
        <v>1205</v>
      </c>
      <c r="AN480" s="47">
        <v>1</v>
      </c>
      <c r="AO480" s="48" t="s">
        <v>636</v>
      </c>
      <c r="AP480" s="44">
        <v>2</v>
      </c>
      <c r="AQ480" s="40" t="s">
        <v>775</v>
      </c>
      <c r="AS480" s="47" t="s">
        <v>1205</v>
      </c>
      <c r="AT480" s="47">
        <v>1</v>
      </c>
      <c r="AU480" s="49" t="s">
        <v>634</v>
      </c>
      <c r="AV480" s="44">
        <v>3</v>
      </c>
      <c r="AW480" s="40" t="s">
        <v>776</v>
      </c>
      <c r="AY480" s="47" t="s">
        <v>1205</v>
      </c>
      <c r="AZ480" s="47">
        <v>1</v>
      </c>
      <c r="BA480" s="49" t="s">
        <v>634</v>
      </c>
      <c r="BB480" s="356"/>
      <c r="BC480" s="356"/>
      <c r="BD480" s="44"/>
      <c r="BE480" s="44"/>
      <c r="BF480" s="356"/>
      <c r="BG480" s="54"/>
      <c r="BH480" s="356"/>
      <c r="BI480" s="356"/>
      <c r="BJ480" s="44"/>
      <c r="BK480" s="44"/>
      <c r="BL480" s="356"/>
      <c r="BM480" s="356"/>
      <c r="BN480" s="356"/>
      <c r="BO480" s="356"/>
      <c r="BP480" s="44"/>
      <c r="BQ480" s="44"/>
      <c r="BR480" s="356"/>
      <c r="BS480" s="356"/>
      <c r="BT480" s="356"/>
      <c r="BU480" s="356"/>
      <c r="BV480" s="44"/>
      <c r="BW480" s="44"/>
      <c r="BX480" s="356"/>
      <c r="BY480" s="356"/>
      <c r="BZ480" s="356"/>
      <c r="CA480" s="356"/>
      <c r="CB480" s="44"/>
      <c r="CC480" s="44"/>
      <c r="CD480" s="44"/>
      <c r="CE480" s="44"/>
    </row>
    <row r="481" spans="1:83" x14ac:dyDescent="0.5">
      <c r="A481" s="103">
        <v>18065833</v>
      </c>
      <c r="B481" s="104">
        <v>18060496</v>
      </c>
      <c r="C481" s="242"/>
      <c r="D481" s="243"/>
      <c r="E481" s="244"/>
      <c r="F481" s="245"/>
      <c r="G481" s="246"/>
      <c r="H481" s="247"/>
      <c r="I481" s="306"/>
      <c r="J481" s="246"/>
      <c r="K481" s="547" t="s">
        <v>262</v>
      </c>
      <c r="L481" s="548" t="s">
        <v>263</v>
      </c>
      <c r="M481" s="104" t="s">
        <v>51</v>
      </c>
      <c r="N481" s="260">
        <v>90000</v>
      </c>
      <c r="O481" s="260">
        <v>6300</v>
      </c>
      <c r="P481" s="260">
        <f t="shared" si="81"/>
        <v>96300</v>
      </c>
      <c r="Q481" s="311"/>
      <c r="R481" s="113"/>
      <c r="S481" s="114"/>
      <c r="T481" s="115"/>
      <c r="U481" s="550"/>
      <c r="V481" s="551"/>
      <c r="W481" s="552"/>
      <c r="X481" s="552"/>
      <c r="Y481" s="553"/>
      <c r="Z481" s="120"/>
      <c r="AA481" s="229">
        <v>18110456</v>
      </c>
      <c r="AB481" s="230">
        <v>22500</v>
      </c>
      <c r="AC481" s="233">
        <f t="shared" si="82"/>
        <v>1575</v>
      </c>
      <c r="AD481" s="233">
        <f t="shared" si="83"/>
        <v>24075</v>
      </c>
      <c r="AE481" s="221">
        <v>43453</v>
      </c>
      <c r="AF481" s="121" t="s">
        <v>869</v>
      </c>
      <c r="AG481" s="121"/>
      <c r="AH481" s="121"/>
      <c r="AI481" s="222" t="s">
        <v>2182</v>
      </c>
      <c r="AJ481" s="128">
        <v>1</v>
      </c>
      <c r="AK481" s="129" t="s">
        <v>687</v>
      </c>
      <c r="AL481" s="130"/>
      <c r="AM481" s="130"/>
      <c r="AN481" s="131">
        <v>1</v>
      </c>
      <c r="AO481" s="132" t="s">
        <v>628</v>
      </c>
      <c r="AP481" s="361"/>
      <c r="AQ481" s="361"/>
      <c r="AR481" s="128"/>
      <c r="AS481" s="128"/>
      <c r="AT481" s="361"/>
      <c r="AU481" s="133"/>
      <c r="AV481" s="361"/>
      <c r="AW481" s="361"/>
      <c r="AX481" s="128"/>
      <c r="AY481" s="128"/>
      <c r="AZ481" s="361"/>
      <c r="BA481" s="133"/>
      <c r="BB481" s="361"/>
      <c r="BC481" s="361"/>
      <c r="BD481" s="128"/>
      <c r="BE481" s="128"/>
      <c r="BF481" s="361"/>
      <c r="BG481" s="133"/>
      <c r="BH481" s="361"/>
      <c r="BI481" s="361"/>
      <c r="BJ481" s="128"/>
      <c r="BK481" s="128"/>
      <c r="BL481" s="361"/>
      <c r="BM481" s="361"/>
      <c r="BN481" s="361"/>
      <c r="BO481" s="361"/>
      <c r="BP481" s="128"/>
      <c r="BQ481" s="128"/>
      <c r="BR481" s="361"/>
      <c r="BS481" s="361"/>
      <c r="BT481" s="361"/>
      <c r="BU481" s="361"/>
      <c r="BV481" s="128"/>
      <c r="BW481" s="128"/>
      <c r="BX481" s="361"/>
      <c r="BY481" s="361"/>
      <c r="BZ481" s="361"/>
      <c r="CA481" s="361"/>
      <c r="CB481" s="128"/>
      <c r="CC481" s="128"/>
      <c r="CD481" s="128"/>
      <c r="CE481" s="128"/>
    </row>
    <row r="482" spans="1:83" x14ac:dyDescent="0.5">
      <c r="A482" s="134"/>
      <c r="B482" s="135"/>
      <c r="C482" s="276"/>
      <c r="D482" s="277"/>
      <c r="E482" s="278"/>
      <c r="F482" s="279"/>
      <c r="G482" s="280"/>
      <c r="H482" s="281"/>
      <c r="I482" s="836"/>
      <c r="J482" s="280"/>
      <c r="K482" s="255"/>
      <c r="L482" s="300"/>
      <c r="M482" s="135"/>
      <c r="N482" s="253"/>
      <c r="O482" s="253"/>
      <c r="P482" s="253"/>
      <c r="Q482" s="143"/>
      <c r="R482" s="144"/>
      <c r="S482" s="145"/>
      <c r="T482" s="146"/>
      <c r="U482" s="529"/>
      <c r="V482" s="555"/>
      <c r="W482" s="556"/>
      <c r="X482" s="556"/>
      <c r="Y482" s="557"/>
      <c r="Z482" s="151"/>
      <c r="AA482" s="292">
        <v>18060215</v>
      </c>
      <c r="AB482" s="293">
        <v>22500</v>
      </c>
      <c r="AC482" s="294">
        <f t="shared" si="82"/>
        <v>1575</v>
      </c>
      <c r="AD482" s="294">
        <f t="shared" si="83"/>
        <v>24075</v>
      </c>
      <c r="AE482" s="295">
        <v>43296</v>
      </c>
      <c r="AF482" s="296"/>
      <c r="AG482" s="296"/>
      <c r="AH482" s="296"/>
      <c r="AI482" s="308" t="s">
        <v>1025</v>
      </c>
      <c r="AJ482" s="158"/>
      <c r="AK482" s="159"/>
      <c r="AL482" s="160"/>
      <c r="AM482" s="160"/>
      <c r="AN482" s="161"/>
      <c r="AO482" s="162"/>
      <c r="AP482" s="458"/>
      <c r="AQ482" s="458"/>
      <c r="AR482" s="158"/>
      <c r="AS482" s="158"/>
      <c r="AT482" s="458"/>
      <c r="AU482" s="163"/>
      <c r="AV482" s="458"/>
      <c r="AW482" s="458"/>
      <c r="AX482" s="158"/>
      <c r="AY482" s="158"/>
      <c r="AZ482" s="458"/>
      <c r="BA482" s="163"/>
      <c r="BB482" s="458"/>
      <c r="BC482" s="458"/>
      <c r="BD482" s="158"/>
      <c r="BE482" s="158"/>
      <c r="BF482" s="458"/>
      <c r="BG482" s="163"/>
      <c r="BH482" s="458"/>
      <c r="BI482" s="458"/>
      <c r="BJ482" s="158"/>
      <c r="BK482" s="158"/>
      <c r="BL482" s="458"/>
      <c r="BM482" s="458"/>
      <c r="BN482" s="458"/>
      <c r="BO482" s="458"/>
      <c r="BP482" s="158"/>
      <c r="BQ482" s="158"/>
      <c r="BR482" s="458"/>
      <c r="BS482" s="458"/>
      <c r="BT482" s="458"/>
      <c r="BU482" s="458"/>
      <c r="BV482" s="158"/>
      <c r="BW482" s="158"/>
      <c r="BX482" s="458"/>
      <c r="BY482" s="458"/>
      <c r="BZ482" s="458"/>
      <c r="CA482" s="458"/>
      <c r="CB482" s="158"/>
      <c r="CC482" s="158"/>
      <c r="CD482" s="158"/>
      <c r="CE482" s="158"/>
    </row>
    <row r="483" spans="1:83" x14ac:dyDescent="0.5">
      <c r="A483" s="134"/>
      <c r="B483" s="135"/>
      <c r="C483" s="276"/>
      <c r="D483" s="277"/>
      <c r="E483" s="278"/>
      <c r="F483" s="279"/>
      <c r="G483" s="280"/>
      <c r="H483" s="281"/>
      <c r="I483" s="836"/>
      <c r="J483" s="280"/>
      <c r="K483" s="255"/>
      <c r="L483" s="300"/>
      <c r="M483" s="135"/>
      <c r="N483" s="253"/>
      <c r="O483" s="253"/>
      <c r="P483" s="253"/>
      <c r="Q483" s="143"/>
      <c r="R483" s="144"/>
      <c r="S483" s="145"/>
      <c r="T483" s="146"/>
      <c r="U483" s="529"/>
      <c r="V483" s="555"/>
      <c r="W483" s="556"/>
      <c r="X483" s="556"/>
      <c r="Y483" s="557"/>
      <c r="Z483" s="151"/>
      <c r="AA483" s="292">
        <v>19050152</v>
      </c>
      <c r="AB483" s="293">
        <v>22500</v>
      </c>
      <c r="AC483" s="294">
        <f t="shared" si="82"/>
        <v>1575</v>
      </c>
      <c r="AD483" s="294">
        <f t="shared" si="83"/>
        <v>24075</v>
      </c>
      <c r="AE483" s="295">
        <v>43622</v>
      </c>
      <c r="AF483" s="296" t="s">
        <v>869</v>
      </c>
      <c r="AG483" s="296"/>
      <c r="AH483" s="296"/>
      <c r="AI483" s="308" t="s">
        <v>2760</v>
      </c>
      <c r="AJ483" s="158"/>
      <c r="AK483" s="159"/>
      <c r="AL483" s="160"/>
      <c r="AM483" s="160"/>
      <c r="AN483" s="161"/>
      <c r="AO483" s="162"/>
      <c r="AP483" s="458"/>
      <c r="AQ483" s="458"/>
      <c r="AR483" s="158"/>
      <c r="AS483" s="158"/>
      <c r="AT483" s="458"/>
      <c r="AU483" s="163"/>
      <c r="AV483" s="458"/>
      <c r="AW483" s="458"/>
      <c r="AX483" s="158"/>
      <c r="AY483" s="158"/>
      <c r="AZ483" s="458"/>
      <c r="BA483" s="163"/>
      <c r="BB483" s="458"/>
      <c r="BC483" s="458"/>
      <c r="BD483" s="158"/>
      <c r="BE483" s="158"/>
      <c r="BF483" s="458"/>
      <c r="BG483" s="163"/>
      <c r="BH483" s="458"/>
      <c r="BI483" s="458"/>
      <c r="BJ483" s="158"/>
      <c r="BK483" s="158"/>
      <c r="BL483" s="458"/>
      <c r="BM483" s="458"/>
      <c r="BN483" s="458"/>
      <c r="BO483" s="458"/>
      <c r="BP483" s="158"/>
      <c r="BQ483" s="158"/>
      <c r="BR483" s="458"/>
      <c r="BS483" s="458"/>
      <c r="BT483" s="458"/>
      <c r="BU483" s="458"/>
      <c r="BV483" s="158"/>
      <c r="BW483" s="158"/>
      <c r="BX483" s="458"/>
      <c r="BY483" s="458"/>
      <c r="BZ483" s="458"/>
      <c r="CA483" s="458"/>
      <c r="CB483" s="158"/>
      <c r="CC483" s="158"/>
      <c r="CD483" s="158"/>
      <c r="CE483" s="158"/>
    </row>
    <row r="484" spans="1:83" x14ac:dyDescent="0.5">
      <c r="A484" s="134"/>
      <c r="B484" s="135"/>
      <c r="C484" s="276"/>
      <c r="D484" s="277"/>
      <c r="E484" s="278"/>
      <c r="F484" s="279"/>
      <c r="G484" s="280"/>
      <c r="H484" s="281"/>
      <c r="I484" s="836"/>
      <c r="J484" s="280"/>
      <c r="K484" s="255"/>
      <c r="L484" s="300"/>
      <c r="M484" s="135"/>
      <c r="N484" s="253"/>
      <c r="O484" s="253"/>
      <c r="P484" s="253"/>
      <c r="Q484" s="143"/>
      <c r="R484" s="144"/>
      <c r="S484" s="145"/>
      <c r="T484" s="146"/>
      <c r="U484" s="529"/>
      <c r="V484" s="555"/>
      <c r="W484" s="556"/>
      <c r="X484" s="556"/>
      <c r="Y484" s="557"/>
      <c r="Z484" s="151"/>
      <c r="AA484" s="154">
        <v>19090366</v>
      </c>
      <c r="AB484" s="155">
        <v>22500</v>
      </c>
      <c r="AC484" s="253">
        <f t="shared" si="82"/>
        <v>1575</v>
      </c>
      <c r="AD484" s="253">
        <f t="shared" si="83"/>
        <v>24075</v>
      </c>
      <c r="AE484" s="157">
        <v>43763</v>
      </c>
      <c r="AF484" s="152" t="s">
        <v>869</v>
      </c>
      <c r="AG484" s="152"/>
      <c r="AH484" s="152"/>
      <c r="AI484" s="134" t="s">
        <v>3361</v>
      </c>
      <c r="AJ484" s="158"/>
      <c r="AK484" s="159"/>
      <c r="AL484" s="160"/>
      <c r="AM484" s="160"/>
      <c r="AN484" s="161"/>
      <c r="AO484" s="162"/>
      <c r="AP484" s="458"/>
      <c r="AQ484" s="458"/>
      <c r="AR484" s="158"/>
      <c r="AS484" s="158"/>
      <c r="AT484" s="458"/>
      <c r="AU484" s="163"/>
      <c r="AV484" s="458"/>
      <c r="AW484" s="458"/>
      <c r="AX484" s="158"/>
      <c r="AY484" s="158"/>
      <c r="AZ484" s="458"/>
      <c r="BA484" s="163"/>
      <c r="BB484" s="458"/>
      <c r="BC484" s="458"/>
      <c r="BD484" s="158"/>
      <c r="BE484" s="158"/>
      <c r="BF484" s="458"/>
      <c r="BG484" s="163"/>
      <c r="BH484" s="458"/>
      <c r="BI484" s="458"/>
      <c r="BJ484" s="158"/>
      <c r="BK484" s="158"/>
      <c r="BL484" s="458"/>
      <c r="BM484" s="458"/>
      <c r="BN484" s="458"/>
      <c r="BO484" s="458"/>
      <c r="BP484" s="158"/>
      <c r="BQ484" s="158"/>
      <c r="BR484" s="458"/>
      <c r="BS484" s="458"/>
      <c r="BT484" s="458"/>
      <c r="BU484" s="458"/>
      <c r="BV484" s="158"/>
      <c r="BW484" s="158"/>
      <c r="BX484" s="458"/>
      <c r="BY484" s="458"/>
      <c r="BZ484" s="458"/>
      <c r="CA484" s="458"/>
      <c r="CB484" s="158"/>
      <c r="CC484" s="158"/>
      <c r="CD484" s="158"/>
      <c r="CE484" s="158"/>
    </row>
    <row r="485" spans="1:83" x14ac:dyDescent="0.5">
      <c r="A485" s="259">
        <v>18065832</v>
      </c>
      <c r="B485" s="104">
        <v>18060495</v>
      </c>
      <c r="C485" s="242"/>
      <c r="D485" s="243"/>
      <c r="E485" s="244"/>
      <c r="F485" s="245"/>
      <c r="G485" s="246"/>
      <c r="H485" s="247"/>
      <c r="I485" s="306"/>
      <c r="J485" s="246"/>
      <c r="K485" s="547" t="s">
        <v>264</v>
      </c>
      <c r="L485" s="548" t="s">
        <v>265</v>
      </c>
      <c r="M485" s="104" t="s">
        <v>51</v>
      </c>
      <c r="N485" s="260">
        <v>88000</v>
      </c>
      <c r="O485" s="260">
        <v>6160</v>
      </c>
      <c r="P485" s="260">
        <f t="shared" si="81"/>
        <v>94160</v>
      </c>
      <c r="Q485" s="311"/>
      <c r="R485" s="113"/>
      <c r="S485" s="114"/>
      <c r="T485" s="115"/>
      <c r="U485" s="550"/>
      <c r="V485" s="551"/>
      <c r="W485" s="552"/>
      <c r="X485" s="552"/>
      <c r="Y485" s="553"/>
      <c r="Z485" s="120"/>
      <c r="AA485" s="229">
        <v>18060216</v>
      </c>
      <c r="AB485" s="230">
        <v>22000</v>
      </c>
      <c r="AC485" s="220">
        <f t="shared" si="82"/>
        <v>1540</v>
      </c>
      <c r="AD485" s="220">
        <f t="shared" si="83"/>
        <v>23540</v>
      </c>
      <c r="AE485" s="221">
        <v>43296</v>
      </c>
      <c r="AF485" s="121" t="s">
        <v>869</v>
      </c>
      <c r="AG485" s="121"/>
      <c r="AH485" s="121"/>
      <c r="AI485" s="222" t="s">
        <v>2183</v>
      </c>
      <c r="AJ485" s="128">
        <v>1</v>
      </c>
      <c r="AK485" s="129" t="s">
        <v>688</v>
      </c>
      <c r="AL485" s="130"/>
      <c r="AM485" s="130"/>
      <c r="AN485" s="131">
        <v>1</v>
      </c>
      <c r="AO485" s="132" t="s">
        <v>628</v>
      </c>
      <c r="AP485" s="361"/>
      <c r="AQ485" s="361"/>
      <c r="AR485" s="128"/>
      <c r="AS485" s="128"/>
      <c r="AT485" s="361"/>
      <c r="AU485" s="133"/>
      <c r="AV485" s="361"/>
      <c r="AW485" s="361"/>
      <c r="AX485" s="128"/>
      <c r="AY485" s="128"/>
      <c r="AZ485" s="361"/>
      <c r="BA485" s="133"/>
      <c r="BB485" s="361"/>
      <c r="BC485" s="361"/>
      <c r="BD485" s="128"/>
      <c r="BE485" s="128"/>
      <c r="BF485" s="361"/>
      <c r="BG485" s="133"/>
      <c r="BH485" s="361"/>
      <c r="BI485" s="361"/>
      <c r="BJ485" s="128"/>
      <c r="BK485" s="128"/>
      <c r="BL485" s="361"/>
      <c r="BM485" s="361"/>
      <c r="BN485" s="361"/>
      <c r="BO485" s="361"/>
      <c r="BP485" s="128"/>
      <c r="BQ485" s="128"/>
      <c r="BR485" s="361"/>
      <c r="BS485" s="361"/>
      <c r="BT485" s="361"/>
      <c r="BU485" s="361"/>
      <c r="BV485" s="128"/>
      <c r="BW485" s="128"/>
      <c r="BX485" s="361"/>
      <c r="BY485" s="361"/>
      <c r="BZ485" s="361"/>
      <c r="CA485" s="361"/>
      <c r="CB485" s="128"/>
      <c r="CC485" s="128"/>
      <c r="CD485" s="361"/>
      <c r="CE485" s="361"/>
    </row>
    <row r="486" spans="1:83" x14ac:dyDescent="0.5">
      <c r="A486" s="262"/>
      <c r="B486" s="135"/>
      <c r="C486" s="276"/>
      <c r="D486" s="277"/>
      <c r="E486" s="278"/>
      <c r="F486" s="279"/>
      <c r="G486" s="280"/>
      <c r="H486" s="281"/>
      <c r="I486" s="836"/>
      <c r="J486" s="280"/>
      <c r="K486" s="255"/>
      <c r="L486" s="300"/>
      <c r="M486" s="135"/>
      <c r="N486" s="253"/>
      <c r="O486" s="253"/>
      <c r="P486" s="253"/>
      <c r="Q486" s="143"/>
      <c r="R486" s="144"/>
      <c r="S486" s="145"/>
      <c r="T486" s="146"/>
      <c r="U486" s="529"/>
      <c r="V486" s="555"/>
      <c r="W486" s="556"/>
      <c r="X486" s="556"/>
      <c r="Y486" s="557"/>
      <c r="Z486" s="151"/>
      <c r="AA486" s="292">
        <v>18110451</v>
      </c>
      <c r="AB486" s="293">
        <v>22000</v>
      </c>
      <c r="AC486" s="307">
        <f t="shared" si="82"/>
        <v>1540</v>
      </c>
      <c r="AD486" s="307">
        <f t="shared" si="83"/>
        <v>23540</v>
      </c>
      <c r="AE486" s="295">
        <v>43453</v>
      </c>
      <c r="AF486" s="296" t="s">
        <v>869</v>
      </c>
      <c r="AG486" s="296"/>
      <c r="AH486" s="296"/>
      <c r="AI486" s="308" t="s">
        <v>2184</v>
      </c>
      <c r="AJ486" s="158"/>
      <c r="AK486" s="159"/>
      <c r="AL486" s="160"/>
      <c r="AM486" s="160"/>
      <c r="AN486" s="161"/>
      <c r="AO486" s="162"/>
      <c r="AP486" s="458"/>
      <c r="AQ486" s="458"/>
      <c r="AR486" s="158"/>
      <c r="AS486" s="158"/>
      <c r="AT486" s="458"/>
      <c r="AU486" s="163"/>
      <c r="AV486" s="458"/>
      <c r="AW486" s="458"/>
      <c r="AX486" s="158"/>
      <c r="AY486" s="158"/>
      <c r="AZ486" s="458"/>
      <c r="BA486" s="163"/>
      <c r="BB486" s="458"/>
      <c r="BC486" s="458"/>
      <c r="BD486" s="158"/>
      <c r="BE486" s="158"/>
      <c r="BF486" s="458"/>
      <c r="BG486" s="163"/>
      <c r="BH486" s="458"/>
      <c r="BI486" s="458"/>
      <c r="BJ486" s="158"/>
      <c r="BK486" s="158"/>
      <c r="BL486" s="458"/>
      <c r="BM486" s="458"/>
      <c r="BN486" s="458"/>
      <c r="BO486" s="458"/>
      <c r="BP486" s="158"/>
      <c r="BQ486" s="158"/>
      <c r="BR486" s="458"/>
      <c r="BS486" s="458"/>
      <c r="BT486" s="458"/>
      <c r="BU486" s="458"/>
      <c r="BV486" s="158"/>
      <c r="BW486" s="158"/>
      <c r="BX486" s="458"/>
      <c r="BY486" s="458"/>
      <c r="BZ486" s="458"/>
      <c r="CA486" s="458"/>
      <c r="CB486" s="158"/>
      <c r="CC486" s="158"/>
      <c r="CD486" s="458"/>
      <c r="CE486" s="458"/>
    </row>
    <row r="487" spans="1:83" x14ac:dyDescent="0.5">
      <c r="A487" s="262"/>
      <c r="B487" s="135"/>
      <c r="C487" s="276"/>
      <c r="D487" s="277"/>
      <c r="E487" s="278"/>
      <c r="F487" s="279"/>
      <c r="G487" s="280"/>
      <c r="H487" s="281"/>
      <c r="I487" s="836"/>
      <c r="J487" s="280"/>
      <c r="K487" s="255"/>
      <c r="L487" s="300"/>
      <c r="M487" s="135"/>
      <c r="N487" s="253"/>
      <c r="O487" s="253"/>
      <c r="P487" s="253"/>
      <c r="Q487" s="143"/>
      <c r="R487" s="144"/>
      <c r="S487" s="145"/>
      <c r="T487" s="146"/>
      <c r="U487" s="529"/>
      <c r="V487" s="555"/>
      <c r="W487" s="556"/>
      <c r="X487" s="556"/>
      <c r="Y487" s="557"/>
      <c r="Z487" s="151"/>
      <c r="AA487" s="292">
        <v>19050166</v>
      </c>
      <c r="AB487" s="293">
        <v>22000</v>
      </c>
      <c r="AC487" s="307">
        <f t="shared" si="82"/>
        <v>1540</v>
      </c>
      <c r="AD487" s="307">
        <f t="shared" si="83"/>
        <v>23540</v>
      </c>
      <c r="AE487" s="295">
        <v>43623</v>
      </c>
      <c r="AF487" s="296" t="s">
        <v>869</v>
      </c>
      <c r="AG487" s="296"/>
      <c r="AH487" s="296"/>
      <c r="AI487" s="308" t="s">
        <v>2768</v>
      </c>
      <c r="AJ487" s="158"/>
      <c r="AK487" s="159"/>
      <c r="AL487" s="160"/>
      <c r="AM487" s="160"/>
      <c r="AN487" s="161"/>
      <c r="AO487" s="162"/>
      <c r="AP487" s="458"/>
      <c r="AQ487" s="458"/>
      <c r="AR487" s="158"/>
      <c r="AS487" s="158"/>
      <c r="AT487" s="458"/>
      <c r="AU487" s="163"/>
      <c r="AV487" s="458"/>
      <c r="AW487" s="458"/>
      <c r="AX487" s="158"/>
      <c r="AY487" s="158"/>
      <c r="AZ487" s="458"/>
      <c r="BA487" s="163"/>
      <c r="BB487" s="458"/>
      <c r="BC487" s="458"/>
      <c r="BD487" s="158"/>
      <c r="BE487" s="158"/>
      <c r="BF487" s="458"/>
      <c r="BG487" s="163"/>
      <c r="BH487" s="458"/>
      <c r="BI487" s="458"/>
      <c r="BJ487" s="158"/>
      <c r="BK487" s="158"/>
      <c r="BL487" s="458"/>
      <c r="BM487" s="458"/>
      <c r="BN487" s="458"/>
      <c r="BO487" s="458"/>
      <c r="BP487" s="158"/>
      <c r="BQ487" s="158"/>
      <c r="BR487" s="458"/>
      <c r="BS487" s="458"/>
      <c r="BT487" s="458"/>
      <c r="BU487" s="458"/>
      <c r="BV487" s="158"/>
      <c r="BW487" s="158"/>
      <c r="BX487" s="458"/>
      <c r="BY487" s="458"/>
      <c r="BZ487" s="458"/>
      <c r="CA487" s="458"/>
      <c r="CB487" s="158"/>
      <c r="CC487" s="158"/>
      <c r="CD487" s="458"/>
      <c r="CE487" s="458"/>
    </row>
    <row r="488" spans="1:83" x14ac:dyDescent="0.5">
      <c r="A488" s="262"/>
      <c r="B488" s="135"/>
      <c r="C488" s="276"/>
      <c r="D488" s="277"/>
      <c r="E488" s="278"/>
      <c r="F488" s="279"/>
      <c r="G488" s="280"/>
      <c r="H488" s="281"/>
      <c r="I488" s="836"/>
      <c r="J488" s="280"/>
      <c r="K488" s="255"/>
      <c r="L488" s="300"/>
      <c r="M488" s="135"/>
      <c r="N488" s="253"/>
      <c r="O488" s="253"/>
      <c r="P488" s="253"/>
      <c r="Q488" s="143"/>
      <c r="R488" s="144"/>
      <c r="S488" s="145"/>
      <c r="T488" s="146"/>
      <c r="U488" s="529"/>
      <c r="V488" s="555"/>
      <c r="W488" s="556"/>
      <c r="X488" s="556"/>
      <c r="Y488" s="557"/>
      <c r="Z488" s="151"/>
      <c r="AA488" s="154">
        <v>19100424</v>
      </c>
      <c r="AB488" s="155">
        <v>22000</v>
      </c>
      <c r="AC488" s="156">
        <f t="shared" si="82"/>
        <v>1540</v>
      </c>
      <c r="AD488" s="156">
        <f t="shared" si="83"/>
        <v>23540</v>
      </c>
      <c r="AE488" s="157">
        <v>43796</v>
      </c>
      <c r="AF488" s="152" t="s">
        <v>869</v>
      </c>
      <c r="AG488" s="152"/>
      <c r="AH488" s="152"/>
      <c r="AI488" s="134" t="s">
        <v>3314</v>
      </c>
      <c r="AJ488" s="158"/>
      <c r="AK488" s="159"/>
      <c r="AL488" s="160"/>
      <c r="AM488" s="160"/>
      <c r="AN488" s="161"/>
      <c r="AO488" s="162"/>
      <c r="AP488" s="458"/>
      <c r="AQ488" s="458"/>
      <c r="AR488" s="158"/>
      <c r="AS488" s="158"/>
      <c r="AT488" s="458"/>
      <c r="AU488" s="163"/>
      <c r="AV488" s="458"/>
      <c r="AW488" s="458"/>
      <c r="AX488" s="158"/>
      <c r="AY488" s="158"/>
      <c r="AZ488" s="458"/>
      <c r="BA488" s="163"/>
      <c r="BB488" s="458"/>
      <c r="BC488" s="458"/>
      <c r="BD488" s="158"/>
      <c r="BE488" s="158"/>
      <c r="BF488" s="458"/>
      <c r="BG488" s="163"/>
      <c r="BH488" s="458"/>
      <c r="BI488" s="458"/>
      <c r="BJ488" s="158"/>
      <c r="BK488" s="158"/>
      <c r="BL488" s="458"/>
      <c r="BM488" s="458"/>
      <c r="BN488" s="458"/>
      <c r="BO488" s="458"/>
      <c r="BP488" s="158"/>
      <c r="BQ488" s="158"/>
      <c r="BR488" s="458"/>
      <c r="BS488" s="458"/>
      <c r="BT488" s="458"/>
      <c r="BU488" s="458"/>
      <c r="BV488" s="158"/>
      <c r="BW488" s="158"/>
      <c r="BX488" s="458"/>
      <c r="BY488" s="458"/>
      <c r="BZ488" s="458"/>
      <c r="CA488" s="458"/>
      <c r="CB488" s="158"/>
      <c r="CC488" s="158"/>
      <c r="CD488" s="458"/>
      <c r="CE488" s="458"/>
    </row>
    <row r="489" spans="1:83" x14ac:dyDescent="0.5">
      <c r="A489" s="259">
        <v>18065831</v>
      </c>
      <c r="B489" s="104">
        <v>18060494</v>
      </c>
      <c r="C489" s="242"/>
      <c r="D489" s="243"/>
      <c r="E489" s="244"/>
      <c r="F489" s="245"/>
      <c r="G489" s="246"/>
      <c r="H489" s="247"/>
      <c r="I489" s="306"/>
      <c r="J489" s="246"/>
      <c r="K489" s="547" t="s">
        <v>266</v>
      </c>
      <c r="L489" s="548" t="s">
        <v>267</v>
      </c>
      <c r="M489" s="104" t="s">
        <v>51</v>
      </c>
      <c r="N489" s="260">
        <v>69000</v>
      </c>
      <c r="O489" s="260">
        <v>4830</v>
      </c>
      <c r="P489" s="260">
        <f t="shared" si="81"/>
        <v>73830</v>
      </c>
      <c r="Q489" s="311"/>
      <c r="R489" s="113"/>
      <c r="S489" s="114"/>
      <c r="T489" s="115"/>
      <c r="U489" s="550"/>
      <c r="V489" s="551"/>
      <c r="W489" s="552"/>
      <c r="X489" s="552"/>
      <c r="Y489" s="553"/>
      <c r="Z489" s="120"/>
      <c r="AA489" s="229">
        <v>18110452</v>
      </c>
      <c r="AB489" s="230">
        <v>17250</v>
      </c>
      <c r="AC489" s="220">
        <f t="shared" si="82"/>
        <v>1207.5</v>
      </c>
      <c r="AD489" s="220">
        <f t="shared" si="83"/>
        <v>18457.5</v>
      </c>
      <c r="AE489" s="221">
        <v>43453</v>
      </c>
      <c r="AF489" s="121" t="s">
        <v>869</v>
      </c>
      <c r="AG489" s="121"/>
      <c r="AH489" s="121"/>
      <c r="AI489" s="222" t="s">
        <v>2185</v>
      </c>
      <c r="AJ489" s="128">
        <v>1</v>
      </c>
      <c r="AK489" s="129" t="s">
        <v>676</v>
      </c>
      <c r="AL489" s="130"/>
      <c r="AM489" s="130"/>
      <c r="AN489" s="131">
        <v>1</v>
      </c>
      <c r="AO489" s="132" t="s">
        <v>628</v>
      </c>
      <c r="AP489" s="361"/>
      <c r="AQ489" s="361"/>
      <c r="AR489" s="128"/>
      <c r="AS489" s="128"/>
      <c r="AT489" s="361"/>
      <c r="AU489" s="133"/>
      <c r="AV489" s="361"/>
      <c r="AW489" s="361"/>
      <c r="AX489" s="128"/>
      <c r="AY489" s="128"/>
      <c r="AZ489" s="361"/>
      <c r="BA489" s="133"/>
      <c r="BB489" s="361"/>
      <c r="BC489" s="361"/>
      <c r="BD489" s="128"/>
      <c r="BE489" s="128"/>
      <c r="BF489" s="361"/>
      <c r="BG489" s="133"/>
      <c r="BH489" s="361"/>
      <c r="BI489" s="361"/>
      <c r="BJ489" s="128"/>
      <c r="BK489" s="128"/>
      <c r="BL489" s="361"/>
      <c r="BM489" s="361"/>
      <c r="BN489" s="361"/>
      <c r="BO489" s="361"/>
      <c r="BP489" s="128"/>
      <c r="BQ489" s="128"/>
      <c r="BR489" s="361"/>
      <c r="BS489" s="361"/>
      <c r="BT489" s="361"/>
      <c r="BU489" s="361"/>
      <c r="BV489" s="128"/>
      <c r="BW489" s="128"/>
      <c r="BX489" s="361"/>
      <c r="BY489" s="361"/>
      <c r="BZ489" s="361"/>
      <c r="CA489" s="361"/>
      <c r="CB489" s="128"/>
      <c r="CC489" s="128"/>
      <c r="CD489" s="361"/>
      <c r="CE489" s="361"/>
    </row>
    <row r="490" spans="1:83" x14ac:dyDescent="0.5">
      <c r="A490" s="262"/>
      <c r="B490" s="135"/>
      <c r="C490" s="276"/>
      <c r="D490" s="277"/>
      <c r="E490" s="278"/>
      <c r="F490" s="279"/>
      <c r="G490" s="280"/>
      <c r="H490" s="281"/>
      <c r="I490" s="836"/>
      <c r="J490" s="280"/>
      <c r="K490" s="255"/>
      <c r="L490" s="300"/>
      <c r="M490" s="135"/>
      <c r="N490" s="253"/>
      <c r="O490" s="253"/>
      <c r="P490" s="253"/>
      <c r="Q490" s="143"/>
      <c r="R490" s="144"/>
      <c r="S490" s="145"/>
      <c r="T490" s="146"/>
      <c r="U490" s="529"/>
      <c r="V490" s="555"/>
      <c r="W490" s="556"/>
      <c r="X490" s="556"/>
      <c r="Y490" s="557"/>
      <c r="Z490" s="151"/>
      <c r="AA490" s="292" t="s">
        <v>1971</v>
      </c>
      <c r="AB490" s="293">
        <v>17250</v>
      </c>
      <c r="AC490" s="307">
        <f t="shared" si="82"/>
        <v>1207.5</v>
      </c>
      <c r="AD490" s="307">
        <f t="shared" si="83"/>
        <v>18457.5</v>
      </c>
      <c r="AE490" s="295">
        <v>43580</v>
      </c>
      <c r="AF490" s="296" t="s">
        <v>869</v>
      </c>
      <c r="AG490" s="296"/>
      <c r="AH490" s="296"/>
      <c r="AI490" s="308" t="s">
        <v>2754</v>
      </c>
      <c r="AJ490" s="158"/>
      <c r="AK490" s="159"/>
      <c r="AL490" s="160"/>
      <c r="AM490" s="160"/>
      <c r="AN490" s="161"/>
      <c r="AO490" s="162"/>
      <c r="AP490" s="458"/>
      <c r="AQ490" s="458"/>
      <c r="AR490" s="158"/>
      <c r="AS490" s="158"/>
      <c r="AT490" s="458"/>
      <c r="AU490" s="163"/>
      <c r="AV490" s="458"/>
      <c r="AW490" s="458"/>
      <c r="AX490" s="158"/>
      <c r="AY490" s="158"/>
      <c r="AZ490" s="458"/>
      <c r="BA490" s="163"/>
      <c r="BB490" s="458"/>
      <c r="BC490" s="458"/>
      <c r="BD490" s="158"/>
      <c r="BE490" s="158"/>
      <c r="BF490" s="458"/>
      <c r="BG490" s="163"/>
      <c r="BH490" s="458"/>
      <c r="BI490" s="458"/>
      <c r="BJ490" s="158"/>
      <c r="BK490" s="158"/>
      <c r="BL490" s="458"/>
      <c r="BM490" s="458"/>
      <c r="BN490" s="458"/>
      <c r="BO490" s="458"/>
      <c r="BP490" s="158"/>
      <c r="BQ490" s="158"/>
      <c r="BR490" s="458"/>
      <c r="BS490" s="458"/>
      <c r="BT490" s="458"/>
      <c r="BU490" s="458"/>
      <c r="BV490" s="158"/>
      <c r="BW490" s="158"/>
      <c r="BX490" s="458"/>
      <c r="BY490" s="458"/>
      <c r="BZ490" s="458"/>
      <c r="CA490" s="458"/>
      <c r="CB490" s="158"/>
      <c r="CC490" s="158"/>
      <c r="CD490" s="458"/>
      <c r="CE490" s="458"/>
    </row>
    <row r="491" spans="1:83" x14ac:dyDescent="0.5">
      <c r="A491" s="262"/>
      <c r="B491" s="135"/>
      <c r="C491" s="276"/>
      <c r="D491" s="277"/>
      <c r="E491" s="278"/>
      <c r="F491" s="279"/>
      <c r="G491" s="280"/>
      <c r="H491" s="281"/>
      <c r="I491" s="836"/>
      <c r="J491" s="280"/>
      <c r="K491" s="255"/>
      <c r="L491" s="300"/>
      <c r="M491" s="135"/>
      <c r="N491" s="253"/>
      <c r="O491" s="253"/>
      <c r="P491" s="253"/>
      <c r="Q491" s="143"/>
      <c r="R491" s="144"/>
      <c r="S491" s="145"/>
      <c r="T491" s="146"/>
      <c r="U491" s="529"/>
      <c r="V491" s="555"/>
      <c r="W491" s="556"/>
      <c r="X491" s="556"/>
      <c r="Y491" s="557"/>
      <c r="Z491" s="151"/>
      <c r="AA491" s="292">
        <v>19050149</v>
      </c>
      <c r="AB491" s="293">
        <v>17250</v>
      </c>
      <c r="AC491" s="307">
        <f t="shared" si="82"/>
        <v>1207.5</v>
      </c>
      <c r="AD491" s="307">
        <f t="shared" si="83"/>
        <v>18457.5</v>
      </c>
      <c r="AE491" s="295">
        <v>43621</v>
      </c>
      <c r="AF491" s="296" t="s">
        <v>869</v>
      </c>
      <c r="AG491" s="296"/>
      <c r="AH491" s="296"/>
      <c r="AI491" s="308" t="s">
        <v>2755</v>
      </c>
      <c r="AJ491" s="158"/>
      <c r="AK491" s="159"/>
      <c r="AL491" s="160"/>
      <c r="AM491" s="160"/>
      <c r="AN491" s="161"/>
      <c r="AO491" s="162"/>
      <c r="AP491" s="458"/>
      <c r="AQ491" s="458"/>
      <c r="AR491" s="158"/>
      <c r="AS491" s="158"/>
      <c r="AT491" s="458"/>
      <c r="AU491" s="163"/>
      <c r="AV491" s="458"/>
      <c r="AW491" s="458"/>
      <c r="AX491" s="158"/>
      <c r="AY491" s="158"/>
      <c r="AZ491" s="458"/>
      <c r="BA491" s="163"/>
      <c r="BB491" s="458"/>
      <c r="BC491" s="458"/>
      <c r="BD491" s="158"/>
      <c r="BE491" s="158"/>
      <c r="BF491" s="458"/>
      <c r="BG491" s="163"/>
      <c r="BH491" s="458"/>
      <c r="BI491" s="458"/>
      <c r="BJ491" s="158"/>
      <c r="BK491" s="158"/>
      <c r="BL491" s="458"/>
      <c r="BM491" s="458"/>
      <c r="BN491" s="458"/>
      <c r="BO491" s="458"/>
      <c r="BP491" s="158"/>
      <c r="BQ491" s="158"/>
      <c r="BR491" s="458"/>
      <c r="BS491" s="458"/>
      <c r="BT491" s="458"/>
      <c r="BU491" s="458"/>
      <c r="BV491" s="158"/>
      <c r="BW491" s="158"/>
      <c r="BX491" s="458"/>
      <c r="BY491" s="458"/>
      <c r="BZ491" s="458"/>
      <c r="CA491" s="458"/>
      <c r="CB491" s="158"/>
      <c r="CC491" s="158"/>
      <c r="CD491" s="458"/>
      <c r="CE491" s="458"/>
    </row>
    <row r="492" spans="1:83" x14ac:dyDescent="0.5">
      <c r="A492" s="262"/>
      <c r="B492" s="135"/>
      <c r="C492" s="276"/>
      <c r="D492" s="277"/>
      <c r="E492" s="278"/>
      <c r="F492" s="279"/>
      <c r="G492" s="280"/>
      <c r="H492" s="281"/>
      <c r="I492" s="836"/>
      <c r="J492" s="280"/>
      <c r="K492" s="255"/>
      <c r="L492" s="300"/>
      <c r="M492" s="135"/>
      <c r="N492" s="253"/>
      <c r="O492" s="253"/>
      <c r="P492" s="253"/>
      <c r="Q492" s="143"/>
      <c r="R492" s="144"/>
      <c r="S492" s="145"/>
      <c r="T492" s="146"/>
      <c r="U492" s="529"/>
      <c r="V492" s="555"/>
      <c r="W492" s="556"/>
      <c r="X492" s="556"/>
      <c r="Y492" s="557"/>
      <c r="Z492" s="151"/>
      <c r="AA492" s="857">
        <v>18060217</v>
      </c>
      <c r="AB492" s="858">
        <v>17250</v>
      </c>
      <c r="AC492" s="915">
        <f t="shared" si="82"/>
        <v>1207.5</v>
      </c>
      <c r="AD492" s="915">
        <f t="shared" si="83"/>
        <v>18457.5</v>
      </c>
      <c r="AE492" s="860">
        <v>43296</v>
      </c>
      <c r="AF492" s="861"/>
      <c r="AG492" s="861"/>
      <c r="AH492" s="861"/>
      <c r="AI492" s="862" t="s">
        <v>1025</v>
      </c>
      <c r="AJ492" s="158"/>
      <c r="AK492" s="159"/>
      <c r="AL492" s="160"/>
      <c r="AM492" s="160"/>
      <c r="AN492" s="161"/>
      <c r="AO492" s="162"/>
      <c r="AP492" s="458"/>
      <c r="AQ492" s="458"/>
      <c r="AR492" s="158"/>
      <c r="AS492" s="158"/>
      <c r="AT492" s="458"/>
      <c r="AU492" s="163"/>
      <c r="AV492" s="458"/>
      <c r="AW492" s="458"/>
      <c r="AX492" s="158"/>
      <c r="AY492" s="158"/>
      <c r="AZ492" s="458"/>
      <c r="BA492" s="163"/>
      <c r="BB492" s="458"/>
      <c r="BC492" s="458"/>
      <c r="BD492" s="158"/>
      <c r="BE492" s="158"/>
      <c r="BF492" s="458"/>
      <c r="BG492" s="163"/>
      <c r="BH492" s="458"/>
      <c r="BI492" s="458"/>
      <c r="BJ492" s="158"/>
      <c r="BK492" s="158"/>
      <c r="BL492" s="458"/>
      <c r="BM492" s="458"/>
      <c r="BN492" s="458"/>
      <c r="BO492" s="458"/>
      <c r="BP492" s="158"/>
      <c r="BQ492" s="158"/>
      <c r="BR492" s="458"/>
      <c r="BS492" s="458"/>
      <c r="BT492" s="458"/>
      <c r="BU492" s="458"/>
      <c r="BV492" s="158"/>
      <c r="BW492" s="158"/>
      <c r="BX492" s="458"/>
      <c r="BY492" s="458"/>
      <c r="BZ492" s="458"/>
      <c r="CA492" s="458"/>
      <c r="CB492" s="158"/>
      <c r="CC492" s="158"/>
      <c r="CD492" s="458"/>
      <c r="CE492" s="458"/>
    </row>
    <row r="493" spans="1:83" x14ac:dyDescent="0.5">
      <c r="A493" s="262"/>
      <c r="B493" s="135"/>
      <c r="C493" s="276"/>
      <c r="D493" s="277"/>
      <c r="E493" s="278"/>
      <c r="F493" s="279"/>
      <c r="G493" s="280"/>
      <c r="H493" s="281"/>
      <c r="I493" s="836"/>
      <c r="J493" s="280"/>
      <c r="K493" s="255"/>
      <c r="L493" s="300"/>
      <c r="M493" s="135"/>
      <c r="N493" s="253"/>
      <c r="O493" s="253"/>
      <c r="P493" s="253"/>
      <c r="Q493" s="143"/>
      <c r="R493" s="144"/>
      <c r="S493" s="145"/>
      <c r="T493" s="146"/>
      <c r="U493" s="529"/>
      <c r="V493" s="555"/>
      <c r="W493" s="556"/>
      <c r="X493" s="556"/>
      <c r="Y493" s="557"/>
      <c r="Z493" s="151"/>
      <c r="AA493" s="154">
        <v>19100423</v>
      </c>
      <c r="AB493" s="155">
        <v>17250</v>
      </c>
      <c r="AC493" s="156">
        <f t="shared" si="82"/>
        <v>1207.5</v>
      </c>
      <c r="AD493" s="156">
        <f t="shared" si="83"/>
        <v>18457.5</v>
      </c>
      <c r="AE493" s="157">
        <v>43796</v>
      </c>
      <c r="AF493" s="152" t="s">
        <v>869</v>
      </c>
      <c r="AG493" s="152"/>
      <c r="AH493" s="152"/>
      <c r="AI493" s="134" t="s">
        <v>3308</v>
      </c>
      <c r="AJ493" s="158"/>
      <c r="AK493" s="159"/>
      <c r="AL493" s="160"/>
      <c r="AM493" s="160"/>
      <c r="AN493" s="161"/>
      <c r="AO493" s="162"/>
      <c r="AP493" s="458"/>
      <c r="AQ493" s="458"/>
      <c r="AR493" s="158"/>
      <c r="AS493" s="158"/>
      <c r="AT493" s="458"/>
      <c r="AU493" s="163"/>
      <c r="AV493" s="458"/>
      <c r="AW493" s="458"/>
      <c r="AX493" s="158"/>
      <c r="AY493" s="158"/>
      <c r="AZ493" s="458"/>
      <c r="BA493" s="163"/>
      <c r="BB493" s="458"/>
      <c r="BC493" s="458"/>
      <c r="BD493" s="158"/>
      <c r="BE493" s="158"/>
      <c r="BF493" s="458"/>
      <c r="BG493" s="163"/>
      <c r="BH493" s="458"/>
      <c r="BI493" s="458"/>
      <c r="BJ493" s="158"/>
      <c r="BK493" s="158"/>
      <c r="BL493" s="458"/>
      <c r="BM493" s="458"/>
      <c r="BN493" s="458"/>
      <c r="BO493" s="458"/>
      <c r="BP493" s="158"/>
      <c r="BQ493" s="158"/>
      <c r="BR493" s="458"/>
      <c r="BS493" s="458"/>
      <c r="BT493" s="458"/>
      <c r="BU493" s="458"/>
      <c r="BV493" s="158"/>
      <c r="BW493" s="158"/>
      <c r="BX493" s="458"/>
      <c r="BY493" s="458"/>
      <c r="BZ493" s="458"/>
      <c r="CA493" s="458"/>
      <c r="CB493" s="158"/>
      <c r="CC493" s="158"/>
      <c r="CD493" s="458"/>
      <c r="CE493" s="458"/>
    </row>
    <row r="494" spans="1:83" x14ac:dyDescent="0.5">
      <c r="A494" s="259">
        <v>18065830</v>
      </c>
      <c r="B494" s="104">
        <v>18060493</v>
      </c>
      <c r="C494" s="242"/>
      <c r="D494" s="243"/>
      <c r="E494" s="244"/>
      <c r="F494" s="245"/>
      <c r="G494" s="246"/>
      <c r="H494" s="247"/>
      <c r="I494" s="306"/>
      <c r="J494" s="246"/>
      <c r="K494" s="547" t="s">
        <v>268</v>
      </c>
      <c r="L494" s="548" t="s">
        <v>269</v>
      </c>
      <c r="M494" s="104" t="s">
        <v>51</v>
      </c>
      <c r="N494" s="260">
        <v>67000</v>
      </c>
      <c r="O494" s="260">
        <v>4690</v>
      </c>
      <c r="P494" s="260">
        <f t="shared" si="81"/>
        <v>71690</v>
      </c>
      <c r="Q494" s="311"/>
      <c r="R494" s="113"/>
      <c r="S494" s="114"/>
      <c r="T494" s="115"/>
      <c r="U494" s="550"/>
      <c r="V494" s="551"/>
      <c r="W494" s="552"/>
      <c r="X494" s="552"/>
      <c r="Y494" s="553"/>
      <c r="Z494" s="120"/>
      <c r="AA494" s="229">
        <v>18060218</v>
      </c>
      <c r="AB494" s="230">
        <v>16750</v>
      </c>
      <c r="AC494" s="220">
        <f t="shared" ref="AC494:AC517" si="84">AB494*7/100</f>
        <v>1172.5</v>
      </c>
      <c r="AD494" s="220">
        <f t="shared" ref="AD494:AD517" si="85">AB494+AC494</f>
        <v>17922.5</v>
      </c>
      <c r="AE494" s="221">
        <v>43296</v>
      </c>
      <c r="AF494" s="121" t="s">
        <v>869</v>
      </c>
      <c r="AG494" s="121"/>
      <c r="AH494" s="121"/>
      <c r="AI494" s="222" t="s">
        <v>2186</v>
      </c>
      <c r="AJ494" s="128">
        <v>1</v>
      </c>
      <c r="AK494" s="129" t="s">
        <v>689</v>
      </c>
      <c r="AL494" s="130"/>
      <c r="AM494" s="130"/>
      <c r="AN494" s="131">
        <v>1</v>
      </c>
      <c r="AO494" s="132" t="s">
        <v>628</v>
      </c>
      <c r="AP494" s="361"/>
      <c r="AQ494" s="361"/>
      <c r="AR494" s="128"/>
      <c r="AS494" s="128"/>
      <c r="AT494" s="361"/>
      <c r="AU494" s="133"/>
      <c r="AV494" s="361"/>
      <c r="AW494" s="361"/>
      <c r="AX494" s="128"/>
      <c r="AY494" s="128"/>
      <c r="AZ494" s="361"/>
      <c r="BA494" s="133"/>
      <c r="BB494" s="361"/>
      <c r="BC494" s="361"/>
      <c r="BD494" s="128"/>
      <c r="BE494" s="128"/>
      <c r="BF494" s="361"/>
      <c r="BG494" s="133"/>
      <c r="BH494" s="361"/>
      <c r="BI494" s="361"/>
      <c r="BJ494" s="128"/>
      <c r="BK494" s="128"/>
      <c r="BL494" s="361"/>
      <c r="BM494" s="361"/>
      <c r="BN494" s="361"/>
      <c r="BO494" s="361"/>
      <c r="BP494" s="128"/>
      <c r="BQ494" s="128"/>
      <c r="BR494" s="361"/>
      <c r="BS494" s="361"/>
      <c r="BT494" s="361"/>
      <c r="BU494" s="361"/>
      <c r="BV494" s="128"/>
      <c r="BW494" s="128"/>
      <c r="BX494" s="361"/>
      <c r="BY494" s="361"/>
      <c r="BZ494" s="361"/>
      <c r="CA494" s="361"/>
      <c r="CB494" s="128"/>
      <c r="CC494" s="128"/>
      <c r="CD494" s="361"/>
      <c r="CE494" s="361"/>
    </row>
    <row r="495" spans="1:83" x14ac:dyDescent="0.5">
      <c r="A495" s="262"/>
      <c r="B495" s="135"/>
      <c r="C495" s="276"/>
      <c r="D495" s="277"/>
      <c r="E495" s="278"/>
      <c r="F495" s="279"/>
      <c r="G495" s="280"/>
      <c r="H495" s="281"/>
      <c r="I495" s="836"/>
      <c r="J495" s="280"/>
      <c r="K495" s="255"/>
      <c r="L495" s="300"/>
      <c r="M495" s="135"/>
      <c r="N495" s="253"/>
      <c r="O495" s="253"/>
      <c r="P495" s="253"/>
      <c r="Q495" s="143"/>
      <c r="R495" s="144"/>
      <c r="S495" s="145"/>
      <c r="T495" s="146"/>
      <c r="U495" s="529"/>
      <c r="V495" s="555"/>
      <c r="W495" s="556"/>
      <c r="X495" s="556"/>
      <c r="Y495" s="557"/>
      <c r="Z495" s="151"/>
      <c r="AA495" s="292">
        <v>19050150</v>
      </c>
      <c r="AB495" s="293">
        <v>16750</v>
      </c>
      <c r="AC495" s="307">
        <f t="shared" si="84"/>
        <v>1172.5</v>
      </c>
      <c r="AD495" s="307">
        <f t="shared" si="85"/>
        <v>17922.5</v>
      </c>
      <c r="AE495" s="295">
        <v>43622</v>
      </c>
      <c r="AF495" s="296" t="s">
        <v>869</v>
      </c>
      <c r="AG495" s="296"/>
      <c r="AH495" s="296"/>
      <c r="AI495" s="308" t="s">
        <v>2759</v>
      </c>
      <c r="AJ495" s="158"/>
      <c r="AK495" s="159"/>
      <c r="AL495" s="160"/>
      <c r="AM495" s="160"/>
      <c r="AN495" s="161"/>
      <c r="AO495" s="162"/>
      <c r="AP495" s="458"/>
      <c r="AQ495" s="458"/>
      <c r="AR495" s="158"/>
      <c r="AS495" s="158"/>
      <c r="AT495" s="458"/>
      <c r="AU495" s="163"/>
      <c r="AV495" s="458"/>
      <c r="AW495" s="458"/>
      <c r="AX495" s="158"/>
      <c r="AY495" s="158"/>
      <c r="AZ495" s="458"/>
      <c r="BA495" s="163"/>
      <c r="BB495" s="458"/>
      <c r="BC495" s="458"/>
      <c r="BD495" s="158"/>
      <c r="BE495" s="158"/>
      <c r="BF495" s="458"/>
      <c r="BG495" s="163"/>
      <c r="BH495" s="458"/>
      <c r="BI495" s="458"/>
      <c r="BJ495" s="158"/>
      <c r="BK495" s="158"/>
      <c r="BL495" s="458"/>
      <c r="BM495" s="458"/>
      <c r="BN495" s="458"/>
      <c r="BO495" s="458"/>
      <c r="BP495" s="158"/>
      <c r="BQ495" s="158"/>
      <c r="BR495" s="458"/>
      <c r="BS495" s="458"/>
      <c r="BT495" s="458"/>
      <c r="BU495" s="458"/>
      <c r="BV495" s="158"/>
      <c r="BW495" s="158"/>
      <c r="BX495" s="458"/>
      <c r="BY495" s="458"/>
      <c r="BZ495" s="458"/>
      <c r="CA495" s="458"/>
      <c r="CB495" s="158"/>
      <c r="CC495" s="158"/>
      <c r="CD495" s="458"/>
      <c r="CE495" s="458"/>
    </row>
    <row r="496" spans="1:83" x14ac:dyDescent="0.5">
      <c r="A496" s="262"/>
      <c r="B496" s="135"/>
      <c r="C496" s="276"/>
      <c r="D496" s="277"/>
      <c r="E496" s="278"/>
      <c r="F496" s="279"/>
      <c r="G496" s="280"/>
      <c r="H496" s="281"/>
      <c r="I496" s="836"/>
      <c r="J496" s="280"/>
      <c r="K496" s="255"/>
      <c r="L496" s="300"/>
      <c r="M496" s="135"/>
      <c r="N496" s="253"/>
      <c r="O496" s="253"/>
      <c r="P496" s="253"/>
      <c r="Q496" s="143"/>
      <c r="R496" s="144"/>
      <c r="S496" s="145"/>
      <c r="T496" s="146"/>
      <c r="U496" s="529"/>
      <c r="V496" s="555"/>
      <c r="W496" s="556"/>
      <c r="X496" s="556"/>
      <c r="Y496" s="557"/>
      <c r="Z496" s="151"/>
      <c r="AA496" s="292">
        <v>18110446</v>
      </c>
      <c r="AB496" s="293">
        <v>16750</v>
      </c>
      <c r="AC496" s="307">
        <f>AB496*7/100</f>
        <v>1172.5</v>
      </c>
      <c r="AD496" s="307">
        <f>AB496+AC496</f>
        <v>17922.5</v>
      </c>
      <c r="AE496" s="295">
        <v>43450</v>
      </c>
      <c r="AF496" s="296" t="s">
        <v>869</v>
      </c>
      <c r="AG496" s="296"/>
      <c r="AH496" s="296"/>
      <c r="AI496" s="308" t="s">
        <v>2187</v>
      </c>
      <c r="AJ496" s="158"/>
      <c r="AK496" s="159"/>
      <c r="AL496" s="160"/>
      <c r="AM496" s="160"/>
      <c r="AN496" s="161"/>
      <c r="AO496" s="162"/>
      <c r="AP496" s="458"/>
      <c r="AQ496" s="458"/>
      <c r="AR496" s="158"/>
      <c r="AS496" s="158"/>
      <c r="AT496" s="458"/>
      <c r="AU496" s="163"/>
      <c r="AV496" s="458"/>
      <c r="AW496" s="458"/>
      <c r="AX496" s="158"/>
      <c r="AY496" s="158"/>
      <c r="AZ496" s="458"/>
      <c r="BA496" s="163"/>
      <c r="BB496" s="458"/>
      <c r="BC496" s="458"/>
      <c r="BD496" s="158"/>
      <c r="BE496" s="158"/>
      <c r="BF496" s="458"/>
      <c r="BG496" s="163"/>
      <c r="BH496" s="458"/>
      <c r="BI496" s="458"/>
      <c r="BJ496" s="158"/>
      <c r="BK496" s="158"/>
      <c r="BL496" s="458"/>
      <c r="BM496" s="458"/>
      <c r="BN496" s="458"/>
      <c r="BO496" s="458"/>
      <c r="BP496" s="158"/>
      <c r="BQ496" s="158"/>
      <c r="BR496" s="458"/>
      <c r="BS496" s="458"/>
      <c r="BT496" s="458"/>
      <c r="BU496" s="458"/>
      <c r="BV496" s="158"/>
      <c r="BW496" s="158"/>
      <c r="BX496" s="458"/>
      <c r="BY496" s="458"/>
      <c r="BZ496" s="458"/>
      <c r="CA496" s="458"/>
      <c r="CB496" s="158"/>
      <c r="CC496" s="158"/>
      <c r="CD496" s="458"/>
      <c r="CE496" s="458"/>
    </row>
    <row r="497" spans="1:83" x14ac:dyDescent="0.5">
      <c r="A497" s="262"/>
      <c r="B497" s="135"/>
      <c r="C497" s="276"/>
      <c r="D497" s="277"/>
      <c r="E497" s="278"/>
      <c r="F497" s="279"/>
      <c r="G497" s="280"/>
      <c r="H497" s="281"/>
      <c r="I497" s="836"/>
      <c r="J497" s="280"/>
      <c r="K497" s="255"/>
      <c r="L497" s="300"/>
      <c r="M497" s="135"/>
      <c r="N497" s="253"/>
      <c r="O497" s="253"/>
      <c r="P497" s="253"/>
      <c r="Q497" s="143"/>
      <c r="R497" s="144"/>
      <c r="S497" s="145"/>
      <c r="T497" s="146"/>
      <c r="U497" s="529"/>
      <c r="V497" s="555"/>
      <c r="W497" s="556"/>
      <c r="X497" s="556"/>
      <c r="Y497" s="557"/>
      <c r="Z497" s="151"/>
      <c r="AA497" s="154">
        <v>19100428</v>
      </c>
      <c r="AB497" s="155">
        <v>16750</v>
      </c>
      <c r="AC497" s="156">
        <f>AB497*7/100</f>
        <v>1172.5</v>
      </c>
      <c r="AD497" s="156">
        <f>AB497+AC497</f>
        <v>17922.5</v>
      </c>
      <c r="AE497" s="157">
        <v>43796</v>
      </c>
      <c r="AF497" s="152" t="s">
        <v>869</v>
      </c>
      <c r="AG497" s="152"/>
      <c r="AH497" s="152"/>
      <c r="AI497" s="134" t="s">
        <v>3312</v>
      </c>
      <c r="AJ497" s="158"/>
      <c r="AK497" s="159"/>
      <c r="AL497" s="160"/>
      <c r="AM497" s="160"/>
      <c r="AN497" s="161"/>
      <c r="AO497" s="162"/>
      <c r="AP497" s="458"/>
      <c r="AQ497" s="458"/>
      <c r="AR497" s="158"/>
      <c r="AS497" s="158"/>
      <c r="AT497" s="458"/>
      <c r="AU497" s="163"/>
      <c r="AV497" s="458"/>
      <c r="AW497" s="458"/>
      <c r="AX497" s="158"/>
      <c r="AY497" s="158"/>
      <c r="AZ497" s="458"/>
      <c r="BA497" s="163"/>
      <c r="BB497" s="458"/>
      <c r="BC497" s="458"/>
      <c r="BD497" s="158"/>
      <c r="BE497" s="158"/>
      <c r="BF497" s="458"/>
      <c r="BG497" s="163"/>
      <c r="BH497" s="458"/>
      <c r="BI497" s="458"/>
      <c r="BJ497" s="158"/>
      <c r="BK497" s="158"/>
      <c r="BL497" s="458"/>
      <c r="BM497" s="458"/>
      <c r="BN497" s="458"/>
      <c r="BO497" s="458"/>
      <c r="BP497" s="158"/>
      <c r="BQ497" s="158"/>
      <c r="BR497" s="458"/>
      <c r="BS497" s="458"/>
      <c r="BT497" s="458"/>
      <c r="BU497" s="458"/>
      <c r="BV497" s="158"/>
      <c r="BW497" s="158"/>
      <c r="BX497" s="458"/>
      <c r="BY497" s="458"/>
      <c r="BZ497" s="458"/>
      <c r="CA497" s="458"/>
      <c r="CB497" s="158"/>
      <c r="CC497" s="158"/>
      <c r="CD497" s="458"/>
      <c r="CE497" s="458"/>
    </row>
    <row r="498" spans="1:83" x14ac:dyDescent="0.5">
      <c r="A498" s="259">
        <v>18065829</v>
      </c>
      <c r="B498" s="104">
        <v>18060492</v>
      </c>
      <c r="C498" s="242"/>
      <c r="D498" s="243"/>
      <c r="E498" s="244"/>
      <c r="F498" s="245"/>
      <c r="G498" s="246"/>
      <c r="H498" s="247"/>
      <c r="I498" s="306"/>
      <c r="J498" s="246"/>
      <c r="K498" s="547" t="s">
        <v>17</v>
      </c>
      <c r="L498" s="548" t="s">
        <v>270</v>
      </c>
      <c r="M498" s="104" t="s">
        <v>51</v>
      </c>
      <c r="N498" s="260">
        <v>88000</v>
      </c>
      <c r="O498" s="260">
        <v>6160</v>
      </c>
      <c r="P498" s="260">
        <f t="shared" si="81"/>
        <v>94160</v>
      </c>
      <c r="Q498" s="311"/>
      <c r="R498" s="113"/>
      <c r="S498" s="114"/>
      <c r="T498" s="115"/>
      <c r="U498" s="550"/>
      <c r="V498" s="551"/>
      <c r="W498" s="552"/>
      <c r="X498" s="552"/>
      <c r="Y498" s="553"/>
      <c r="Z498" s="120"/>
      <c r="AA498" s="229">
        <v>18060219</v>
      </c>
      <c r="AB498" s="230">
        <v>22000</v>
      </c>
      <c r="AC498" s="220">
        <f t="shared" si="84"/>
        <v>1540</v>
      </c>
      <c r="AD498" s="220">
        <f t="shared" si="85"/>
        <v>23540</v>
      </c>
      <c r="AE498" s="221">
        <v>43296</v>
      </c>
      <c r="AF498" s="121" t="s">
        <v>869</v>
      </c>
      <c r="AG498" s="121"/>
      <c r="AH498" s="121"/>
      <c r="AI498" s="222" t="s">
        <v>2188</v>
      </c>
      <c r="AJ498" s="128">
        <v>1</v>
      </c>
      <c r="AK498" s="129" t="s">
        <v>690</v>
      </c>
      <c r="AL498" s="130"/>
      <c r="AM498" s="130"/>
      <c r="AN498" s="131">
        <v>1</v>
      </c>
      <c r="AO498" s="132" t="s">
        <v>628</v>
      </c>
      <c r="AP498" s="361"/>
      <c r="AQ498" s="361"/>
      <c r="AR498" s="128"/>
      <c r="AS498" s="128"/>
      <c r="AT498" s="361"/>
      <c r="AU498" s="133"/>
      <c r="AV498" s="361"/>
      <c r="AW498" s="361"/>
      <c r="AX498" s="128"/>
      <c r="AY498" s="128"/>
      <c r="AZ498" s="361"/>
      <c r="BA498" s="133"/>
      <c r="BB498" s="361"/>
      <c r="BC498" s="361"/>
      <c r="BD498" s="128"/>
      <c r="BE498" s="128"/>
      <c r="BF498" s="361"/>
      <c r="BG498" s="133"/>
      <c r="BH498" s="361"/>
      <c r="BI498" s="361"/>
      <c r="BJ498" s="128"/>
      <c r="BK498" s="128"/>
      <c r="BL498" s="361"/>
      <c r="BM498" s="361"/>
      <c r="BN498" s="361"/>
      <c r="BO498" s="361"/>
      <c r="BP498" s="128"/>
      <c r="BQ498" s="128"/>
      <c r="BR498" s="361"/>
      <c r="BS498" s="361"/>
      <c r="BT498" s="361"/>
      <c r="BU498" s="361"/>
      <c r="BV498" s="128"/>
      <c r="BW498" s="128"/>
      <c r="BX498" s="361"/>
      <c r="BY498" s="361"/>
      <c r="BZ498" s="361"/>
      <c r="CA498" s="361"/>
      <c r="CB498" s="128"/>
      <c r="CC498" s="128"/>
      <c r="CD498" s="361"/>
      <c r="CE498" s="361"/>
    </row>
    <row r="499" spans="1:83" x14ac:dyDescent="0.5">
      <c r="A499" s="262"/>
      <c r="B499" s="135"/>
      <c r="C499" s="276"/>
      <c r="D499" s="277"/>
      <c r="E499" s="278"/>
      <c r="F499" s="279"/>
      <c r="G499" s="280"/>
      <c r="H499" s="281"/>
      <c r="I499" s="836"/>
      <c r="J499" s="280"/>
      <c r="K499" s="255"/>
      <c r="L499" s="300"/>
      <c r="M499" s="135"/>
      <c r="N499" s="253"/>
      <c r="O499" s="253"/>
      <c r="P499" s="253"/>
      <c r="Q499" s="143"/>
      <c r="R499" s="144"/>
      <c r="S499" s="145"/>
      <c r="T499" s="146"/>
      <c r="U499" s="529"/>
      <c r="V499" s="555"/>
      <c r="W499" s="556"/>
      <c r="X499" s="556"/>
      <c r="Y499" s="557"/>
      <c r="Z499" s="151"/>
      <c r="AA499" s="292">
        <v>18110454</v>
      </c>
      <c r="AB499" s="293">
        <v>22000</v>
      </c>
      <c r="AC499" s="307">
        <f t="shared" si="84"/>
        <v>1540</v>
      </c>
      <c r="AD499" s="307">
        <f t="shared" si="85"/>
        <v>23540</v>
      </c>
      <c r="AE499" s="295">
        <v>43453</v>
      </c>
      <c r="AF499" s="296" t="s">
        <v>869</v>
      </c>
      <c r="AG499" s="296"/>
      <c r="AH499" s="296"/>
      <c r="AI499" s="308" t="s">
        <v>2189</v>
      </c>
      <c r="AJ499" s="158"/>
      <c r="AK499" s="159"/>
      <c r="AL499" s="160"/>
      <c r="AM499" s="160"/>
      <c r="AN499" s="161"/>
      <c r="AO499" s="162"/>
      <c r="AP499" s="458"/>
      <c r="AQ499" s="458"/>
      <c r="AR499" s="158"/>
      <c r="AS499" s="158"/>
      <c r="AT499" s="458"/>
      <c r="AU499" s="163"/>
      <c r="AV499" s="458"/>
      <c r="AW499" s="458"/>
      <c r="AX499" s="158"/>
      <c r="AY499" s="158"/>
      <c r="AZ499" s="458"/>
      <c r="BA499" s="163"/>
      <c r="BB499" s="458"/>
      <c r="BC499" s="458"/>
      <c r="BD499" s="158"/>
      <c r="BE499" s="158"/>
      <c r="BF499" s="458"/>
      <c r="BG499" s="163"/>
      <c r="BH499" s="458"/>
      <c r="BI499" s="458"/>
      <c r="BJ499" s="158"/>
      <c r="BK499" s="158"/>
      <c r="BL499" s="458"/>
      <c r="BM499" s="458"/>
      <c r="BN499" s="458"/>
      <c r="BO499" s="458"/>
      <c r="BP499" s="158"/>
      <c r="BQ499" s="158"/>
      <c r="BR499" s="458"/>
      <c r="BS499" s="458"/>
      <c r="BT499" s="458"/>
      <c r="BU499" s="458"/>
      <c r="BV499" s="158"/>
      <c r="BW499" s="158"/>
      <c r="BX499" s="458"/>
      <c r="BY499" s="458"/>
      <c r="BZ499" s="458"/>
      <c r="CA499" s="458"/>
      <c r="CB499" s="158"/>
      <c r="CC499" s="158"/>
      <c r="CD499" s="458"/>
      <c r="CE499" s="458"/>
    </row>
    <row r="500" spans="1:83" x14ac:dyDescent="0.5">
      <c r="A500" s="262"/>
      <c r="B500" s="135"/>
      <c r="C500" s="276"/>
      <c r="D500" s="277"/>
      <c r="E500" s="278"/>
      <c r="F500" s="279"/>
      <c r="G500" s="280"/>
      <c r="H500" s="281"/>
      <c r="I500" s="836"/>
      <c r="J500" s="280"/>
      <c r="K500" s="255"/>
      <c r="L500" s="300"/>
      <c r="M500" s="135"/>
      <c r="N500" s="253"/>
      <c r="O500" s="253"/>
      <c r="P500" s="253"/>
      <c r="Q500" s="143"/>
      <c r="R500" s="144"/>
      <c r="S500" s="145"/>
      <c r="T500" s="146"/>
      <c r="U500" s="529"/>
      <c r="V500" s="555"/>
      <c r="W500" s="556"/>
      <c r="X500" s="556"/>
      <c r="Y500" s="557"/>
      <c r="Z500" s="151"/>
      <c r="AA500" s="292">
        <v>19030079</v>
      </c>
      <c r="AB500" s="293">
        <v>22000</v>
      </c>
      <c r="AC500" s="307">
        <f t="shared" si="84"/>
        <v>1540</v>
      </c>
      <c r="AD500" s="307">
        <f t="shared" si="85"/>
        <v>23540</v>
      </c>
      <c r="AE500" s="295">
        <v>43563</v>
      </c>
      <c r="AF500" s="296" t="s">
        <v>869</v>
      </c>
      <c r="AG500" s="296"/>
      <c r="AH500" s="296"/>
      <c r="AI500" s="308" t="s">
        <v>2237</v>
      </c>
      <c r="AJ500" s="158"/>
      <c r="AK500" s="159"/>
      <c r="AL500" s="160"/>
      <c r="AM500" s="160"/>
      <c r="AN500" s="161"/>
      <c r="AO500" s="162"/>
      <c r="AP500" s="458"/>
      <c r="AQ500" s="458"/>
      <c r="AR500" s="158"/>
      <c r="AS500" s="158"/>
      <c r="AT500" s="458"/>
      <c r="AU500" s="163"/>
      <c r="AV500" s="458"/>
      <c r="AW500" s="458"/>
      <c r="AX500" s="158"/>
      <c r="AY500" s="158"/>
      <c r="AZ500" s="458"/>
      <c r="BA500" s="163"/>
      <c r="BB500" s="458"/>
      <c r="BC500" s="458"/>
      <c r="BD500" s="158"/>
      <c r="BE500" s="158"/>
      <c r="BF500" s="458"/>
      <c r="BG500" s="163"/>
      <c r="BH500" s="458"/>
      <c r="BI500" s="458"/>
      <c r="BJ500" s="158"/>
      <c r="BK500" s="158"/>
      <c r="BL500" s="458"/>
      <c r="BM500" s="458"/>
      <c r="BN500" s="458"/>
      <c r="BO500" s="458"/>
      <c r="BP500" s="158"/>
      <c r="BQ500" s="158"/>
      <c r="BR500" s="458"/>
      <c r="BS500" s="458"/>
      <c r="BT500" s="458"/>
      <c r="BU500" s="458"/>
      <c r="BV500" s="158"/>
      <c r="BW500" s="158"/>
      <c r="BX500" s="458"/>
      <c r="BY500" s="458"/>
      <c r="BZ500" s="458"/>
      <c r="CA500" s="458"/>
      <c r="CB500" s="158"/>
      <c r="CC500" s="158"/>
      <c r="CD500" s="458"/>
      <c r="CE500" s="458"/>
    </row>
    <row r="501" spans="1:83" x14ac:dyDescent="0.5">
      <c r="A501" s="262"/>
      <c r="B501" s="135"/>
      <c r="C501" s="276"/>
      <c r="D501" s="277"/>
      <c r="E501" s="278"/>
      <c r="F501" s="279"/>
      <c r="G501" s="280"/>
      <c r="H501" s="281"/>
      <c r="I501" s="836"/>
      <c r="J501" s="280"/>
      <c r="K501" s="255"/>
      <c r="L501" s="300"/>
      <c r="M501" s="135"/>
      <c r="N501" s="253"/>
      <c r="O501" s="253"/>
      <c r="P501" s="253"/>
      <c r="Q501" s="143"/>
      <c r="R501" s="144"/>
      <c r="S501" s="145"/>
      <c r="T501" s="146"/>
      <c r="U501" s="529"/>
      <c r="V501" s="555"/>
      <c r="W501" s="556"/>
      <c r="X501" s="556"/>
      <c r="Y501" s="557"/>
      <c r="Z501" s="151"/>
      <c r="AA501" s="154">
        <v>19090367</v>
      </c>
      <c r="AB501" s="155">
        <v>22000</v>
      </c>
      <c r="AC501" s="156">
        <f t="shared" si="84"/>
        <v>1540</v>
      </c>
      <c r="AD501" s="156">
        <f t="shared" si="85"/>
        <v>23540</v>
      </c>
      <c r="AE501" s="157">
        <v>43763</v>
      </c>
      <c r="AF501" s="152" t="s">
        <v>869</v>
      </c>
      <c r="AG501" s="152"/>
      <c r="AH501" s="152"/>
      <c r="AI501" s="134" t="s">
        <v>3362</v>
      </c>
      <c r="AJ501" s="158"/>
      <c r="AK501" s="159"/>
      <c r="AL501" s="160"/>
      <c r="AM501" s="160"/>
      <c r="AN501" s="161"/>
      <c r="AO501" s="162"/>
      <c r="AP501" s="458"/>
      <c r="AQ501" s="458"/>
      <c r="AR501" s="158"/>
      <c r="AS501" s="158"/>
      <c r="AT501" s="458"/>
      <c r="AU501" s="163"/>
      <c r="AV501" s="458"/>
      <c r="AW501" s="458"/>
      <c r="AX501" s="158"/>
      <c r="AY501" s="158"/>
      <c r="AZ501" s="458"/>
      <c r="BA501" s="163"/>
      <c r="BB501" s="458"/>
      <c r="BC501" s="458"/>
      <c r="BD501" s="158"/>
      <c r="BE501" s="158"/>
      <c r="BF501" s="458"/>
      <c r="BG501" s="163"/>
      <c r="BH501" s="458"/>
      <c r="BI501" s="458"/>
      <c r="BJ501" s="158"/>
      <c r="BK501" s="158"/>
      <c r="BL501" s="458"/>
      <c r="BM501" s="458"/>
      <c r="BN501" s="458"/>
      <c r="BO501" s="458"/>
      <c r="BP501" s="158"/>
      <c r="BQ501" s="158"/>
      <c r="BR501" s="458"/>
      <c r="BS501" s="458"/>
      <c r="BT501" s="458"/>
      <c r="BU501" s="458"/>
      <c r="BV501" s="158"/>
      <c r="BW501" s="158"/>
      <c r="BX501" s="458"/>
      <c r="BY501" s="458"/>
      <c r="BZ501" s="458"/>
      <c r="CA501" s="458"/>
      <c r="CB501" s="158"/>
      <c r="CC501" s="158"/>
      <c r="CD501" s="458"/>
      <c r="CE501" s="458"/>
    </row>
    <row r="502" spans="1:83" x14ac:dyDescent="0.5">
      <c r="A502" s="259">
        <v>18065828</v>
      </c>
      <c r="B502" s="104">
        <v>18060491</v>
      </c>
      <c r="C502" s="242"/>
      <c r="D502" s="243"/>
      <c r="E502" s="244"/>
      <c r="F502" s="245"/>
      <c r="G502" s="246"/>
      <c r="H502" s="247"/>
      <c r="I502" s="306"/>
      <c r="J502" s="246"/>
      <c r="K502" s="547" t="s">
        <v>271</v>
      </c>
      <c r="L502" s="548" t="s">
        <v>272</v>
      </c>
      <c r="M502" s="104" t="s">
        <v>51</v>
      </c>
      <c r="N502" s="260">
        <v>88000</v>
      </c>
      <c r="O502" s="260">
        <v>6160</v>
      </c>
      <c r="P502" s="260">
        <f t="shared" si="81"/>
        <v>94160</v>
      </c>
      <c r="Q502" s="311"/>
      <c r="R502" s="113"/>
      <c r="S502" s="114"/>
      <c r="T502" s="115"/>
      <c r="U502" s="550"/>
      <c r="V502" s="551"/>
      <c r="W502" s="552"/>
      <c r="X502" s="552"/>
      <c r="Y502" s="553"/>
      <c r="Z502" s="120"/>
      <c r="AA502" s="229">
        <v>18060220</v>
      </c>
      <c r="AB502" s="230">
        <v>22000</v>
      </c>
      <c r="AC502" s="220">
        <f t="shared" si="84"/>
        <v>1540</v>
      </c>
      <c r="AD502" s="220">
        <f t="shared" si="85"/>
        <v>23540</v>
      </c>
      <c r="AE502" s="221">
        <v>43296</v>
      </c>
      <c r="AF502" s="121" t="s">
        <v>869</v>
      </c>
      <c r="AG502" s="121"/>
      <c r="AH502" s="121"/>
      <c r="AI502" s="222" t="s">
        <v>2190</v>
      </c>
      <c r="AJ502" s="128">
        <v>1</v>
      </c>
      <c r="AK502" s="129" t="s">
        <v>691</v>
      </c>
      <c r="AL502" s="130"/>
      <c r="AM502" s="130"/>
      <c r="AN502" s="131">
        <v>1</v>
      </c>
      <c r="AO502" s="132" t="s">
        <v>628</v>
      </c>
      <c r="AP502" s="361"/>
      <c r="AQ502" s="361"/>
      <c r="AR502" s="128"/>
      <c r="AS502" s="128"/>
      <c r="AT502" s="361"/>
      <c r="AU502" s="133"/>
      <c r="AV502" s="361"/>
      <c r="AW502" s="361"/>
      <c r="AX502" s="128"/>
      <c r="AY502" s="128"/>
      <c r="AZ502" s="361"/>
      <c r="BA502" s="133"/>
      <c r="BB502" s="361"/>
      <c r="BC502" s="361"/>
      <c r="BD502" s="128"/>
      <c r="BE502" s="128"/>
      <c r="BF502" s="361"/>
      <c r="BG502" s="133"/>
      <c r="BH502" s="361"/>
      <c r="BI502" s="361"/>
      <c r="BJ502" s="128"/>
      <c r="BK502" s="128"/>
      <c r="BL502" s="361"/>
      <c r="BM502" s="361"/>
      <c r="BN502" s="361"/>
      <c r="BO502" s="361"/>
      <c r="BP502" s="128"/>
      <c r="BQ502" s="128"/>
      <c r="BR502" s="361"/>
      <c r="BS502" s="361"/>
      <c r="BT502" s="361"/>
      <c r="BU502" s="361"/>
      <c r="BV502" s="128"/>
      <c r="BW502" s="128"/>
      <c r="BX502" s="361"/>
      <c r="BY502" s="361"/>
      <c r="BZ502" s="361"/>
      <c r="CA502" s="361"/>
      <c r="CB502" s="128"/>
      <c r="CC502" s="128"/>
      <c r="CD502" s="361"/>
      <c r="CE502" s="361"/>
    </row>
    <row r="503" spans="1:83" x14ac:dyDescent="0.5">
      <c r="A503" s="262"/>
      <c r="B503" s="135"/>
      <c r="C503" s="276"/>
      <c r="D503" s="277"/>
      <c r="E503" s="278"/>
      <c r="F503" s="279"/>
      <c r="G503" s="280"/>
      <c r="H503" s="281"/>
      <c r="I503" s="836"/>
      <c r="J503" s="280"/>
      <c r="K503" s="255"/>
      <c r="L503" s="300"/>
      <c r="M503" s="135"/>
      <c r="N503" s="253"/>
      <c r="O503" s="253"/>
      <c r="P503" s="253"/>
      <c r="Q503" s="143"/>
      <c r="R503" s="144"/>
      <c r="S503" s="145"/>
      <c r="T503" s="146"/>
      <c r="U503" s="529"/>
      <c r="V503" s="555"/>
      <c r="W503" s="556"/>
      <c r="X503" s="556"/>
      <c r="Y503" s="557"/>
      <c r="Z503" s="151"/>
      <c r="AA503" s="292">
        <v>18110453</v>
      </c>
      <c r="AB503" s="293">
        <v>22000</v>
      </c>
      <c r="AC503" s="307">
        <f t="shared" si="84"/>
        <v>1540</v>
      </c>
      <c r="AD503" s="307">
        <f t="shared" si="85"/>
        <v>23540</v>
      </c>
      <c r="AE503" s="295">
        <v>43453</v>
      </c>
      <c r="AF503" s="296" t="s">
        <v>869</v>
      </c>
      <c r="AG503" s="296"/>
      <c r="AH503" s="296"/>
      <c r="AI503" s="308" t="s">
        <v>2191</v>
      </c>
      <c r="AJ503" s="158"/>
      <c r="AK503" s="159"/>
      <c r="AL503" s="160"/>
      <c r="AM503" s="160"/>
      <c r="AN503" s="161"/>
      <c r="AO503" s="162"/>
      <c r="AP503" s="458"/>
      <c r="AQ503" s="458"/>
      <c r="AR503" s="158"/>
      <c r="AS503" s="158"/>
      <c r="AT503" s="458"/>
      <c r="AU503" s="163"/>
      <c r="AV503" s="458"/>
      <c r="AW503" s="458"/>
      <c r="AX503" s="158"/>
      <c r="AY503" s="158"/>
      <c r="AZ503" s="458"/>
      <c r="BA503" s="163"/>
      <c r="BB503" s="458"/>
      <c r="BC503" s="458"/>
      <c r="BD503" s="158"/>
      <c r="BE503" s="158"/>
      <c r="BF503" s="458"/>
      <c r="BG503" s="163"/>
      <c r="BH503" s="458"/>
      <c r="BI503" s="458"/>
      <c r="BJ503" s="158"/>
      <c r="BK503" s="158"/>
      <c r="BL503" s="458"/>
      <c r="BM503" s="458"/>
      <c r="BN503" s="458"/>
      <c r="BO503" s="458"/>
      <c r="BP503" s="158"/>
      <c r="BQ503" s="158"/>
      <c r="BR503" s="458"/>
      <c r="BS503" s="458"/>
      <c r="BT503" s="458"/>
      <c r="BU503" s="458"/>
      <c r="BV503" s="158"/>
      <c r="BW503" s="158"/>
      <c r="BX503" s="458"/>
      <c r="BY503" s="458"/>
      <c r="BZ503" s="458"/>
      <c r="CA503" s="458"/>
      <c r="CB503" s="158"/>
      <c r="CC503" s="158"/>
      <c r="CD503" s="458"/>
      <c r="CE503" s="458"/>
    </row>
    <row r="504" spans="1:83" x14ac:dyDescent="0.5">
      <c r="A504" s="262"/>
      <c r="B504" s="135"/>
      <c r="C504" s="276"/>
      <c r="D504" s="277"/>
      <c r="E504" s="278"/>
      <c r="F504" s="279"/>
      <c r="G504" s="280"/>
      <c r="H504" s="281"/>
      <c r="I504" s="836"/>
      <c r="J504" s="280"/>
      <c r="K504" s="255"/>
      <c r="L504" s="300"/>
      <c r="M504" s="135"/>
      <c r="N504" s="253"/>
      <c r="O504" s="253"/>
      <c r="P504" s="253"/>
      <c r="Q504" s="143"/>
      <c r="R504" s="144"/>
      <c r="S504" s="145"/>
      <c r="T504" s="146"/>
      <c r="U504" s="529"/>
      <c r="V504" s="555"/>
      <c r="W504" s="556"/>
      <c r="X504" s="556"/>
      <c r="Y504" s="557"/>
      <c r="Z504" s="151"/>
      <c r="AA504" s="292">
        <v>19050167</v>
      </c>
      <c r="AB504" s="293">
        <v>22000</v>
      </c>
      <c r="AC504" s="307">
        <f t="shared" si="84"/>
        <v>1540</v>
      </c>
      <c r="AD504" s="307">
        <f t="shared" si="85"/>
        <v>23540</v>
      </c>
      <c r="AE504" s="295">
        <v>43623</v>
      </c>
      <c r="AF504" s="296" t="s">
        <v>869</v>
      </c>
      <c r="AG504" s="296"/>
      <c r="AH504" s="296"/>
      <c r="AI504" s="308" t="s">
        <v>2757</v>
      </c>
      <c r="AJ504" s="158"/>
      <c r="AK504" s="159"/>
      <c r="AL504" s="160"/>
      <c r="AM504" s="160"/>
      <c r="AN504" s="161"/>
      <c r="AO504" s="162"/>
      <c r="AP504" s="458"/>
      <c r="AQ504" s="458"/>
      <c r="AR504" s="158"/>
      <c r="AS504" s="158"/>
      <c r="AT504" s="458"/>
      <c r="AU504" s="163"/>
      <c r="AV504" s="458"/>
      <c r="AW504" s="458"/>
      <c r="AX504" s="158"/>
      <c r="AY504" s="158"/>
      <c r="AZ504" s="458"/>
      <c r="BA504" s="163"/>
      <c r="BB504" s="458"/>
      <c r="BC504" s="458"/>
      <c r="BD504" s="158"/>
      <c r="BE504" s="158"/>
      <c r="BF504" s="458"/>
      <c r="BG504" s="163"/>
      <c r="BH504" s="458"/>
      <c r="BI504" s="458"/>
      <c r="BJ504" s="158"/>
      <c r="BK504" s="158"/>
      <c r="BL504" s="458"/>
      <c r="BM504" s="458"/>
      <c r="BN504" s="458"/>
      <c r="BO504" s="458"/>
      <c r="BP504" s="158"/>
      <c r="BQ504" s="158"/>
      <c r="BR504" s="458"/>
      <c r="BS504" s="458"/>
      <c r="BT504" s="458"/>
      <c r="BU504" s="458"/>
      <c r="BV504" s="158"/>
      <c r="BW504" s="158"/>
      <c r="BX504" s="458"/>
      <c r="BY504" s="458"/>
      <c r="BZ504" s="458"/>
      <c r="CA504" s="458"/>
      <c r="CB504" s="158"/>
      <c r="CC504" s="158"/>
      <c r="CD504" s="458"/>
      <c r="CE504" s="458"/>
    </row>
    <row r="505" spans="1:83" x14ac:dyDescent="0.5">
      <c r="A505" s="262"/>
      <c r="B505" s="135"/>
      <c r="C505" s="276"/>
      <c r="D505" s="277"/>
      <c r="E505" s="278"/>
      <c r="F505" s="279"/>
      <c r="G505" s="280"/>
      <c r="H505" s="281"/>
      <c r="I505" s="836"/>
      <c r="J505" s="280"/>
      <c r="K505" s="255"/>
      <c r="L505" s="300"/>
      <c r="M505" s="135"/>
      <c r="N505" s="253"/>
      <c r="O505" s="253"/>
      <c r="P505" s="253"/>
      <c r="Q505" s="143"/>
      <c r="R505" s="144"/>
      <c r="S505" s="145"/>
      <c r="T505" s="146"/>
      <c r="U505" s="529"/>
      <c r="V505" s="555"/>
      <c r="W505" s="556"/>
      <c r="X505" s="556"/>
      <c r="Y505" s="557"/>
      <c r="Z505" s="151"/>
      <c r="AA505" s="154">
        <v>19100430</v>
      </c>
      <c r="AB505" s="155">
        <v>22000</v>
      </c>
      <c r="AC505" s="156">
        <f t="shared" si="84"/>
        <v>1540</v>
      </c>
      <c r="AD505" s="156">
        <f t="shared" si="85"/>
        <v>23540</v>
      </c>
      <c r="AE505" s="157">
        <v>43796</v>
      </c>
      <c r="AF505" s="152" t="s">
        <v>869</v>
      </c>
      <c r="AG505" s="152"/>
      <c r="AH505" s="152"/>
      <c r="AI505" s="134" t="s">
        <v>3310</v>
      </c>
      <c r="AJ505" s="158"/>
      <c r="AK505" s="159"/>
      <c r="AL505" s="160"/>
      <c r="AM505" s="160"/>
      <c r="AN505" s="161"/>
      <c r="AO505" s="162"/>
      <c r="AP505" s="458"/>
      <c r="AQ505" s="458"/>
      <c r="AR505" s="158"/>
      <c r="AS505" s="158"/>
      <c r="AT505" s="458"/>
      <c r="AU505" s="163"/>
      <c r="AV505" s="458"/>
      <c r="AW505" s="458"/>
      <c r="AX505" s="158"/>
      <c r="AY505" s="158"/>
      <c r="AZ505" s="458"/>
      <c r="BA505" s="163"/>
      <c r="BB505" s="458"/>
      <c r="BC505" s="458"/>
      <c r="BD505" s="158"/>
      <c r="BE505" s="158"/>
      <c r="BF505" s="458"/>
      <c r="BG505" s="163"/>
      <c r="BH505" s="458"/>
      <c r="BI505" s="458"/>
      <c r="BJ505" s="158"/>
      <c r="BK505" s="158"/>
      <c r="BL505" s="458"/>
      <c r="BM505" s="458"/>
      <c r="BN505" s="458"/>
      <c r="BO505" s="458"/>
      <c r="BP505" s="158"/>
      <c r="BQ505" s="158"/>
      <c r="BR505" s="458"/>
      <c r="BS505" s="458"/>
      <c r="BT505" s="458"/>
      <c r="BU505" s="458"/>
      <c r="BV505" s="158"/>
      <c r="BW505" s="158"/>
      <c r="BX505" s="458"/>
      <c r="BY505" s="458"/>
      <c r="BZ505" s="458"/>
      <c r="CA505" s="458"/>
      <c r="CB505" s="158"/>
      <c r="CC505" s="158"/>
      <c r="CD505" s="458"/>
      <c r="CE505" s="458"/>
    </row>
    <row r="506" spans="1:83" x14ac:dyDescent="0.5">
      <c r="A506" s="259">
        <v>18065827</v>
      </c>
      <c r="B506" s="104">
        <v>18060490</v>
      </c>
      <c r="C506" s="242"/>
      <c r="D506" s="243"/>
      <c r="E506" s="244"/>
      <c r="F506" s="245"/>
      <c r="G506" s="246"/>
      <c r="H506" s="247"/>
      <c r="I506" s="306"/>
      <c r="J506" s="246"/>
      <c r="K506" s="547" t="s">
        <v>273</v>
      </c>
      <c r="L506" s="548" t="s">
        <v>274</v>
      </c>
      <c r="M506" s="104" t="s">
        <v>51</v>
      </c>
      <c r="N506" s="260">
        <v>91000</v>
      </c>
      <c r="O506" s="260">
        <v>6370</v>
      </c>
      <c r="P506" s="260">
        <f t="shared" si="81"/>
        <v>97370</v>
      </c>
      <c r="Q506" s="311"/>
      <c r="R506" s="113"/>
      <c r="S506" s="114"/>
      <c r="T506" s="115"/>
      <c r="U506" s="550"/>
      <c r="V506" s="551"/>
      <c r="W506" s="552"/>
      <c r="X506" s="552"/>
      <c r="Y506" s="553"/>
      <c r="Z506" s="120"/>
      <c r="AA506" s="229">
        <v>18060221</v>
      </c>
      <c r="AB506" s="230">
        <v>22750</v>
      </c>
      <c r="AC506" s="220">
        <f t="shared" si="84"/>
        <v>1592.5</v>
      </c>
      <c r="AD506" s="220">
        <f t="shared" si="85"/>
        <v>24342.5</v>
      </c>
      <c r="AE506" s="221">
        <v>43296</v>
      </c>
      <c r="AF506" s="121" t="s">
        <v>869</v>
      </c>
      <c r="AG506" s="121"/>
      <c r="AH506" s="121"/>
      <c r="AI506" s="222" t="s">
        <v>2192</v>
      </c>
      <c r="AJ506" s="128">
        <v>1</v>
      </c>
      <c r="AK506" s="129" t="s">
        <v>692</v>
      </c>
      <c r="AL506" s="130"/>
      <c r="AM506" s="130"/>
      <c r="AN506" s="131">
        <v>1</v>
      </c>
      <c r="AO506" s="132" t="s">
        <v>628</v>
      </c>
      <c r="AP506" s="361"/>
      <c r="AQ506" s="361"/>
      <c r="AR506" s="128"/>
      <c r="AS506" s="128"/>
      <c r="AT506" s="361"/>
      <c r="AU506" s="133"/>
      <c r="AV506" s="361"/>
      <c r="AW506" s="361"/>
      <c r="AX506" s="128"/>
      <c r="AY506" s="128"/>
      <c r="AZ506" s="361"/>
      <c r="BA506" s="133"/>
      <c r="BB506" s="361"/>
      <c r="BC506" s="361"/>
      <c r="BD506" s="128"/>
      <c r="BE506" s="128"/>
      <c r="BF506" s="361"/>
      <c r="BG506" s="133"/>
      <c r="BH506" s="361"/>
      <c r="BI506" s="361"/>
      <c r="BJ506" s="128"/>
      <c r="BK506" s="128"/>
      <c r="BL506" s="361"/>
      <c r="BM506" s="361"/>
      <c r="BN506" s="361"/>
      <c r="BO506" s="361"/>
      <c r="BP506" s="128"/>
      <c r="BQ506" s="128"/>
      <c r="BR506" s="361"/>
      <c r="BS506" s="361"/>
      <c r="BT506" s="361"/>
      <c r="BU506" s="361"/>
      <c r="BV506" s="128"/>
      <c r="BW506" s="128"/>
      <c r="BX506" s="361"/>
      <c r="BY506" s="361"/>
      <c r="BZ506" s="361"/>
      <c r="CA506" s="361"/>
      <c r="CB506" s="128"/>
      <c r="CC506" s="128"/>
      <c r="CD506" s="361"/>
      <c r="CE506" s="361"/>
    </row>
    <row r="507" spans="1:83" x14ac:dyDescent="0.5">
      <c r="A507" s="262"/>
      <c r="B507" s="135"/>
      <c r="C507" s="276"/>
      <c r="D507" s="277"/>
      <c r="E507" s="278"/>
      <c r="F507" s="279"/>
      <c r="G507" s="280"/>
      <c r="H507" s="281"/>
      <c r="I507" s="836"/>
      <c r="J507" s="280"/>
      <c r="K507" s="255"/>
      <c r="L507" s="300"/>
      <c r="M507" s="135"/>
      <c r="N507" s="253"/>
      <c r="O507" s="253"/>
      <c r="P507" s="253"/>
      <c r="Q507" s="143"/>
      <c r="R507" s="144"/>
      <c r="S507" s="145"/>
      <c r="T507" s="146"/>
      <c r="U507" s="529"/>
      <c r="V507" s="555"/>
      <c r="W507" s="556"/>
      <c r="X507" s="556"/>
      <c r="Y507" s="557"/>
      <c r="Z507" s="151"/>
      <c r="AA507" s="292">
        <v>18110455</v>
      </c>
      <c r="AB507" s="293">
        <v>22750</v>
      </c>
      <c r="AC507" s="307">
        <f t="shared" si="84"/>
        <v>1592.5</v>
      </c>
      <c r="AD507" s="307">
        <f t="shared" si="85"/>
        <v>24342.5</v>
      </c>
      <c r="AE507" s="295">
        <v>43453</v>
      </c>
      <c r="AF507" s="296" t="s">
        <v>869</v>
      </c>
      <c r="AG507" s="296"/>
      <c r="AH507" s="296"/>
      <c r="AI507" s="308" t="s">
        <v>2193</v>
      </c>
      <c r="AJ507" s="158"/>
      <c r="AK507" s="159"/>
      <c r="AL507" s="160"/>
      <c r="AM507" s="160"/>
      <c r="AN507" s="161"/>
      <c r="AO507" s="162"/>
      <c r="AP507" s="458"/>
      <c r="AQ507" s="458"/>
      <c r="AR507" s="158"/>
      <c r="AS507" s="158"/>
      <c r="AT507" s="458"/>
      <c r="AU507" s="163"/>
      <c r="AV507" s="458"/>
      <c r="AW507" s="458"/>
      <c r="AX507" s="158"/>
      <c r="AY507" s="158"/>
      <c r="AZ507" s="458"/>
      <c r="BA507" s="163"/>
      <c r="BB507" s="458"/>
      <c r="BC507" s="458"/>
      <c r="BD507" s="158"/>
      <c r="BE507" s="158"/>
      <c r="BF507" s="458"/>
      <c r="BG507" s="163"/>
      <c r="BH507" s="458"/>
      <c r="BI507" s="458"/>
      <c r="BJ507" s="158"/>
      <c r="BK507" s="158"/>
      <c r="BL507" s="458"/>
      <c r="BM507" s="458"/>
      <c r="BN507" s="458"/>
      <c r="BO507" s="458"/>
      <c r="BP507" s="158"/>
      <c r="BQ507" s="158"/>
      <c r="BR507" s="458"/>
      <c r="BS507" s="458"/>
      <c r="BT507" s="458"/>
      <c r="BU507" s="458"/>
      <c r="BV507" s="158"/>
      <c r="BW507" s="158"/>
      <c r="BX507" s="458"/>
      <c r="BY507" s="458"/>
      <c r="BZ507" s="458"/>
      <c r="CA507" s="458"/>
      <c r="CB507" s="158"/>
      <c r="CC507" s="158"/>
      <c r="CD507" s="458"/>
      <c r="CE507" s="458"/>
    </row>
    <row r="508" spans="1:83" x14ac:dyDescent="0.5">
      <c r="A508" s="262"/>
      <c r="B508" s="135"/>
      <c r="C508" s="276"/>
      <c r="D508" s="277"/>
      <c r="E508" s="278"/>
      <c r="F508" s="279"/>
      <c r="G508" s="280"/>
      <c r="H508" s="281"/>
      <c r="I508" s="836"/>
      <c r="J508" s="280"/>
      <c r="K508" s="255"/>
      <c r="L508" s="300"/>
      <c r="M508" s="135"/>
      <c r="N508" s="253"/>
      <c r="O508" s="253"/>
      <c r="P508" s="253"/>
      <c r="Q508" s="143"/>
      <c r="R508" s="144"/>
      <c r="S508" s="145"/>
      <c r="T508" s="146"/>
      <c r="U508" s="529"/>
      <c r="V508" s="555"/>
      <c r="W508" s="556"/>
      <c r="X508" s="556"/>
      <c r="Y508" s="557"/>
      <c r="Z508" s="151"/>
      <c r="AA508" s="292">
        <v>19050163</v>
      </c>
      <c r="AB508" s="293">
        <v>22750</v>
      </c>
      <c r="AC508" s="307">
        <f t="shared" si="84"/>
        <v>1592.5</v>
      </c>
      <c r="AD508" s="307">
        <f t="shared" si="85"/>
        <v>24342.5</v>
      </c>
      <c r="AE508" s="295">
        <v>43623</v>
      </c>
      <c r="AF508" s="296" t="s">
        <v>869</v>
      </c>
      <c r="AG508" s="296"/>
      <c r="AH508" s="296"/>
      <c r="AI508" s="308" t="s">
        <v>2767</v>
      </c>
      <c r="AJ508" s="158"/>
      <c r="AK508" s="159"/>
      <c r="AL508" s="160"/>
      <c r="AM508" s="160"/>
      <c r="AN508" s="161"/>
      <c r="AO508" s="162"/>
      <c r="AP508" s="458"/>
      <c r="AQ508" s="458"/>
      <c r="AR508" s="158"/>
      <c r="AS508" s="158"/>
      <c r="AT508" s="458"/>
      <c r="AU508" s="163"/>
      <c r="AV508" s="458"/>
      <c r="AW508" s="458"/>
      <c r="AX508" s="158"/>
      <c r="AY508" s="158"/>
      <c r="AZ508" s="458"/>
      <c r="BA508" s="163"/>
      <c r="BB508" s="458"/>
      <c r="BC508" s="458"/>
      <c r="BD508" s="158"/>
      <c r="BE508" s="158"/>
      <c r="BF508" s="458"/>
      <c r="BG508" s="163"/>
      <c r="BH508" s="458"/>
      <c r="BI508" s="458"/>
      <c r="BJ508" s="158"/>
      <c r="BK508" s="158"/>
      <c r="BL508" s="458"/>
      <c r="BM508" s="458"/>
      <c r="BN508" s="458"/>
      <c r="BO508" s="458"/>
      <c r="BP508" s="158"/>
      <c r="BQ508" s="158"/>
      <c r="BR508" s="458"/>
      <c r="BS508" s="458"/>
      <c r="BT508" s="458"/>
      <c r="BU508" s="458"/>
      <c r="BV508" s="158"/>
      <c r="BW508" s="158"/>
      <c r="BX508" s="458"/>
      <c r="BY508" s="458"/>
      <c r="BZ508" s="458"/>
      <c r="CA508" s="458"/>
      <c r="CB508" s="158"/>
      <c r="CC508" s="158"/>
      <c r="CD508" s="458"/>
      <c r="CE508" s="458"/>
    </row>
    <row r="509" spans="1:83" x14ac:dyDescent="0.5">
      <c r="A509" s="262"/>
      <c r="B509" s="135"/>
      <c r="C509" s="276"/>
      <c r="D509" s="277"/>
      <c r="E509" s="278"/>
      <c r="F509" s="279"/>
      <c r="G509" s="280"/>
      <c r="H509" s="281"/>
      <c r="I509" s="836"/>
      <c r="J509" s="280"/>
      <c r="K509" s="255"/>
      <c r="L509" s="300"/>
      <c r="M509" s="135"/>
      <c r="N509" s="253"/>
      <c r="O509" s="253"/>
      <c r="P509" s="253"/>
      <c r="Q509" s="143"/>
      <c r="R509" s="144"/>
      <c r="S509" s="145"/>
      <c r="T509" s="146"/>
      <c r="U509" s="529"/>
      <c r="V509" s="555"/>
      <c r="W509" s="556"/>
      <c r="X509" s="556"/>
      <c r="Y509" s="557"/>
      <c r="Z509" s="151"/>
      <c r="AA509" s="154">
        <v>19100425</v>
      </c>
      <c r="AB509" s="155">
        <v>22750</v>
      </c>
      <c r="AC509" s="156">
        <f t="shared" si="84"/>
        <v>1592.5</v>
      </c>
      <c r="AD509" s="156">
        <f t="shared" si="85"/>
        <v>24342.5</v>
      </c>
      <c r="AE509" s="157">
        <v>43796</v>
      </c>
      <c r="AF509" s="152" t="s">
        <v>869</v>
      </c>
      <c r="AG509" s="152"/>
      <c r="AH509" s="152"/>
      <c r="AI509" s="134" t="s">
        <v>3486</v>
      </c>
      <c r="AJ509" s="158"/>
      <c r="AK509" s="159"/>
      <c r="AL509" s="160"/>
      <c r="AM509" s="160"/>
      <c r="AN509" s="161"/>
      <c r="AO509" s="162"/>
      <c r="AP509" s="458"/>
      <c r="AQ509" s="458"/>
      <c r="AR509" s="158"/>
      <c r="AS509" s="158"/>
      <c r="AT509" s="458"/>
      <c r="AU509" s="163"/>
      <c r="AV509" s="458"/>
      <c r="AW509" s="458"/>
      <c r="AX509" s="158"/>
      <c r="AY509" s="158"/>
      <c r="AZ509" s="458"/>
      <c r="BA509" s="163"/>
      <c r="BB509" s="458"/>
      <c r="BC509" s="458"/>
      <c r="BD509" s="158"/>
      <c r="BE509" s="158"/>
      <c r="BF509" s="458"/>
      <c r="BG509" s="163"/>
      <c r="BH509" s="458"/>
      <c r="BI509" s="458"/>
      <c r="BJ509" s="158"/>
      <c r="BK509" s="158"/>
      <c r="BL509" s="458"/>
      <c r="BM509" s="458"/>
      <c r="BN509" s="458"/>
      <c r="BO509" s="458"/>
      <c r="BP509" s="158"/>
      <c r="BQ509" s="158"/>
      <c r="BR509" s="458"/>
      <c r="BS509" s="458"/>
      <c r="BT509" s="458"/>
      <c r="BU509" s="458"/>
      <c r="BV509" s="158"/>
      <c r="BW509" s="158"/>
      <c r="BX509" s="458"/>
      <c r="BY509" s="458"/>
      <c r="BZ509" s="458"/>
      <c r="CA509" s="458"/>
      <c r="CB509" s="158"/>
      <c r="CC509" s="158"/>
      <c r="CD509" s="458"/>
      <c r="CE509" s="458"/>
    </row>
    <row r="510" spans="1:83" x14ac:dyDescent="0.5">
      <c r="A510" s="259">
        <v>18065826</v>
      </c>
      <c r="B510" s="104">
        <v>18060489</v>
      </c>
      <c r="C510" s="242"/>
      <c r="D510" s="243"/>
      <c r="E510" s="244"/>
      <c r="F510" s="245"/>
      <c r="G510" s="246"/>
      <c r="H510" s="247"/>
      <c r="I510" s="306"/>
      <c r="J510" s="246"/>
      <c r="K510" s="547" t="s">
        <v>275</v>
      </c>
      <c r="L510" s="548" t="s">
        <v>276</v>
      </c>
      <c r="M510" s="104" t="s">
        <v>51</v>
      </c>
      <c r="N510" s="260">
        <v>83000</v>
      </c>
      <c r="O510" s="260">
        <v>5810</v>
      </c>
      <c r="P510" s="260">
        <f t="shared" si="81"/>
        <v>88810</v>
      </c>
      <c r="Q510" s="311"/>
      <c r="R510" s="113"/>
      <c r="S510" s="114"/>
      <c r="T510" s="115"/>
      <c r="U510" s="550"/>
      <c r="V510" s="551"/>
      <c r="W510" s="552"/>
      <c r="X510" s="552"/>
      <c r="Y510" s="553"/>
      <c r="Z510" s="120"/>
      <c r="AA510" s="229">
        <v>18060222</v>
      </c>
      <c r="AB510" s="230">
        <v>20750</v>
      </c>
      <c r="AC510" s="220">
        <f t="shared" si="84"/>
        <v>1452.5</v>
      </c>
      <c r="AD510" s="220">
        <f t="shared" si="85"/>
        <v>22202.5</v>
      </c>
      <c r="AE510" s="221">
        <v>43296</v>
      </c>
      <c r="AF510" s="121" t="s">
        <v>869</v>
      </c>
      <c r="AG510" s="121"/>
      <c r="AH510" s="121"/>
      <c r="AI510" s="222" t="s">
        <v>2763</v>
      </c>
      <c r="AJ510" s="128">
        <v>1</v>
      </c>
      <c r="AK510" s="129" t="s">
        <v>693</v>
      </c>
      <c r="AL510" s="130"/>
      <c r="AM510" s="130"/>
      <c r="AN510" s="131">
        <v>1</v>
      </c>
      <c r="AO510" s="132" t="s">
        <v>628</v>
      </c>
      <c r="AP510" s="361"/>
      <c r="AQ510" s="361"/>
      <c r="AR510" s="128"/>
      <c r="AS510" s="128"/>
      <c r="AT510" s="361"/>
      <c r="AU510" s="133"/>
      <c r="AV510" s="361"/>
      <c r="AW510" s="361"/>
      <c r="AX510" s="128"/>
      <c r="AY510" s="128"/>
      <c r="AZ510" s="361"/>
      <c r="BA510" s="133"/>
      <c r="BB510" s="361"/>
      <c r="BC510" s="361"/>
      <c r="BD510" s="128"/>
      <c r="BE510" s="128"/>
      <c r="BF510" s="361"/>
      <c r="BG510" s="133"/>
      <c r="BH510" s="361"/>
      <c r="BI510" s="361"/>
      <c r="BJ510" s="128"/>
      <c r="BK510" s="128"/>
      <c r="BL510" s="361"/>
      <c r="BM510" s="361"/>
      <c r="BN510" s="361"/>
      <c r="BO510" s="361"/>
      <c r="BP510" s="128"/>
      <c r="BQ510" s="128"/>
      <c r="BR510" s="361"/>
      <c r="BS510" s="361"/>
      <c r="BT510" s="361"/>
      <c r="BU510" s="361"/>
      <c r="BV510" s="128"/>
      <c r="BW510" s="128"/>
      <c r="BX510" s="361"/>
      <c r="BY510" s="361"/>
      <c r="BZ510" s="361"/>
      <c r="CA510" s="361"/>
      <c r="CB510" s="128"/>
      <c r="CC510" s="128"/>
      <c r="CD510" s="361"/>
      <c r="CE510" s="361"/>
    </row>
    <row r="511" spans="1:83" x14ac:dyDescent="0.5">
      <c r="A511" s="262"/>
      <c r="B511" s="135"/>
      <c r="C511" s="276"/>
      <c r="D511" s="277"/>
      <c r="E511" s="278"/>
      <c r="F511" s="279"/>
      <c r="G511" s="280"/>
      <c r="H511" s="281"/>
      <c r="I511" s="836"/>
      <c r="J511" s="280"/>
      <c r="K511" s="255"/>
      <c r="L511" s="300"/>
      <c r="M511" s="135"/>
      <c r="N511" s="253"/>
      <c r="O511" s="253"/>
      <c r="P511" s="253"/>
      <c r="Q511" s="143"/>
      <c r="R511" s="144"/>
      <c r="S511" s="145"/>
      <c r="T511" s="146"/>
      <c r="U511" s="529"/>
      <c r="V511" s="555"/>
      <c r="W511" s="556"/>
      <c r="X511" s="556"/>
      <c r="Y511" s="557"/>
      <c r="Z511" s="151"/>
      <c r="AA511" s="292">
        <v>19050151</v>
      </c>
      <c r="AB511" s="293">
        <v>20750</v>
      </c>
      <c r="AC511" s="307">
        <f t="shared" si="84"/>
        <v>1452.5</v>
      </c>
      <c r="AD511" s="307">
        <f t="shared" si="85"/>
        <v>22202.5</v>
      </c>
      <c r="AE511" s="295">
        <v>43592</v>
      </c>
      <c r="AF511" s="296" t="s">
        <v>869</v>
      </c>
      <c r="AG511" s="296"/>
      <c r="AH511" s="296"/>
      <c r="AI511" s="308" t="s">
        <v>2762</v>
      </c>
      <c r="AJ511" s="158"/>
      <c r="AK511" s="159"/>
      <c r="AL511" s="160"/>
      <c r="AM511" s="160"/>
      <c r="AN511" s="161"/>
      <c r="AO511" s="162"/>
      <c r="AP511" s="458"/>
      <c r="AQ511" s="458"/>
      <c r="AR511" s="158"/>
      <c r="AS511" s="158"/>
      <c r="AT511" s="458"/>
      <c r="AU511" s="163"/>
      <c r="AV511" s="458"/>
      <c r="AW511" s="458"/>
      <c r="AX511" s="158"/>
      <c r="AY511" s="158"/>
      <c r="AZ511" s="458"/>
      <c r="BA511" s="163"/>
      <c r="BB511" s="458"/>
      <c r="BC511" s="458"/>
      <c r="BD511" s="158"/>
      <c r="BE511" s="158"/>
      <c r="BF511" s="458"/>
      <c r="BG511" s="163"/>
      <c r="BH511" s="458"/>
      <c r="BI511" s="458"/>
      <c r="BJ511" s="158"/>
      <c r="BK511" s="158"/>
      <c r="BL511" s="458"/>
      <c r="BM511" s="458"/>
      <c r="BN511" s="458"/>
      <c r="BO511" s="458"/>
      <c r="BP511" s="158"/>
      <c r="BQ511" s="158"/>
      <c r="BR511" s="458"/>
      <c r="BS511" s="458"/>
      <c r="BT511" s="458"/>
      <c r="BU511" s="458"/>
      <c r="BV511" s="158"/>
      <c r="BW511" s="158"/>
      <c r="BX511" s="458"/>
      <c r="BY511" s="458"/>
      <c r="BZ511" s="458"/>
      <c r="CA511" s="458"/>
      <c r="CB511" s="158"/>
      <c r="CC511" s="158"/>
      <c r="CD511" s="458"/>
      <c r="CE511" s="458"/>
    </row>
    <row r="512" spans="1:83" x14ac:dyDescent="0.5">
      <c r="A512" s="262"/>
      <c r="B512" s="135"/>
      <c r="C512" s="276"/>
      <c r="D512" s="277"/>
      <c r="E512" s="278"/>
      <c r="F512" s="279"/>
      <c r="G512" s="280"/>
      <c r="H512" s="281"/>
      <c r="I512" s="836"/>
      <c r="J512" s="280"/>
      <c r="K512" s="255"/>
      <c r="L512" s="300"/>
      <c r="M512" s="135"/>
      <c r="N512" s="253"/>
      <c r="O512" s="253"/>
      <c r="P512" s="253"/>
      <c r="Q512" s="143"/>
      <c r="R512" s="144"/>
      <c r="S512" s="145"/>
      <c r="T512" s="146"/>
      <c r="U512" s="529"/>
      <c r="V512" s="555"/>
      <c r="W512" s="556"/>
      <c r="X512" s="556"/>
      <c r="Y512" s="557"/>
      <c r="Z512" s="151"/>
      <c r="AA512" s="292">
        <v>18110458</v>
      </c>
      <c r="AB512" s="293">
        <v>20750</v>
      </c>
      <c r="AC512" s="307">
        <f t="shared" si="84"/>
        <v>1452.5</v>
      </c>
      <c r="AD512" s="307">
        <f t="shared" si="85"/>
        <v>22202.5</v>
      </c>
      <c r="AE512" s="295">
        <v>43453</v>
      </c>
      <c r="AF512" s="296" t="s">
        <v>869</v>
      </c>
      <c r="AG512" s="296"/>
      <c r="AH512" s="296"/>
      <c r="AI512" s="308" t="s">
        <v>2194</v>
      </c>
      <c r="AJ512" s="158"/>
      <c r="AK512" s="159"/>
      <c r="AL512" s="160"/>
      <c r="AM512" s="160"/>
      <c r="AN512" s="161"/>
      <c r="AO512" s="162"/>
      <c r="AP512" s="458"/>
      <c r="AQ512" s="458"/>
      <c r="AR512" s="158"/>
      <c r="AS512" s="158"/>
      <c r="AT512" s="458"/>
      <c r="AU512" s="163"/>
      <c r="AV512" s="458"/>
      <c r="AW512" s="458"/>
      <c r="AX512" s="158"/>
      <c r="AY512" s="158"/>
      <c r="AZ512" s="458"/>
      <c r="BA512" s="163"/>
      <c r="BB512" s="458"/>
      <c r="BC512" s="458"/>
      <c r="BD512" s="158"/>
      <c r="BE512" s="158"/>
      <c r="BF512" s="458"/>
      <c r="BG512" s="163"/>
      <c r="BH512" s="458"/>
      <c r="BI512" s="458"/>
      <c r="BJ512" s="158"/>
      <c r="BK512" s="158"/>
      <c r="BL512" s="458"/>
      <c r="BM512" s="458"/>
      <c r="BN512" s="458"/>
      <c r="BO512" s="458"/>
      <c r="BP512" s="158"/>
      <c r="BQ512" s="158"/>
      <c r="BR512" s="458"/>
      <c r="BS512" s="458"/>
      <c r="BT512" s="458"/>
      <c r="BU512" s="458"/>
      <c r="BV512" s="158"/>
      <c r="BW512" s="158"/>
      <c r="BX512" s="458"/>
      <c r="BY512" s="458"/>
      <c r="BZ512" s="458"/>
      <c r="CA512" s="458"/>
      <c r="CB512" s="158"/>
      <c r="CC512" s="158"/>
      <c r="CD512" s="458"/>
      <c r="CE512" s="458"/>
    </row>
    <row r="513" spans="1:83" x14ac:dyDescent="0.5">
      <c r="A513" s="262"/>
      <c r="B513" s="135"/>
      <c r="C513" s="276"/>
      <c r="D513" s="277"/>
      <c r="E513" s="278"/>
      <c r="F513" s="279"/>
      <c r="G513" s="280"/>
      <c r="H513" s="281"/>
      <c r="I513" s="836"/>
      <c r="J513" s="280"/>
      <c r="K513" s="255"/>
      <c r="L513" s="300"/>
      <c r="M513" s="135"/>
      <c r="N513" s="253"/>
      <c r="O513" s="253"/>
      <c r="P513" s="253"/>
      <c r="Q513" s="143"/>
      <c r="R513" s="144"/>
      <c r="S513" s="145"/>
      <c r="T513" s="146"/>
      <c r="U513" s="529"/>
      <c r="V513" s="555"/>
      <c r="W513" s="556"/>
      <c r="X513" s="556"/>
      <c r="Y513" s="557"/>
      <c r="Z513" s="151"/>
      <c r="AA513" s="154">
        <v>19100427</v>
      </c>
      <c r="AB513" s="155">
        <v>20750</v>
      </c>
      <c r="AC513" s="156">
        <f t="shared" si="84"/>
        <v>1452.5</v>
      </c>
      <c r="AD513" s="156">
        <f t="shared" si="85"/>
        <v>22202.5</v>
      </c>
      <c r="AE513" s="157">
        <v>43796</v>
      </c>
      <c r="AF513" s="152" t="s">
        <v>869</v>
      </c>
      <c r="AG513" s="152"/>
      <c r="AH513" s="152"/>
      <c r="AI513" s="134" t="s">
        <v>3483</v>
      </c>
      <c r="AJ513" s="158"/>
      <c r="AK513" s="159"/>
      <c r="AL513" s="160"/>
      <c r="AM513" s="160"/>
      <c r="AN513" s="161"/>
      <c r="AO513" s="162"/>
      <c r="AP513" s="458"/>
      <c r="AQ513" s="458"/>
      <c r="AR513" s="158"/>
      <c r="AS513" s="158"/>
      <c r="AT513" s="458"/>
      <c r="AU513" s="163"/>
      <c r="AV513" s="458"/>
      <c r="AW513" s="458"/>
      <c r="AX513" s="158"/>
      <c r="AY513" s="158"/>
      <c r="AZ513" s="458"/>
      <c r="BA513" s="163"/>
      <c r="BB513" s="458"/>
      <c r="BC513" s="458"/>
      <c r="BD513" s="158"/>
      <c r="BE513" s="158"/>
      <c r="BF513" s="458"/>
      <c r="BG513" s="163"/>
      <c r="BH513" s="458"/>
      <c r="BI513" s="458"/>
      <c r="BJ513" s="158"/>
      <c r="BK513" s="158"/>
      <c r="BL513" s="458"/>
      <c r="BM513" s="458"/>
      <c r="BN513" s="458"/>
      <c r="BO513" s="458"/>
      <c r="BP513" s="158"/>
      <c r="BQ513" s="158"/>
      <c r="BR513" s="458"/>
      <c r="BS513" s="458"/>
      <c r="BT513" s="458"/>
      <c r="BU513" s="458"/>
      <c r="BV513" s="158"/>
      <c r="BW513" s="158"/>
      <c r="BX513" s="458"/>
      <c r="BY513" s="458"/>
      <c r="BZ513" s="458"/>
      <c r="CA513" s="458"/>
      <c r="CB513" s="158"/>
      <c r="CC513" s="158"/>
      <c r="CD513" s="458"/>
      <c r="CE513" s="458"/>
    </row>
    <row r="514" spans="1:83" x14ac:dyDescent="0.5">
      <c r="A514" s="259">
        <v>18065825</v>
      </c>
      <c r="B514" s="104">
        <v>18060488</v>
      </c>
      <c r="C514" s="242"/>
      <c r="D514" s="243"/>
      <c r="E514" s="244"/>
      <c r="F514" s="245"/>
      <c r="G514" s="246"/>
      <c r="H514" s="247"/>
      <c r="I514" s="306"/>
      <c r="J514" s="246"/>
      <c r="K514" s="547" t="s">
        <v>277</v>
      </c>
      <c r="L514" s="548" t="s">
        <v>278</v>
      </c>
      <c r="M514" s="104" t="s">
        <v>51</v>
      </c>
      <c r="N514" s="260">
        <v>96000</v>
      </c>
      <c r="O514" s="260">
        <v>6720</v>
      </c>
      <c r="P514" s="260">
        <f t="shared" si="81"/>
        <v>102720</v>
      </c>
      <c r="Q514" s="311"/>
      <c r="R514" s="113"/>
      <c r="S514" s="114"/>
      <c r="T514" s="115"/>
      <c r="U514" s="550"/>
      <c r="V514" s="551"/>
      <c r="W514" s="552"/>
      <c r="X514" s="552"/>
      <c r="Y514" s="553"/>
      <c r="Z514" s="120"/>
      <c r="AA514" s="229">
        <v>18060223</v>
      </c>
      <c r="AB514" s="230">
        <v>24000</v>
      </c>
      <c r="AC514" s="220">
        <f t="shared" si="84"/>
        <v>1680</v>
      </c>
      <c r="AD514" s="220">
        <f t="shared" si="85"/>
        <v>25680</v>
      </c>
      <c r="AE514" s="221">
        <v>43296</v>
      </c>
      <c r="AF514" s="121" t="s">
        <v>869</v>
      </c>
      <c r="AG514" s="121"/>
      <c r="AH514" s="121"/>
      <c r="AI514" s="222" t="s">
        <v>2195</v>
      </c>
      <c r="AJ514" s="128">
        <v>1</v>
      </c>
      <c r="AK514" s="129" t="s">
        <v>694</v>
      </c>
      <c r="AL514" s="130"/>
      <c r="AM514" s="130"/>
      <c r="AN514" s="131">
        <v>1</v>
      </c>
      <c r="AO514" s="132" t="s">
        <v>628</v>
      </c>
      <c r="AP514" s="361"/>
      <c r="AQ514" s="361"/>
      <c r="AR514" s="128"/>
      <c r="AS514" s="128"/>
      <c r="AT514" s="361"/>
      <c r="AU514" s="133"/>
      <c r="AV514" s="361"/>
      <c r="AW514" s="361"/>
      <c r="AX514" s="128"/>
      <c r="AY514" s="128"/>
      <c r="AZ514" s="361"/>
      <c r="BA514" s="133"/>
      <c r="BB514" s="361"/>
      <c r="BC514" s="361"/>
      <c r="BD514" s="128"/>
      <c r="BE514" s="128"/>
      <c r="BF514" s="361"/>
      <c r="BG514" s="133"/>
      <c r="BH514" s="361"/>
      <c r="BI514" s="361"/>
      <c r="BJ514" s="128"/>
      <c r="BK514" s="128"/>
      <c r="BL514" s="361"/>
      <c r="BM514" s="361"/>
      <c r="BN514" s="361"/>
      <c r="BO514" s="361"/>
      <c r="BP514" s="128"/>
      <c r="BQ514" s="128"/>
      <c r="BR514" s="361"/>
      <c r="BS514" s="361"/>
      <c r="BT514" s="361"/>
      <c r="BU514" s="361"/>
      <c r="BV514" s="128"/>
      <c r="BW514" s="128"/>
      <c r="BX514" s="361"/>
      <c r="BY514" s="361"/>
      <c r="BZ514" s="361"/>
      <c r="CA514" s="361"/>
      <c r="CB514" s="128"/>
      <c r="CC514" s="128"/>
      <c r="CD514" s="361"/>
      <c r="CE514" s="361"/>
    </row>
    <row r="515" spans="1:83" x14ac:dyDescent="0.5">
      <c r="A515" s="262"/>
      <c r="B515" s="135"/>
      <c r="C515" s="276"/>
      <c r="D515" s="277"/>
      <c r="E515" s="278"/>
      <c r="F515" s="279"/>
      <c r="G515" s="280"/>
      <c r="H515" s="281"/>
      <c r="I515" s="836"/>
      <c r="J515" s="280"/>
      <c r="K515" s="255"/>
      <c r="L515" s="300"/>
      <c r="M515" s="135"/>
      <c r="N515" s="253"/>
      <c r="O515" s="253"/>
      <c r="P515" s="253"/>
      <c r="Q515" s="143"/>
      <c r="R515" s="144"/>
      <c r="S515" s="145"/>
      <c r="T515" s="146"/>
      <c r="U515" s="529"/>
      <c r="V515" s="555"/>
      <c r="W515" s="556"/>
      <c r="X515" s="556"/>
      <c r="Y515" s="557"/>
      <c r="Z515" s="151"/>
      <c r="AA515" s="292">
        <v>18110447</v>
      </c>
      <c r="AB515" s="293">
        <v>24000</v>
      </c>
      <c r="AC515" s="307">
        <f t="shared" si="84"/>
        <v>1680</v>
      </c>
      <c r="AD515" s="307">
        <f t="shared" si="85"/>
        <v>25680</v>
      </c>
      <c r="AE515" s="295">
        <v>43450</v>
      </c>
      <c r="AF515" s="296" t="s">
        <v>869</v>
      </c>
      <c r="AG515" s="296"/>
      <c r="AH515" s="296"/>
      <c r="AI515" s="308" t="s">
        <v>2196</v>
      </c>
      <c r="AJ515" s="158"/>
      <c r="AK515" s="159"/>
      <c r="AL515" s="160"/>
      <c r="AM515" s="160"/>
      <c r="AN515" s="161"/>
      <c r="AO515" s="162"/>
      <c r="AP515" s="458"/>
      <c r="AQ515" s="458"/>
      <c r="AR515" s="158"/>
      <c r="AS515" s="158"/>
      <c r="AT515" s="458"/>
      <c r="AU515" s="163"/>
      <c r="AV515" s="458"/>
      <c r="AW515" s="458"/>
      <c r="AX515" s="158"/>
      <c r="AY515" s="158"/>
      <c r="AZ515" s="458"/>
      <c r="BA515" s="163"/>
      <c r="BB515" s="458"/>
      <c r="BC515" s="458"/>
      <c r="BD515" s="158"/>
      <c r="BE515" s="158"/>
      <c r="BF515" s="458"/>
      <c r="BG515" s="163"/>
      <c r="BH515" s="458"/>
      <c r="BI515" s="458"/>
      <c r="BJ515" s="158"/>
      <c r="BK515" s="158"/>
      <c r="BL515" s="458"/>
      <c r="BM515" s="458"/>
      <c r="BN515" s="458"/>
      <c r="BO515" s="458"/>
      <c r="BP515" s="158"/>
      <c r="BQ515" s="158"/>
      <c r="BR515" s="458"/>
      <c r="BS515" s="458"/>
      <c r="BT515" s="458"/>
      <c r="BU515" s="458"/>
      <c r="BV515" s="158"/>
      <c r="BW515" s="158"/>
      <c r="BX515" s="458"/>
      <c r="BY515" s="458"/>
      <c r="BZ515" s="458"/>
      <c r="CA515" s="458"/>
      <c r="CB515" s="158"/>
      <c r="CC515" s="158"/>
      <c r="CD515" s="458"/>
      <c r="CE515" s="458"/>
    </row>
    <row r="516" spans="1:83" x14ac:dyDescent="0.5">
      <c r="A516" s="262"/>
      <c r="B516" s="135"/>
      <c r="C516" s="276"/>
      <c r="D516" s="277"/>
      <c r="E516" s="278"/>
      <c r="F516" s="279"/>
      <c r="G516" s="280"/>
      <c r="H516" s="281"/>
      <c r="I516" s="836"/>
      <c r="J516" s="280"/>
      <c r="K516" s="255"/>
      <c r="L516" s="300"/>
      <c r="M516" s="135"/>
      <c r="N516" s="253"/>
      <c r="O516" s="253"/>
      <c r="P516" s="253"/>
      <c r="Q516" s="143"/>
      <c r="R516" s="144"/>
      <c r="S516" s="145"/>
      <c r="T516" s="146"/>
      <c r="U516" s="529"/>
      <c r="V516" s="555"/>
      <c r="W516" s="556"/>
      <c r="X516" s="556"/>
      <c r="Y516" s="557"/>
      <c r="Z516" s="151"/>
      <c r="AA516" s="292">
        <v>19050165</v>
      </c>
      <c r="AB516" s="293">
        <v>24000</v>
      </c>
      <c r="AC516" s="307">
        <f t="shared" si="84"/>
        <v>1680</v>
      </c>
      <c r="AD516" s="307">
        <f t="shared" si="85"/>
        <v>25680</v>
      </c>
      <c r="AE516" s="295">
        <v>43623</v>
      </c>
      <c r="AF516" s="296" t="s">
        <v>869</v>
      </c>
      <c r="AG516" s="296"/>
      <c r="AH516" s="296"/>
      <c r="AI516" s="308" t="s">
        <v>2766</v>
      </c>
      <c r="AJ516" s="158"/>
      <c r="AK516" s="159"/>
      <c r="AL516" s="160"/>
      <c r="AM516" s="160"/>
      <c r="AN516" s="161"/>
      <c r="AO516" s="162"/>
      <c r="AP516" s="458"/>
      <c r="AQ516" s="458"/>
      <c r="AR516" s="158"/>
      <c r="AS516" s="158"/>
      <c r="AT516" s="458"/>
      <c r="AU516" s="163"/>
      <c r="AV516" s="458"/>
      <c r="AW516" s="458"/>
      <c r="AX516" s="158"/>
      <c r="AY516" s="158"/>
      <c r="AZ516" s="458"/>
      <c r="BA516" s="163"/>
      <c r="BB516" s="458"/>
      <c r="BC516" s="458"/>
      <c r="BD516" s="158"/>
      <c r="BE516" s="158"/>
      <c r="BF516" s="458"/>
      <c r="BG516" s="163"/>
      <c r="BH516" s="458"/>
      <c r="BI516" s="458"/>
      <c r="BJ516" s="158"/>
      <c r="BK516" s="158"/>
      <c r="BL516" s="458"/>
      <c r="BM516" s="458"/>
      <c r="BN516" s="458"/>
      <c r="BO516" s="458"/>
      <c r="BP516" s="158"/>
      <c r="BQ516" s="158"/>
      <c r="BR516" s="458"/>
      <c r="BS516" s="458"/>
      <c r="BT516" s="458"/>
      <c r="BU516" s="458"/>
      <c r="BV516" s="158"/>
      <c r="BW516" s="158"/>
      <c r="BX516" s="458"/>
      <c r="BY516" s="458"/>
      <c r="BZ516" s="458"/>
      <c r="CA516" s="458"/>
      <c r="CB516" s="158"/>
      <c r="CC516" s="158"/>
      <c r="CD516" s="458"/>
      <c r="CE516" s="458"/>
    </row>
    <row r="517" spans="1:83" x14ac:dyDescent="0.5">
      <c r="A517" s="268"/>
      <c r="B517" s="181"/>
      <c r="C517" s="285"/>
      <c r="D517" s="286"/>
      <c r="E517" s="287"/>
      <c r="F517" s="288"/>
      <c r="G517" s="289"/>
      <c r="H517" s="290"/>
      <c r="I517" s="832"/>
      <c r="J517" s="289"/>
      <c r="K517" s="240"/>
      <c r="L517" s="558"/>
      <c r="M517" s="181"/>
      <c r="N517" s="237"/>
      <c r="O517" s="237"/>
      <c r="P517" s="237"/>
      <c r="Q517" s="190"/>
      <c r="R517" s="215"/>
      <c r="S517" s="216"/>
      <c r="T517" s="217"/>
      <c r="U517" s="544"/>
      <c r="V517" s="560"/>
      <c r="W517" s="561"/>
      <c r="X517" s="561"/>
      <c r="Y517" s="562"/>
      <c r="Z517" s="198"/>
      <c r="AA517" s="200">
        <v>19100426</v>
      </c>
      <c r="AB517" s="201">
        <v>24000</v>
      </c>
      <c r="AC517" s="202">
        <f t="shared" si="84"/>
        <v>1680</v>
      </c>
      <c r="AD517" s="202">
        <f t="shared" si="85"/>
        <v>25680</v>
      </c>
      <c r="AE517" s="203">
        <v>43796</v>
      </c>
      <c r="AF517" s="199" t="s">
        <v>869</v>
      </c>
      <c r="AG517" s="199"/>
      <c r="AH517" s="199"/>
      <c r="AI517" s="180" t="s">
        <v>3485</v>
      </c>
      <c r="AJ517" s="204"/>
      <c r="AK517" s="205"/>
      <c r="AL517" s="206"/>
      <c r="AM517" s="206"/>
      <c r="AN517" s="207"/>
      <c r="AO517" s="208"/>
      <c r="AP517" s="365"/>
      <c r="AQ517" s="365"/>
      <c r="AR517" s="204"/>
      <c r="AS517" s="204"/>
      <c r="AT517" s="365"/>
      <c r="AU517" s="210"/>
      <c r="AV517" s="365"/>
      <c r="AW517" s="365"/>
      <c r="AX517" s="204"/>
      <c r="AY517" s="204"/>
      <c r="AZ517" s="365"/>
      <c r="BA517" s="210"/>
      <c r="BB517" s="365"/>
      <c r="BC517" s="365"/>
      <c r="BD517" s="204"/>
      <c r="BE517" s="204"/>
      <c r="BF517" s="365"/>
      <c r="BG517" s="210"/>
      <c r="BH517" s="365"/>
      <c r="BI517" s="365"/>
      <c r="BJ517" s="204"/>
      <c r="BK517" s="204"/>
      <c r="BL517" s="365"/>
      <c r="BM517" s="365"/>
      <c r="BN517" s="365"/>
      <c r="BO517" s="365"/>
      <c r="BP517" s="204"/>
      <c r="BQ517" s="204"/>
      <c r="BR517" s="365"/>
      <c r="BS517" s="365"/>
      <c r="BT517" s="365"/>
      <c r="BU517" s="365"/>
      <c r="BV517" s="204"/>
      <c r="BW517" s="204"/>
      <c r="BX517" s="365"/>
      <c r="BY517" s="365"/>
      <c r="BZ517" s="365"/>
      <c r="CA517" s="365"/>
      <c r="CB517" s="204"/>
      <c r="CC517" s="204"/>
      <c r="CD517" s="365"/>
      <c r="CE517" s="365"/>
    </row>
    <row r="518" spans="1:83" s="95" customFormat="1" x14ac:dyDescent="0.5">
      <c r="A518" s="65">
        <v>18065824</v>
      </c>
      <c r="B518" s="66">
        <v>18060487</v>
      </c>
      <c r="C518" s="312"/>
      <c r="D518" s="313"/>
      <c r="E518" s="314"/>
      <c r="F518" s="315"/>
      <c r="G518" s="316"/>
      <c r="H518" s="317"/>
      <c r="I518" s="835"/>
      <c r="J518" s="316"/>
      <c r="K518" s="86" t="s">
        <v>279</v>
      </c>
      <c r="L518" s="589" t="s">
        <v>280</v>
      </c>
      <c r="M518" s="66" t="s">
        <v>51</v>
      </c>
      <c r="N518" s="590">
        <v>103000</v>
      </c>
      <c r="O518" s="590">
        <v>7210</v>
      </c>
      <c r="P518" s="590">
        <f t="shared" si="81"/>
        <v>110210</v>
      </c>
      <c r="Q518" s="74"/>
      <c r="R518" s="75"/>
      <c r="S518" s="76"/>
      <c r="T518" s="77"/>
      <c r="U518" s="591"/>
      <c r="V518" s="592"/>
      <c r="W518" s="593"/>
      <c r="X518" s="593"/>
      <c r="Y518" s="594"/>
      <c r="Z518" s="82"/>
      <c r="AA518" s="84"/>
      <c r="AB518" s="85"/>
      <c r="AC518" s="86"/>
      <c r="AD518" s="86"/>
      <c r="AE518" s="87"/>
      <c r="AF518" s="83"/>
      <c r="AG518" s="83"/>
      <c r="AH518" s="83"/>
      <c r="AI518" s="65"/>
      <c r="AJ518" s="88">
        <v>1</v>
      </c>
      <c r="AK518" s="89" t="s">
        <v>605</v>
      </c>
      <c r="AL518" s="90"/>
      <c r="AM518" s="90"/>
      <c r="AN518" s="91">
        <v>1</v>
      </c>
      <c r="AO518" s="92" t="s">
        <v>628</v>
      </c>
      <c r="AP518" s="607"/>
      <c r="AQ518" s="607"/>
      <c r="AR518" s="88"/>
      <c r="AS518" s="88"/>
      <c r="AT518" s="607"/>
      <c r="AU518" s="94"/>
      <c r="AV518" s="607"/>
      <c r="AW518" s="607"/>
      <c r="AX518" s="88"/>
      <c r="AY518" s="88"/>
      <c r="AZ518" s="607"/>
      <c r="BA518" s="94"/>
      <c r="BB518" s="607"/>
      <c r="BC518" s="607"/>
      <c r="BD518" s="88"/>
      <c r="BE518" s="88"/>
      <c r="BF518" s="607"/>
      <c r="BG518" s="94"/>
      <c r="BH518" s="607"/>
      <c r="BI518" s="607"/>
      <c r="BJ518" s="88"/>
      <c r="BK518" s="88"/>
      <c r="BL518" s="607"/>
      <c r="BM518" s="607"/>
      <c r="BN518" s="607"/>
      <c r="BO518" s="607"/>
      <c r="BP518" s="88"/>
      <c r="BQ518" s="88"/>
      <c r="BR518" s="607"/>
      <c r="BS518" s="607"/>
      <c r="BT518" s="607"/>
      <c r="BU518" s="607"/>
      <c r="BV518" s="88"/>
      <c r="BW518" s="88"/>
      <c r="BX518" s="607"/>
      <c r="BY518" s="607"/>
      <c r="BZ518" s="607"/>
      <c r="CA518" s="607"/>
      <c r="CB518" s="88"/>
      <c r="CC518" s="88"/>
      <c r="CD518" s="607"/>
      <c r="CE518" s="607"/>
    </row>
    <row r="519" spans="1:83" x14ac:dyDescent="0.5">
      <c r="A519" s="259">
        <v>18065823</v>
      </c>
      <c r="B519" s="104">
        <v>18060486</v>
      </c>
      <c r="C519" s="242"/>
      <c r="D519" s="243"/>
      <c r="E519" s="244"/>
      <c r="F519" s="245"/>
      <c r="G519" s="246"/>
      <c r="H519" s="247"/>
      <c r="I519" s="306"/>
      <c r="J519" s="246"/>
      <c r="K519" s="547" t="s">
        <v>281</v>
      </c>
      <c r="L519" s="548" t="s">
        <v>282</v>
      </c>
      <c r="M519" s="104" t="s">
        <v>51</v>
      </c>
      <c r="N519" s="260">
        <v>97000</v>
      </c>
      <c r="O519" s="260">
        <v>6790</v>
      </c>
      <c r="P519" s="260">
        <f t="shared" si="81"/>
        <v>103790</v>
      </c>
      <c r="Q519" s="311"/>
      <c r="R519" s="113"/>
      <c r="S519" s="114"/>
      <c r="T519" s="115"/>
      <c r="U519" s="550"/>
      <c r="V519" s="551"/>
      <c r="W519" s="552"/>
      <c r="X519" s="552"/>
      <c r="Y519" s="553"/>
      <c r="Z519" s="120"/>
      <c r="AA519" s="229">
        <v>18060225</v>
      </c>
      <c r="AB519" s="230">
        <v>24250</v>
      </c>
      <c r="AC519" s="220">
        <f>AB519*7/100</f>
        <v>1697.5</v>
      </c>
      <c r="AD519" s="220">
        <f>AB519+AC519</f>
        <v>25947.5</v>
      </c>
      <c r="AE519" s="221">
        <v>43296</v>
      </c>
      <c r="AF519" s="121" t="s">
        <v>869</v>
      </c>
      <c r="AG519" s="121"/>
      <c r="AH519" s="121"/>
      <c r="AI519" s="222" t="s">
        <v>2197</v>
      </c>
      <c r="AJ519" s="128">
        <v>1</v>
      </c>
      <c r="AK519" s="129" t="s">
        <v>695</v>
      </c>
      <c r="AL519" s="130"/>
      <c r="AM519" s="130"/>
      <c r="AN519" s="131">
        <v>1</v>
      </c>
      <c r="AO519" s="132" t="s">
        <v>628</v>
      </c>
      <c r="AP519" s="361"/>
      <c r="AQ519" s="361"/>
      <c r="AR519" s="128"/>
      <c r="AS519" s="128"/>
      <c r="AT519" s="361"/>
      <c r="AU519" s="133"/>
      <c r="AV519" s="361"/>
      <c r="AW519" s="361"/>
      <c r="AX519" s="128"/>
      <c r="AY519" s="128"/>
      <c r="AZ519" s="361"/>
      <c r="BA519" s="133"/>
      <c r="BB519" s="361"/>
      <c r="BC519" s="361"/>
      <c r="BD519" s="128"/>
      <c r="BE519" s="128"/>
      <c r="BF519" s="361"/>
      <c r="BG519" s="133"/>
      <c r="BH519" s="361"/>
      <c r="BI519" s="361"/>
      <c r="BJ519" s="128"/>
      <c r="BK519" s="128"/>
      <c r="BL519" s="361"/>
      <c r="BM519" s="361"/>
      <c r="BN519" s="361"/>
      <c r="BO519" s="361"/>
      <c r="BP519" s="128"/>
      <c r="BQ519" s="128"/>
      <c r="BR519" s="361"/>
      <c r="BS519" s="361"/>
      <c r="BT519" s="361"/>
      <c r="BU519" s="361"/>
      <c r="BV519" s="128"/>
      <c r="BW519" s="128"/>
      <c r="BX519" s="361"/>
      <c r="BY519" s="361"/>
      <c r="BZ519" s="361"/>
      <c r="CA519" s="361"/>
      <c r="CB519" s="128"/>
      <c r="CC519" s="128"/>
      <c r="CD519" s="128"/>
      <c r="CE519" s="128"/>
    </row>
    <row r="520" spans="1:83" x14ac:dyDescent="0.5">
      <c r="A520" s="262"/>
      <c r="B520" s="135"/>
      <c r="C520" s="276"/>
      <c r="D520" s="277"/>
      <c r="E520" s="278"/>
      <c r="F520" s="279"/>
      <c r="G520" s="280"/>
      <c r="H520" s="281"/>
      <c r="I520" s="836"/>
      <c r="J520" s="280"/>
      <c r="K520" s="255"/>
      <c r="L520" s="300"/>
      <c r="M520" s="135"/>
      <c r="N520" s="253"/>
      <c r="O520" s="253"/>
      <c r="P520" s="253"/>
      <c r="Q520" s="143"/>
      <c r="R520" s="144"/>
      <c r="S520" s="145"/>
      <c r="T520" s="146"/>
      <c r="U520" s="529"/>
      <c r="V520" s="555"/>
      <c r="W520" s="556"/>
      <c r="X520" s="556"/>
      <c r="Y520" s="557"/>
      <c r="Z520" s="151"/>
      <c r="AA520" s="292">
        <v>18110444</v>
      </c>
      <c r="AB520" s="293">
        <v>24250</v>
      </c>
      <c r="AC520" s="307">
        <f>AB520*7/100</f>
        <v>1697.5</v>
      </c>
      <c r="AD520" s="307">
        <f>AB520+AC520</f>
        <v>25947.5</v>
      </c>
      <c r="AE520" s="295">
        <v>43450</v>
      </c>
      <c r="AF520" s="296" t="s">
        <v>869</v>
      </c>
      <c r="AG520" s="296"/>
      <c r="AH520" s="296"/>
      <c r="AI520" s="308" t="s">
        <v>2198</v>
      </c>
      <c r="AJ520" s="158"/>
      <c r="AK520" s="159"/>
      <c r="AL520" s="160"/>
      <c r="AM520" s="160"/>
      <c r="AN520" s="161"/>
      <c r="AO520" s="162"/>
      <c r="AP520" s="458"/>
      <c r="AQ520" s="458"/>
      <c r="AR520" s="158"/>
      <c r="AS520" s="158"/>
      <c r="AT520" s="458"/>
      <c r="AU520" s="163"/>
      <c r="AV520" s="458"/>
      <c r="AW520" s="458"/>
      <c r="AX520" s="158"/>
      <c r="AY520" s="158"/>
      <c r="AZ520" s="458"/>
      <c r="BA520" s="163"/>
      <c r="BB520" s="458"/>
      <c r="BC520" s="458"/>
      <c r="BD520" s="158"/>
      <c r="BE520" s="158"/>
      <c r="BF520" s="458"/>
      <c r="BG520" s="163"/>
      <c r="BH520" s="458"/>
      <c r="BI520" s="458"/>
      <c r="BJ520" s="158"/>
      <c r="BK520" s="158"/>
      <c r="BL520" s="458"/>
      <c r="BM520" s="458"/>
      <c r="BN520" s="458"/>
      <c r="BO520" s="458"/>
      <c r="BP520" s="158"/>
      <c r="BQ520" s="158"/>
      <c r="BR520" s="458"/>
      <c r="BS520" s="458"/>
      <c r="BT520" s="458"/>
      <c r="BU520" s="458"/>
      <c r="BV520" s="158"/>
      <c r="BW520" s="158"/>
      <c r="BX520" s="458"/>
      <c r="BY520" s="458"/>
      <c r="BZ520" s="458"/>
      <c r="CA520" s="458"/>
      <c r="CB520" s="158"/>
      <c r="CC520" s="158"/>
      <c r="CD520" s="158"/>
      <c r="CE520" s="158"/>
    </row>
    <row r="521" spans="1:83" x14ac:dyDescent="0.5">
      <c r="A521" s="262"/>
      <c r="B521" s="135"/>
      <c r="C521" s="276"/>
      <c r="D521" s="277"/>
      <c r="E521" s="278"/>
      <c r="F521" s="279"/>
      <c r="G521" s="280"/>
      <c r="H521" s="281"/>
      <c r="I521" s="836"/>
      <c r="J521" s="280"/>
      <c r="K521" s="255"/>
      <c r="L521" s="300"/>
      <c r="M521" s="135"/>
      <c r="N521" s="253"/>
      <c r="O521" s="253"/>
      <c r="P521" s="253"/>
      <c r="Q521" s="143"/>
      <c r="R521" s="144"/>
      <c r="S521" s="145"/>
      <c r="T521" s="146"/>
      <c r="U521" s="529"/>
      <c r="V521" s="555"/>
      <c r="W521" s="556"/>
      <c r="X521" s="556"/>
      <c r="Y521" s="557"/>
      <c r="Z521" s="151"/>
      <c r="AA521" s="292">
        <v>19050160</v>
      </c>
      <c r="AB521" s="293">
        <v>24250</v>
      </c>
      <c r="AC521" s="307">
        <f>AB521*7/100</f>
        <v>1697.5</v>
      </c>
      <c r="AD521" s="307">
        <f>AB521+AC521</f>
        <v>25947.5</v>
      </c>
      <c r="AE521" s="295">
        <v>43622</v>
      </c>
      <c r="AF521" s="296" t="s">
        <v>869</v>
      </c>
      <c r="AG521" s="296"/>
      <c r="AH521" s="296"/>
      <c r="AI521" s="308" t="s">
        <v>2721</v>
      </c>
      <c r="AJ521" s="158"/>
      <c r="AK521" s="159"/>
      <c r="AL521" s="160"/>
      <c r="AM521" s="160"/>
      <c r="AN521" s="161"/>
      <c r="AO521" s="162"/>
      <c r="AP521" s="458"/>
      <c r="AQ521" s="458"/>
      <c r="AR521" s="158"/>
      <c r="AS521" s="158"/>
      <c r="AT521" s="458"/>
      <c r="AU521" s="163"/>
      <c r="AV521" s="458"/>
      <c r="AW521" s="458"/>
      <c r="AX521" s="158"/>
      <c r="AY521" s="158"/>
      <c r="AZ521" s="458"/>
      <c r="BA521" s="163"/>
      <c r="BB521" s="458"/>
      <c r="BC521" s="458"/>
      <c r="BD521" s="158"/>
      <c r="BE521" s="158"/>
      <c r="BF521" s="458"/>
      <c r="BG521" s="163"/>
      <c r="BH521" s="458"/>
      <c r="BI521" s="458"/>
      <c r="BJ521" s="158"/>
      <c r="BK521" s="158"/>
      <c r="BL521" s="458"/>
      <c r="BM521" s="458"/>
      <c r="BN521" s="458"/>
      <c r="BO521" s="458"/>
      <c r="BP521" s="158"/>
      <c r="BQ521" s="158"/>
      <c r="BR521" s="458"/>
      <c r="BS521" s="458"/>
      <c r="BT521" s="458"/>
      <c r="BU521" s="458"/>
      <c r="BV521" s="158"/>
      <c r="BW521" s="158"/>
      <c r="BX521" s="458"/>
      <c r="BY521" s="458"/>
      <c r="BZ521" s="458"/>
      <c r="CA521" s="458"/>
      <c r="CB521" s="158"/>
      <c r="CC521" s="158"/>
      <c r="CD521" s="158"/>
      <c r="CE521" s="158"/>
    </row>
    <row r="522" spans="1:83" x14ac:dyDescent="0.5">
      <c r="A522" s="268"/>
      <c r="B522" s="181"/>
      <c r="C522" s="285"/>
      <c r="D522" s="286"/>
      <c r="E522" s="287"/>
      <c r="F522" s="288"/>
      <c r="G522" s="289"/>
      <c r="H522" s="290"/>
      <c r="I522" s="832"/>
      <c r="J522" s="289"/>
      <c r="K522" s="240"/>
      <c r="L522" s="558"/>
      <c r="M522" s="181"/>
      <c r="N522" s="237"/>
      <c r="O522" s="237"/>
      <c r="P522" s="237"/>
      <c r="Q522" s="190"/>
      <c r="R522" s="215"/>
      <c r="S522" s="216"/>
      <c r="T522" s="217"/>
      <c r="U522" s="544"/>
      <c r="V522" s="560"/>
      <c r="W522" s="561"/>
      <c r="X522" s="561"/>
      <c r="Y522" s="562"/>
      <c r="Z522" s="198"/>
      <c r="AA522" s="200">
        <v>19100429</v>
      </c>
      <c r="AB522" s="201">
        <v>24250</v>
      </c>
      <c r="AC522" s="202">
        <f>AB522*7/100</f>
        <v>1697.5</v>
      </c>
      <c r="AD522" s="202">
        <f>AB522+AC522</f>
        <v>25947.5</v>
      </c>
      <c r="AE522" s="203">
        <v>43796</v>
      </c>
      <c r="AF522" s="199" t="s">
        <v>869</v>
      </c>
      <c r="AG522" s="199"/>
      <c r="AH522" s="199"/>
      <c r="AI522" s="180" t="s">
        <v>3478</v>
      </c>
      <c r="AJ522" s="204"/>
      <c r="AK522" s="205"/>
      <c r="AL522" s="206"/>
      <c r="AM522" s="206"/>
      <c r="AN522" s="207"/>
      <c r="AO522" s="208"/>
      <c r="AP522" s="365"/>
      <c r="AQ522" s="365"/>
      <c r="AR522" s="204"/>
      <c r="AS522" s="204"/>
      <c r="AT522" s="365"/>
      <c r="AU522" s="210"/>
      <c r="AV522" s="365"/>
      <c r="AW522" s="365"/>
      <c r="AX522" s="204"/>
      <c r="AY522" s="204"/>
      <c r="AZ522" s="365"/>
      <c r="BA522" s="210"/>
      <c r="BB522" s="365"/>
      <c r="BC522" s="365"/>
      <c r="BD522" s="204"/>
      <c r="BE522" s="204"/>
      <c r="BF522" s="365"/>
      <c r="BG522" s="210"/>
      <c r="BH522" s="365"/>
      <c r="BI522" s="365"/>
      <c r="BJ522" s="204"/>
      <c r="BK522" s="204"/>
      <c r="BL522" s="365"/>
      <c r="BM522" s="365"/>
      <c r="BN522" s="365"/>
      <c r="BO522" s="365"/>
      <c r="BP522" s="204"/>
      <c r="BQ522" s="204"/>
      <c r="BR522" s="365"/>
      <c r="BS522" s="365"/>
      <c r="BT522" s="365"/>
      <c r="BU522" s="365"/>
      <c r="BV522" s="204"/>
      <c r="BW522" s="204"/>
      <c r="BX522" s="365"/>
      <c r="BY522" s="365"/>
      <c r="BZ522" s="365"/>
      <c r="CA522" s="365"/>
      <c r="CB522" s="204"/>
      <c r="CC522" s="204"/>
      <c r="CD522" s="204"/>
      <c r="CE522" s="204"/>
    </row>
    <row r="523" spans="1:83" x14ac:dyDescent="0.5">
      <c r="A523" s="227">
        <v>18065822</v>
      </c>
      <c r="B523" s="22">
        <v>18060480</v>
      </c>
      <c r="C523" s="23">
        <v>118</v>
      </c>
      <c r="D523" s="24" t="s">
        <v>184</v>
      </c>
      <c r="E523" s="25" t="s">
        <v>185</v>
      </c>
      <c r="F523" s="26">
        <v>139</v>
      </c>
      <c r="G523" s="62">
        <v>43267</v>
      </c>
      <c r="H523" s="27">
        <v>18203</v>
      </c>
      <c r="I523" s="39" t="s">
        <v>869</v>
      </c>
      <c r="J523" s="62">
        <v>43269</v>
      </c>
      <c r="K523" s="42" t="s">
        <v>283</v>
      </c>
      <c r="L523" s="520" t="s">
        <v>284</v>
      </c>
      <c r="M523" s="22" t="s">
        <v>68</v>
      </c>
      <c r="N523" s="63">
        <v>88100</v>
      </c>
      <c r="O523" s="63">
        <v>6167</v>
      </c>
      <c r="P523" s="63">
        <f t="shared" ref="P523:P576" si="86">SUM(N523:O523)</f>
        <v>94267</v>
      </c>
      <c r="X523" s="518">
        <v>440.5</v>
      </c>
      <c r="AA523" s="40">
        <v>18060197</v>
      </c>
      <c r="AB523" s="41">
        <v>88100</v>
      </c>
      <c r="AC523" s="64">
        <f t="shared" ref="AC523:AC530" si="87">AB523*7/100</f>
        <v>6167</v>
      </c>
      <c r="AD523" s="64">
        <f t="shared" ref="AD523:AD530" si="88">AB523+AC523</f>
        <v>94267</v>
      </c>
      <c r="AE523" s="53">
        <v>43262</v>
      </c>
      <c r="AF523" s="39" t="s">
        <v>869</v>
      </c>
      <c r="AI523" s="21" t="s">
        <v>949</v>
      </c>
      <c r="AJ523" s="44">
        <v>1</v>
      </c>
      <c r="AK523" s="45" t="s">
        <v>787</v>
      </c>
      <c r="AM523" s="46" t="s">
        <v>1205</v>
      </c>
      <c r="AN523" s="47">
        <v>1</v>
      </c>
      <c r="AO523" s="48" t="s">
        <v>634</v>
      </c>
      <c r="AP523" s="44">
        <v>2</v>
      </c>
      <c r="AQ523" s="40" t="s">
        <v>813</v>
      </c>
      <c r="AS523" s="47" t="s">
        <v>1205</v>
      </c>
      <c r="AT523" s="47">
        <v>1</v>
      </c>
      <c r="AU523" s="49" t="s">
        <v>634</v>
      </c>
      <c r="AV523" s="356"/>
      <c r="AW523" s="356"/>
      <c r="AX523" s="44"/>
      <c r="AY523" s="44"/>
      <c r="AZ523" s="356"/>
      <c r="BA523" s="54"/>
      <c r="BB523" s="356"/>
      <c r="BC523" s="356"/>
      <c r="BD523" s="44"/>
      <c r="BE523" s="44"/>
      <c r="BF523" s="356"/>
      <c r="BG523" s="54"/>
      <c r="BH523" s="356"/>
      <c r="BI523" s="356"/>
      <c r="BJ523" s="44"/>
      <c r="BK523" s="44"/>
      <c r="BL523" s="356"/>
      <c r="BM523" s="356"/>
      <c r="BN523" s="356"/>
      <c r="BO523" s="356"/>
      <c r="BP523" s="44"/>
      <c r="BQ523" s="44"/>
      <c r="BR523" s="356"/>
      <c r="BS523" s="356"/>
      <c r="BT523" s="356"/>
      <c r="BU523" s="356"/>
      <c r="BV523" s="44"/>
      <c r="BW523" s="44"/>
      <c r="BX523" s="356"/>
      <c r="BY523" s="356"/>
      <c r="BZ523" s="356"/>
      <c r="CA523" s="356"/>
      <c r="CB523" s="44"/>
      <c r="CC523" s="44"/>
      <c r="CD523" s="44"/>
      <c r="CE523" s="44"/>
    </row>
    <row r="524" spans="1:83" x14ac:dyDescent="0.5">
      <c r="A524" s="227">
        <v>18065821</v>
      </c>
      <c r="B524" s="22">
        <v>18060479</v>
      </c>
      <c r="C524" s="23">
        <v>117</v>
      </c>
      <c r="D524" s="24" t="s">
        <v>184</v>
      </c>
      <c r="E524" s="25" t="s">
        <v>185</v>
      </c>
      <c r="F524" s="26">
        <v>137</v>
      </c>
      <c r="G524" s="62">
        <v>43265</v>
      </c>
      <c r="H524" s="27">
        <v>18199</v>
      </c>
      <c r="I524" s="39" t="s">
        <v>869</v>
      </c>
      <c r="J524" s="62">
        <v>43265</v>
      </c>
      <c r="K524" s="42" t="s">
        <v>15</v>
      </c>
      <c r="L524" s="520" t="s">
        <v>1</v>
      </c>
      <c r="M524" s="22" t="s">
        <v>51</v>
      </c>
      <c r="N524" s="63">
        <v>77920</v>
      </c>
      <c r="O524" s="63">
        <v>5454.4</v>
      </c>
      <c r="P524" s="63">
        <f t="shared" si="86"/>
        <v>83374.399999999994</v>
      </c>
      <c r="AA524" s="40">
        <v>18060211</v>
      </c>
      <c r="AB524" s="41">
        <v>77920</v>
      </c>
      <c r="AC524" s="64">
        <f t="shared" si="87"/>
        <v>5454.4</v>
      </c>
      <c r="AD524" s="64">
        <f t="shared" si="88"/>
        <v>83374.399999999994</v>
      </c>
      <c r="AE524" s="53">
        <v>43310</v>
      </c>
      <c r="AF524" s="39" t="s">
        <v>869</v>
      </c>
      <c r="AI524" s="21" t="s">
        <v>950</v>
      </c>
      <c r="AJ524" s="44">
        <v>1</v>
      </c>
      <c r="AK524" s="45" t="s">
        <v>811</v>
      </c>
      <c r="AL524" s="46" t="s">
        <v>1205</v>
      </c>
      <c r="AN524" s="47">
        <v>1</v>
      </c>
      <c r="AO524" s="48" t="s">
        <v>635</v>
      </c>
      <c r="AP524" s="356"/>
      <c r="AQ524" s="356"/>
      <c r="AR524" s="44"/>
      <c r="AS524" s="44"/>
      <c r="AT524" s="356"/>
      <c r="AU524" s="54"/>
      <c r="AV524" s="356"/>
      <c r="AW524" s="356"/>
      <c r="AX524" s="44"/>
      <c r="AY524" s="44"/>
      <c r="AZ524" s="356"/>
      <c r="BA524" s="54"/>
      <c r="BB524" s="356"/>
      <c r="BC524" s="356"/>
      <c r="BD524" s="44"/>
      <c r="BE524" s="44"/>
      <c r="BF524" s="356"/>
      <c r="BG524" s="54"/>
      <c r="BH524" s="356"/>
      <c r="BI524" s="356"/>
      <c r="BJ524" s="44"/>
      <c r="BK524" s="44"/>
      <c r="BL524" s="356"/>
      <c r="BM524" s="356"/>
      <c r="BN524" s="356"/>
      <c r="BO524" s="356"/>
      <c r="BP524" s="44"/>
      <c r="BQ524" s="44"/>
      <c r="BR524" s="356"/>
      <c r="BS524" s="356"/>
      <c r="BT524" s="356"/>
      <c r="BU524" s="356"/>
      <c r="BV524" s="44"/>
      <c r="BW524" s="44"/>
      <c r="BX524" s="356"/>
      <c r="BY524" s="356"/>
      <c r="BZ524" s="356"/>
      <c r="CA524" s="356"/>
      <c r="CB524" s="44"/>
      <c r="CC524" s="44"/>
      <c r="CD524" s="44"/>
      <c r="CE524" s="44"/>
    </row>
    <row r="525" spans="1:83" x14ac:dyDescent="0.5">
      <c r="A525" s="259">
        <v>18065820</v>
      </c>
      <c r="B525" s="104">
        <v>18060474</v>
      </c>
      <c r="C525" s="105">
        <v>116</v>
      </c>
      <c r="D525" s="106" t="s">
        <v>184</v>
      </c>
      <c r="E525" s="107" t="s">
        <v>185</v>
      </c>
      <c r="F525" s="108">
        <v>135</v>
      </c>
      <c r="G525" s="211">
        <v>43263</v>
      </c>
      <c r="H525" s="164">
        <v>18193</v>
      </c>
      <c r="I525" s="127" t="s">
        <v>869</v>
      </c>
      <c r="J525" s="122">
        <v>43264</v>
      </c>
      <c r="K525" s="547" t="s">
        <v>285</v>
      </c>
      <c r="L525" s="548" t="s">
        <v>286</v>
      </c>
      <c r="M525" s="104" t="s">
        <v>52</v>
      </c>
      <c r="N525" s="260">
        <v>120000</v>
      </c>
      <c r="O525" s="260">
        <v>8400</v>
      </c>
      <c r="P525" s="260">
        <f t="shared" si="86"/>
        <v>128400</v>
      </c>
      <c r="Q525" s="311"/>
      <c r="R525" s="113"/>
      <c r="S525" s="114"/>
      <c r="T525" s="115"/>
      <c r="U525" s="550">
        <v>5170</v>
      </c>
      <c r="V525" s="551"/>
      <c r="W525" s="552"/>
      <c r="X525" s="552">
        <v>422.38</v>
      </c>
      <c r="Y525" s="553"/>
      <c r="Z525" s="120"/>
      <c r="AA525" s="123">
        <v>18060203</v>
      </c>
      <c r="AB525" s="124">
        <v>120000</v>
      </c>
      <c r="AC525" s="261">
        <f t="shared" si="87"/>
        <v>8400</v>
      </c>
      <c r="AD525" s="261">
        <f t="shared" si="88"/>
        <v>128400</v>
      </c>
      <c r="AE525" s="126">
        <v>43264</v>
      </c>
      <c r="AF525" s="127" t="s">
        <v>869</v>
      </c>
      <c r="AG525" s="127"/>
      <c r="AH525" s="127"/>
      <c r="AI525" s="103" t="s">
        <v>971</v>
      </c>
      <c r="AJ525" s="128">
        <v>1</v>
      </c>
      <c r="AK525" s="129" t="s">
        <v>593</v>
      </c>
      <c r="AL525" s="130"/>
      <c r="AM525" s="130" t="s">
        <v>1205</v>
      </c>
      <c r="AN525" s="131">
        <v>4</v>
      </c>
      <c r="AO525" s="132" t="s">
        <v>634</v>
      </c>
      <c r="AP525" s="361"/>
      <c r="AQ525" s="361"/>
      <c r="AR525" s="128"/>
      <c r="AS525" s="128"/>
      <c r="AT525" s="361"/>
      <c r="AU525" s="133"/>
      <c r="AV525" s="361"/>
      <c r="AW525" s="361"/>
      <c r="AX525" s="128"/>
      <c r="AY525" s="128"/>
      <c r="AZ525" s="361"/>
      <c r="BA525" s="133"/>
      <c r="BB525" s="361"/>
      <c r="BC525" s="361"/>
      <c r="BD525" s="128"/>
      <c r="BE525" s="128"/>
      <c r="BF525" s="361"/>
      <c r="BG525" s="133"/>
      <c r="BH525" s="361"/>
      <c r="BI525" s="361"/>
      <c r="BJ525" s="128"/>
      <c r="BK525" s="128"/>
      <c r="BL525" s="361"/>
      <c r="BM525" s="361"/>
      <c r="BN525" s="361"/>
      <c r="BO525" s="361"/>
      <c r="BP525" s="128"/>
      <c r="BQ525" s="128"/>
      <c r="BR525" s="361"/>
      <c r="BS525" s="361"/>
      <c r="BT525" s="361"/>
      <c r="BU525" s="361"/>
      <c r="BV525" s="128"/>
      <c r="BW525" s="128"/>
      <c r="BX525" s="361"/>
      <c r="BY525" s="361"/>
      <c r="BZ525" s="361"/>
      <c r="CA525" s="361"/>
      <c r="CB525" s="128"/>
      <c r="CC525" s="128"/>
      <c r="CD525" s="128"/>
      <c r="CE525" s="128"/>
    </row>
    <row r="526" spans="1:83" x14ac:dyDescent="0.5">
      <c r="A526" s="268"/>
      <c r="B526" s="181"/>
      <c r="C526" s="182"/>
      <c r="D526" s="183"/>
      <c r="E526" s="184"/>
      <c r="F526" s="185"/>
      <c r="G526" s="186">
        <v>43263</v>
      </c>
      <c r="H526" s="187">
        <v>18194</v>
      </c>
      <c r="I526" s="199"/>
      <c r="J526" s="186"/>
      <c r="K526" s="240"/>
      <c r="L526" s="558"/>
      <c r="M526" s="181"/>
      <c r="N526" s="237"/>
      <c r="O526" s="237"/>
      <c r="P526" s="237"/>
      <c r="Q526" s="190"/>
      <c r="R526" s="215"/>
      <c r="S526" s="216"/>
      <c r="T526" s="217"/>
      <c r="U526" s="544"/>
      <c r="V526" s="560"/>
      <c r="W526" s="561"/>
      <c r="X526" s="561"/>
      <c r="Y526" s="562"/>
      <c r="Z526" s="198"/>
      <c r="AA526" s="200"/>
      <c r="AB526" s="201"/>
      <c r="AC526" s="238"/>
      <c r="AD526" s="238"/>
      <c r="AE526" s="203"/>
      <c r="AF526" s="199"/>
      <c r="AG526" s="199"/>
      <c r="AH526" s="199"/>
      <c r="AI526" s="180"/>
      <c r="AJ526" s="204"/>
      <c r="AK526" s="205"/>
      <c r="AL526" s="206"/>
      <c r="AM526" s="206"/>
      <c r="AN526" s="207"/>
      <c r="AO526" s="208"/>
      <c r="AP526" s="365"/>
      <c r="AQ526" s="365"/>
      <c r="AR526" s="204"/>
      <c r="AS526" s="204"/>
      <c r="AT526" s="365"/>
      <c r="AU526" s="210"/>
      <c r="AV526" s="365"/>
      <c r="AW526" s="365"/>
      <c r="AX526" s="204"/>
      <c r="AY526" s="204"/>
      <c r="AZ526" s="365"/>
      <c r="BA526" s="210"/>
      <c r="BB526" s="365"/>
      <c r="BC526" s="365"/>
      <c r="BD526" s="204"/>
      <c r="BE526" s="204"/>
      <c r="BF526" s="365"/>
      <c r="BG526" s="210"/>
      <c r="BH526" s="365"/>
      <c r="BI526" s="365"/>
      <c r="BJ526" s="204"/>
      <c r="BK526" s="204"/>
      <c r="BL526" s="365"/>
      <c r="BM526" s="365"/>
      <c r="BN526" s="365"/>
      <c r="BO526" s="365"/>
      <c r="BP526" s="204"/>
      <c r="BQ526" s="204"/>
      <c r="BR526" s="365"/>
      <c r="BS526" s="365"/>
      <c r="BT526" s="365"/>
      <c r="BU526" s="365"/>
      <c r="BV526" s="204"/>
      <c r="BW526" s="204"/>
      <c r="BX526" s="365"/>
      <c r="BY526" s="365"/>
      <c r="BZ526" s="365"/>
      <c r="CA526" s="365"/>
      <c r="CB526" s="204"/>
      <c r="CC526" s="204"/>
      <c r="CD526" s="204"/>
      <c r="CE526" s="204"/>
    </row>
    <row r="527" spans="1:83" x14ac:dyDescent="0.5">
      <c r="A527" s="227">
        <v>18055819</v>
      </c>
      <c r="B527" s="22">
        <v>18050471</v>
      </c>
      <c r="C527" s="55"/>
      <c r="D527" s="56"/>
      <c r="E527" s="57"/>
      <c r="F527" s="58"/>
      <c r="G527" s="59"/>
      <c r="H527" s="60"/>
      <c r="I527" s="269" t="s">
        <v>869</v>
      </c>
      <c r="J527" s="59"/>
      <c r="K527" s="42" t="s">
        <v>289</v>
      </c>
      <c r="L527" s="520" t="s">
        <v>290</v>
      </c>
      <c r="M527" s="22" t="s">
        <v>51</v>
      </c>
      <c r="N527" s="63">
        <v>15500</v>
      </c>
      <c r="O527" s="63">
        <v>1085</v>
      </c>
      <c r="P527" s="63">
        <f t="shared" si="86"/>
        <v>16585</v>
      </c>
      <c r="AA527" s="40">
        <v>18060214</v>
      </c>
      <c r="AB527" s="41">
        <v>15500</v>
      </c>
      <c r="AC527" s="64">
        <f t="shared" si="87"/>
        <v>1085</v>
      </c>
      <c r="AD527" s="64">
        <f t="shared" si="88"/>
        <v>16585</v>
      </c>
      <c r="AE527" s="53">
        <v>43296</v>
      </c>
      <c r="AF527" s="39" t="s">
        <v>869</v>
      </c>
      <c r="AI527" s="21" t="s">
        <v>1054</v>
      </c>
      <c r="AJ527" s="44">
        <v>1</v>
      </c>
      <c r="AK527" s="45" t="s">
        <v>696</v>
      </c>
      <c r="AN527" s="47">
        <v>1</v>
      </c>
      <c r="AO527" s="48" t="s">
        <v>628</v>
      </c>
      <c r="AP527" s="356"/>
      <c r="AQ527" s="356"/>
      <c r="AR527" s="44"/>
      <c r="AS527" s="44"/>
      <c r="AT527" s="356"/>
      <c r="AU527" s="54"/>
      <c r="AV527" s="356"/>
      <c r="AW527" s="356"/>
      <c r="AX527" s="44"/>
      <c r="AY527" s="44"/>
      <c r="AZ527" s="356"/>
      <c r="BA527" s="54"/>
      <c r="BB527" s="356"/>
      <c r="BC527" s="356"/>
      <c r="BD527" s="44"/>
      <c r="BE527" s="44"/>
      <c r="BF527" s="356"/>
      <c r="BG527" s="54"/>
      <c r="BH527" s="356"/>
      <c r="BI527" s="356"/>
      <c r="BJ527" s="44"/>
      <c r="BK527" s="44"/>
      <c r="BL527" s="356"/>
      <c r="BM527" s="356"/>
      <c r="BN527" s="356"/>
      <c r="BO527" s="356"/>
      <c r="BP527" s="44"/>
      <c r="BQ527" s="44"/>
      <c r="BR527" s="356"/>
      <c r="BS527" s="356"/>
      <c r="BT527" s="356"/>
      <c r="BU527" s="356"/>
      <c r="BV527" s="44"/>
      <c r="BW527" s="44"/>
      <c r="BX527" s="356"/>
      <c r="BY527" s="356"/>
      <c r="BZ527" s="356"/>
      <c r="CA527" s="356"/>
      <c r="CB527" s="44"/>
      <c r="CC527" s="44"/>
      <c r="CD527" s="44"/>
      <c r="CE527" s="44"/>
    </row>
    <row r="528" spans="1:83" x14ac:dyDescent="0.5">
      <c r="A528" s="227">
        <v>18055818</v>
      </c>
      <c r="B528" s="22">
        <v>18050470</v>
      </c>
      <c r="C528" s="23">
        <v>115</v>
      </c>
      <c r="D528" s="24" t="s">
        <v>184</v>
      </c>
      <c r="E528" s="25" t="s">
        <v>185</v>
      </c>
      <c r="F528" s="26">
        <v>132</v>
      </c>
      <c r="G528" s="62">
        <v>43259</v>
      </c>
      <c r="H528" s="27">
        <v>18191</v>
      </c>
      <c r="I528" s="39" t="s">
        <v>869</v>
      </c>
      <c r="J528" s="62">
        <v>43260</v>
      </c>
      <c r="K528" s="42" t="s">
        <v>287</v>
      </c>
      <c r="L528" s="520" t="s">
        <v>288</v>
      </c>
      <c r="M528" s="22" t="s">
        <v>68</v>
      </c>
      <c r="N528" s="63">
        <v>377000</v>
      </c>
      <c r="O528" s="63">
        <v>26390</v>
      </c>
      <c r="P528" s="63">
        <f t="shared" si="86"/>
        <v>403390</v>
      </c>
      <c r="AA528" s="40">
        <v>18060200</v>
      </c>
      <c r="AB528" s="41">
        <v>377000</v>
      </c>
      <c r="AC528" s="64">
        <f t="shared" si="87"/>
        <v>26390</v>
      </c>
      <c r="AD528" s="64">
        <f t="shared" si="88"/>
        <v>403390</v>
      </c>
      <c r="AE528" s="53">
        <v>43324</v>
      </c>
      <c r="AF528" s="39" t="s">
        <v>869</v>
      </c>
      <c r="AI528" s="21" t="s">
        <v>1052</v>
      </c>
      <c r="AJ528" s="44">
        <v>1</v>
      </c>
      <c r="AK528" s="45" t="s">
        <v>723</v>
      </c>
      <c r="AM528" s="46" t="s">
        <v>1205</v>
      </c>
      <c r="AN528" s="47">
        <v>1</v>
      </c>
      <c r="AO528" s="48" t="s">
        <v>634</v>
      </c>
      <c r="AP528" s="356"/>
      <c r="AQ528" s="356"/>
      <c r="AR528" s="44"/>
      <c r="AS528" s="44"/>
      <c r="AT528" s="356"/>
      <c r="AU528" s="54"/>
      <c r="AV528" s="356"/>
      <c r="AW528" s="356"/>
      <c r="AX528" s="44"/>
      <c r="AY528" s="44"/>
      <c r="AZ528" s="356"/>
      <c r="BA528" s="54"/>
      <c r="BB528" s="356"/>
      <c r="BC528" s="356"/>
      <c r="BD528" s="44"/>
      <c r="BE528" s="44"/>
      <c r="BF528" s="356"/>
      <c r="BG528" s="54"/>
      <c r="BH528" s="356"/>
      <c r="BI528" s="356"/>
      <c r="BJ528" s="44"/>
      <c r="BK528" s="44"/>
      <c r="BL528" s="356"/>
      <c r="BM528" s="356"/>
      <c r="BN528" s="356"/>
      <c r="BO528" s="356"/>
      <c r="BP528" s="44"/>
      <c r="BQ528" s="44"/>
      <c r="BR528" s="356"/>
      <c r="BS528" s="356"/>
      <c r="BT528" s="356"/>
      <c r="BU528" s="356"/>
      <c r="BV528" s="44"/>
      <c r="BW528" s="44"/>
      <c r="BX528" s="356"/>
      <c r="BY528" s="356"/>
      <c r="BZ528" s="356"/>
      <c r="CA528" s="356"/>
      <c r="CB528" s="44"/>
      <c r="CC528" s="44"/>
      <c r="CD528" s="356"/>
      <c r="CE528" s="356"/>
    </row>
    <row r="529" spans="1:83" x14ac:dyDescent="0.5">
      <c r="A529" s="227">
        <v>18055817</v>
      </c>
      <c r="B529" s="22">
        <v>18050429</v>
      </c>
      <c r="C529" s="23">
        <v>114</v>
      </c>
      <c r="D529" s="24" t="s">
        <v>184</v>
      </c>
      <c r="E529" s="25" t="s">
        <v>185</v>
      </c>
      <c r="F529" s="26">
        <v>136</v>
      </c>
      <c r="G529" s="62">
        <v>43263</v>
      </c>
      <c r="H529" s="27">
        <v>18195</v>
      </c>
      <c r="I529" s="39" t="s">
        <v>869</v>
      </c>
      <c r="J529" s="62">
        <v>43263</v>
      </c>
      <c r="K529" s="42" t="s">
        <v>291</v>
      </c>
      <c r="L529" s="520" t="s">
        <v>292</v>
      </c>
      <c r="M529" s="22" t="s">
        <v>50</v>
      </c>
      <c r="N529" s="63">
        <v>22429.91</v>
      </c>
      <c r="O529" s="63">
        <v>1570.09</v>
      </c>
      <c r="P529" s="63">
        <f t="shared" si="86"/>
        <v>24000</v>
      </c>
      <c r="Q529" s="61"/>
      <c r="R529" s="96"/>
      <c r="S529" s="97"/>
      <c r="T529" s="98"/>
      <c r="U529" s="546"/>
      <c r="V529" s="517">
        <f>N529</f>
        <v>22429.91</v>
      </c>
      <c r="W529" s="518">
        <v>0.35</v>
      </c>
      <c r="X529" s="518">
        <f>V529*W529/100</f>
        <v>78.504684999999995</v>
      </c>
      <c r="Y529" s="519">
        <v>0.2</v>
      </c>
      <c r="Z529" s="38">
        <f>V529*Y529/100</f>
        <v>44.859819999999999</v>
      </c>
      <c r="AA529" s="40">
        <v>18060210</v>
      </c>
      <c r="AB529" s="41">
        <v>22429.91</v>
      </c>
      <c r="AC529" s="63">
        <f t="shared" si="87"/>
        <v>1570.0936999999999</v>
      </c>
      <c r="AD529" s="63">
        <f t="shared" si="88"/>
        <v>24000.003700000001</v>
      </c>
      <c r="AE529" s="53">
        <v>43295</v>
      </c>
      <c r="AF529" s="39" t="s">
        <v>869</v>
      </c>
      <c r="AI529" s="21" t="s">
        <v>1070</v>
      </c>
      <c r="AJ529" s="44">
        <v>1</v>
      </c>
      <c r="AK529" s="45" t="s">
        <v>793</v>
      </c>
      <c r="AM529" s="46" t="s">
        <v>1205</v>
      </c>
      <c r="AN529" s="47">
        <v>2</v>
      </c>
      <c r="AO529" s="48" t="s">
        <v>634</v>
      </c>
      <c r="AP529" s="356"/>
      <c r="AQ529" s="356"/>
      <c r="AR529" s="44"/>
      <c r="AS529" s="44"/>
      <c r="AT529" s="356"/>
      <c r="AU529" s="54"/>
      <c r="AV529" s="356"/>
      <c r="AW529" s="356"/>
      <c r="AX529" s="44"/>
      <c r="AY529" s="44"/>
      <c r="AZ529" s="356"/>
      <c r="BA529" s="54"/>
      <c r="BB529" s="356"/>
      <c r="BC529" s="356"/>
      <c r="BD529" s="44"/>
      <c r="BE529" s="44"/>
      <c r="BF529" s="356"/>
      <c r="BG529" s="54"/>
      <c r="BH529" s="356"/>
      <c r="BI529" s="356"/>
      <c r="BJ529" s="44"/>
      <c r="BK529" s="44"/>
      <c r="BL529" s="356"/>
      <c r="BM529" s="356"/>
      <c r="BN529" s="356"/>
      <c r="BO529" s="356"/>
      <c r="BP529" s="44"/>
      <c r="BQ529" s="44"/>
      <c r="BR529" s="356"/>
      <c r="BS529" s="356"/>
      <c r="BT529" s="356"/>
      <c r="BU529" s="356"/>
      <c r="BV529" s="44"/>
      <c r="BW529" s="44"/>
      <c r="BX529" s="356"/>
      <c r="BY529" s="356"/>
      <c r="BZ529" s="356"/>
      <c r="CA529" s="356"/>
      <c r="CB529" s="44"/>
      <c r="CC529" s="44"/>
      <c r="CD529" s="356"/>
      <c r="CE529" s="356"/>
    </row>
    <row r="530" spans="1:83" x14ac:dyDescent="0.5">
      <c r="A530" s="369">
        <v>18055816</v>
      </c>
      <c r="B530" s="370">
        <v>18050402</v>
      </c>
      <c r="C530" s="371">
        <v>113</v>
      </c>
      <c r="D530" s="372" t="s">
        <v>184</v>
      </c>
      <c r="E530" s="373" t="s">
        <v>185</v>
      </c>
      <c r="F530" s="374">
        <v>229</v>
      </c>
      <c r="G530" s="122">
        <v>43390</v>
      </c>
      <c r="H530" s="109">
        <v>18367</v>
      </c>
      <c r="I530" s="368" t="s">
        <v>869</v>
      </c>
      <c r="J530" s="126">
        <v>43391</v>
      </c>
      <c r="K530" s="375" t="s">
        <v>293</v>
      </c>
      <c r="L530" s="375" t="s">
        <v>294</v>
      </c>
      <c r="M530" s="375" t="s">
        <v>52</v>
      </c>
      <c r="N530" s="376">
        <v>106080</v>
      </c>
      <c r="O530" s="376">
        <v>7425.6</v>
      </c>
      <c r="P530" s="376">
        <f t="shared" si="86"/>
        <v>113505.60000000001</v>
      </c>
      <c r="Q530" s="430">
        <v>10600</v>
      </c>
      <c r="R530" s="378" t="s">
        <v>567</v>
      </c>
      <c r="S530" s="379">
        <f>N530-Q530</f>
        <v>95480</v>
      </c>
      <c r="T530" s="380">
        <v>5</v>
      </c>
      <c r="U530" s="381">
        <f>S530*T530/100</f>
        <v>4774</v>
      </c>
      <c r="V530" s="382">
        <f>S530-U530</f>
        <v>90706</v>
      </c>
      <c r="W530" s="383">
        <v>0.34</v>
      </c>
      <c r="X530" s="383">
        <f>V530*W530/100</f>
        <v>308.40039999999999</v>
      </c>
      <c r="Y530" s="384">
        <v>0.2</v>
      </c>
      <c r="Z530" s="385">
        <f>V530*Y530/100</f>
        <v>181.41200000000001</v>
      </c>
      <c r="AA530" s="394">
        <v>18100390</v>
      </c>
      <c r="AB530" s="478">
        <v>106080</v>
      </c>
      <c r="AC530" s="478">
        <f t="shared" si="87"/>
        <v>7425.6</v>
      </c>
      <c r="AD530" s="478">
        <f t="shared" si="88"/>
        <v>113505.60000000001</v>
      </c>
      <c r="AE530" s="126">
        <v>43385</v>
      </c>
      <c r="AF530" s="423" t="s">
        <v>869</v>
      </c>
      <c r="AG530" s="480"/>
      <c r="AH530" s="480"/>
      <c r="AI530" s="480" t="s">
        <v>1178</v>
      </c>
      <c r="AJ530" s="390">
        <v>1</v>
      </c>
      <c r="AK530" s="391" t="s">
        <v>593</v>
      </c>
      <c r="AL530" s="392"/>
      <c r="AM530" s="392" t="s">
        <v>1205</v>
      </c>
      <c r="AN530" s="392">
        <v>4</v>
      </c>
      <c r="AO530" s="431" t="s">
        <v>634</v>
      </c>
      <c r="AP530" s="395"/>
      <c r="AQ530" s="395"/>
      <c r="AR530" s="390"/>
      <c r="AS530" s="390"/>
      <c r="AT530" s="395"/>
      <c r="AU530" s="395"/>
      <c r="AV530" s="395"/>
      <c r="AW530" s="361"/>
      <c r="AX530" s="128"/>
      <c r="AY530" s="128"/>
      <c r="AZ530" s="361"/>
      <c r="BA530" s="361"/>
      <c r="BB530" s="361"/>
      <c r="BC530" s="361"/>
      <c r="BD530" s="128"/>
      <c r="BE530" s="128"/>
      <c r="BF530" s="361"/>
      <c r="BG530" s="361"/>
      <c r="BH530" s="361"/>
      <c r="BI530" s="361"/>
      <c r="BJ530" s="128"/>
      <c r="BK530" s="128"/>
      <c r="BL530" s="361"/>
      <c r="BM530" s="361"/>
      <c r="BN530" s="361"/>
      <c r="BO530" s="361"/>
      <c r="BP530" s="128"/>
      <c r="BQ530" s="128"/>
      <c r="BR530" s="361"/>
      <c r="BS530" s="361"/>
      <c r="BT530" s="361"/>
      <c r="BU530" s="361"/>
      <c r="BV530" s="128"/>
      <c r="BW530" s="128"/>
      <c r="BX530" s="361"/>
      <c r="BY530" s="361"/>
      <c r="BZ530" s="361"/>
      <c r="CA530" s="361"/>
      <c r="CB530" s="128"/>
      <c r="CC530" s="128"/>
      <c r="CD530" s="361"/>
      <c r="CE530" s="361"/>
    </row>
    <row r="531" spans="1:83" x14ac:dyDescent="0.5">
      <c r="A531" s="396"/>
      <c r="B531" s="241"/>
      <c r="C531" s="397"/>
      <c r="D531" s="398"/>
      <c r="E531" s="399"/>
      <c r="F531" s="400"/>
      <c r="G531" s="153">
        <v>43390</v>
      </c>
      <c r="H531" s="271">
        <v>18368</v>
      </c>
      <c r="I531" s="412"/>
      <c r="J531" s="203"/>
      <c r="K531" s="401"/>
      <c r="L531" s="401"/>
      <c r="M531" s="401"/>
      <c r="N531" s="402"/>
      <c r="O531" s="402"/>
      <c r="P531" s="402"/>
      <c r="Q531" s="462"/>
      <c r="R531" s="404"/>
      <c r="S531" s="405"/>
      <c r="T531" s="406"/>
      <c r="U531" s="407"/>
      <c r="V531" s="408"/>
      <c r="W531" s="409"/>
      <c r="X531" s="409"/>
      <c r="Y531" s="410"/>
      <c r="Z531" s="411"/>
      <c r="AA531" s="413"/>
      <c r="AB531" s="509"/>
      <c r="AC531" s="510"/>
      <c r="AD531" s="510"/>
      <c r="AE531" s="427"/>
      <c r="AF531" s="511"/>
      <c r="AG531" s="511"/>
      <c r="AH531" s="511"/>
      <c r="AI531" s="511"/>
      <c r="AJ531" s="420"/>
      <c r="AK531" s="417"/>
      <c r="AL531" s="418"/>
      <c r="AM531" s="418"/>
      <c r="AN531" s="418"/>
      <c r="AO531" s="463"/>
      <c r="AP531" s="416"/>
      <c r="AQ531" s="416"/>
      <c r="AR531" s="420"/>
      <c r="AS531" s="420"/>
      <c r="AT531" s="416"/>
      <c r="AU531" s="416"/>
      <c r="AV531" s="416"/>
      <c r="AW531" s="365"/>
      <c r="AX531" s="204"/>
      <c r="AY531" s="204"/>
      <c r="AZ531" s="365"/>
      <c r="BA531" s="365"/>
      <c r="BB531" s="365"/>
      <c r="BC531" s="365"/>
      <c r="BD531" s="204"/>
      <c r="BE531" s="204"/>
      <c r="BF531" s="365"/>
      <c r="BG531" s="365"/>
      <c r="BH531" s="365"/>
      <c r="BI531" s="365"/>
      <c r="BJ531" s="204"/>
      <c r="BK531" s="204"/>
      <c r="BL531" s="365"/>
      <c r="BM531" s="365"/>
      <c r="BN531" s="365"/>
      <c r="BO531" s="365"/>
      <c r="BP531" s="204"/>
      <c r="BQ531" s="204"/>
      <c r="BR531" s="365"/>
      <c r="BS531" s="365"/>
      <c r="BT531" s="365"/>
      <c r="BU531" s="365"/>
      <c r="BV531" s="204"/>
      <c r="BW531" s="204"/>
      <c r="BX531" s="365"/>
      <c r="BY531" s="365"/>
      <c r="BZ531" s="365"/>
      <c r="CA531" s="365"/>
      <c r="CB531" s="204"/>
      <c r="CC531" s="204"/>
      <c r="CD531" s="365"/>
      <c r="CE531" s="365"/>
    </row>
    <row r="532" spans="1:83" x14ac:dyDescent="0.5">
      <c r="A532" s="259">
        <v>18055815</v>
      </c>
      <c r="B532" s="104" t="s">
        <v>295</v>
      </c>
      <c r="C532" s="105">
        <v>112</v>
      </c>
      <c r="D532" s="106" t="s">
        <v>184</v>
      </c>
      <c r="E532" s="107" t="s">
        <v>185</v>
      </c>
      <c r="F532" s="108">
        <v>140</v>
      </c>
      <c r="G532" s="122">
        <v>43273</v>
      </c>
      <c r="H532" s="109">
        <v>18204</v>
      </c>
      <c r="I532" s="127" t="s">
        <v>869</v>
      </c>
      <c r="J532" s="122">
        <v>43274</v>
      </c>
      <c r="K532" s="547" t="s">
        <v>296</v>
      </c>
      <c r="L532" s="548" t="s">
        <v>297</v>
      </c>
      <c r="M532" s="104" t="s">
        <v>52</v>
      </c>
      <c r="N532" s="260">
        <v>860000</v>
      </c>
      <c r="O532" s="260">
        <v>60200</v>
      </c>
      <c r="P532" s="260">
        <f t="shared" si="86"/>
        <v>920200</v>
      </c>
      <c r="Q532" s="311"/>
      <c r="R532" s="113"/>
      <c r="S532" s="114"/>
      <c r="T532" s="115"/>
      <c r="U532" s="550">
        <v>43000</v>
      </c>
      <c r="V532" s="551"/>
      <c r="W532" s="552"/>
      <c r="X532" s="552">
        <v>2859.5</v>
      </c>
      <c r="Y532" s="553"/>
      <c r="Z532" s="120"/>
      <c r="AA532" s="229">
        <v>18060236</v>
      </c>
      <c r="AB532" s="230">
        <v>688000</v>
      </c>
      <c r="AC532" s="234">
        <f>AB532*7/100</f>
        <v>48160</v>
      </c>
      <c r="AD532" s="234">
        <f>AB532+AC532</f>
        <v>736160</v>
      </c>
      <c r="AE532" s="221">
        <v>43269</v>
      </c>
      <c r="AF532" s="121" t="s">
        <v>869</v>
      </c>
      <c r="AG532" s="121"/>
      <c r="AH532" s="121"/>
      <c r="AI532" s="222" t="s">
        <v>948</v>
      </c>
      <c r="AJ532" s="128">
        <v>1</v>
      </c>
      <c r="AK532" s="129" t="s">
        <v>814</v>
      </c>
      <c r="AL532" s="130"/>
      <c r="AM532" s="130" t="s">
        <v>1205</v>
      </c>
      <c r="AN532" s="131">
        <v>1</v>
      </c>
      <c r="AO532" s="132" t="s">
        <v>634</v>
      </c>
      <c r="AP532" s="128">
        <v>2</v>
      </c>
      <c r="AQ532" s="123" t="s">
        <v>600</v>
      </c>
      <c r="AR532" s="131"/>
      <c r="AS532" s="131" t="s">
        <v>1205</v>
      </c>
      <c r="AT532" s="131">
        <v>2</v>
      </c>
      <c r="AU532" s="169" t="s">
        <v>636</v>
      </c>
      <c r="AV532" s="128">
        <v>3</v>
      </c>
      <c r="AW532" s="123" t="s">
        <v>815</v>
      </c>
      <c r="AX532" s="131"/>
      <c r="AY532" s="131" t="s">
        <v>1205</v>
      </c>
      <c r="AZ532" s="131">
        <v>4</v>
      </c>
      <c r="BA532" s="169" t="s">
        <v>636</v>
      </c>
      <c r="BB532" s="361"/>
      <c r="BC532" s="361"/>
      <c r="BD532" s="128"/>
      <c r="BE532" s="128"/>
      <c r="BF532" s="361"/>
      <c r="BG532" s="133"/>
      <c r="BH532" s="361"/>
      <c r="BI532" s="361"/>
      <c r="BJ532" s="128"/>
      <c r="BK532" s="128"/>
      <c r="BL532" s="361"/>
      <c r="BM532" s="361"/>
      <c r="BN532" s="361"/>
      <c r="BO532" s="361"/>
      <c r="BP532" s="128"/>
      <c r="BQ532" s="128"/>
      <c r="BR532" s="361"/>
      <c r="BS532" s="361"/>
      <c r="BT532" s="361"/>
      <c r="BU532" s="361"/>
      <c r="BV532" s="128"/>
      <c r="BW532" s="128"/>
      <c r="BX532" s="361"/>
      <c r="BY532" s="361"/>
      <c r="BZ532" s="361"/>
      <c r="CA532" s="361"/>
      <c r="CB532" s="128"/>
      <c r="CC532" s="128"/>
      <c r="CD532" s="361"/>
      <c r="CE532" s="361"/>
    </row>
    <row r="533" spans="1:83" x14ac:dyDescent="0.5">
      <c r="A533" s="268"/>
      <c r="B533" s="135"/>
      <c r="C533" s="136"/>
      <c r="D533" s="137"/>
      <c r="E533" s="138"/>
      <c r="F533" s="139"/>
      <c r="G533" s="135"/>
      <c r="H533" s="140"/>
      <c r="I533" s="152"/>
      <c r="J533" s="179"/>
      <c r="K533" s="255"/>
      <c r="L533" s="300"/>
      <c r="M533" s="135"/>
      <c r="N533" s="253"/>
      <c r="O533" s="253"/>
      <c r="P533" s="253"/>
      <c r="Q533" s="143"/>
      <c r="R533" s="144"/>
      <c r="S533" s="145"/>
      <c r="T533" s="146"/>
      <c r="U533" s="529"/>
      <c r="V533" s="555"/>
      <c r="W533" s="556"/>
      <c r="X533" s="556"/>
      <c r="Y533" s="557"/>
      <c r="Z533" s="151"/>
      <c r="AA533" s="200">
        <v>18060195</v>
      </c>
      <c r="AB533" s="155">
        <v>172000</v>
      </c>
      <c r="AC533" s="263">
        <f>AB533*7/100</f>
        <v>12040</v>
      </c>
      <c r="AD533" s="263">
        <f>AB533+AC533</f>
        <v>184040</v>
      </c>
      <c r="AE533" s="157">
        <v>43256</v>
      </c>
      <c r="AF533" s="152" t="s">
        <v>869</v>
      </c>
      <c r="AG533" s="152"/>
      <c r="AH533" s="152"/>
      <c r="AI533" s="134" t="s">
        <v>951</v>
      </c>
      <c r="AJ533" s="158"/>
      <c r="AK533" s="159"/>
      <c r="AL533" s="160"/>
      <c r="AM533" s="160"/>
      <c r="AN533" s="161"/>
      <c r="AO533" s="162"/>
      <c r="AP533" s="158"/>
      <c r="AQ533" s="154"/>
      <c r="AR533" s="161"/>
      <c r="AS533" s="161"/>
      <c r="AT533" s="161"/>
      <c r="AU533" s="177"/>
      <c r="AV533" s="158"/>
      <c r="AW533" s="154"/>
      <c r="AX533" s="161"/>
      <c r="AY533" s="161"/>
      <c r="AZ533" s="161"/>
      <c r="BA533" s="177"/>
      <c r="BB533" s="458"/>
      <c r="BC533" s="458"/>
      <c r="BD533" s="158"/>
      <c r="BE533" s="158"/>
      <c r="BF533" s="458"/>
      <c r="BG533" s="163"/>
      <c r="BH533" s="458"/>
      <c r="BI533" s="458"/>
      <c r="BJ533" s="158"/>
      <c r="BK533" s="158"/>
      <c r="BL533" s="458"/>
      <c r="BM533" s="458"/>
      <c r="BN533" s="458"/>
      <c r="BO533" s="458"/>
      <c r="BP533" s="158"/>
      <c r="BQ533" s="158"/>
      <c r="BR533" s="458"/>
      <c r="BS533" s="458"/>
      <c r="BT533" s="458"/>
      <c r="BU533" s="458"/>
      <c r="BV533" s="158"/>
      <c r="BW533" s="158"/>
      <c r="BX533" s="458"/>
      <c r="BY533" s="458"/>
      <c r="BZ533" s="458"/>
      <c r="CA533" s="458"/>
      <c r="CB533" s="158"/>
      <c r="CC533" s="158"/>
      <c r="CD533" s="458"/>
      <c r="CE533" s="458"/>
    </row>
    <row r="534" spans="1:83" x14ac:dyDescent="0.5">
      <c r="A534" s="641">
        <v>18055814</v>
      </c>
      <c r="B534" s="370">
        <v>18050423</v>
      </c>
      <c r="C534" s="371">
        <v>111</v>
      </c>
      <c r="D534" s="372" t="s">
        <v>184</v>
      </c>
      <c r="E534" s="373" t="s">
        <v>185</v>
      </c>
      <c r="F534" s="374">
        <v>189</v>
      </c>
      <c r="G534" s="211">
        <v>43346</v>
      </c>
      <c r="H534" s="109">
        <v>18288</v>
      </c>
      <c r="I534" s="368" t="s">
        <v>869</v>
      </c>
      <c r="J534" s="642">
        <v>43347</v>
      </c>
      <c r="K534" s="375" t="s">
        <v>298</v>
      </c>
      <c r="L534" s="375" t="s">
        <v>299</v>
      </c>
      <c r="M534" s="375" t="s">
        <v>51</v>
      </c>
      <c r="N534" s="376">
        <v>1350000</v>
      </c>
      <c r="O534" s="376">
        <v>94500</v>
      </c>
      <c r="P534" s="376">
        <f t="shared" si="86"/>
        <v>1444500</v>
      </c>
      <c r="Q534" s="470"/>
      <c r="R534" s="471"/>
      <c r="S534" s="472"/>
      <c r="T534" s="380"/>
      <c r="U534" s="473"/>
      <c r="V534" s="474"/>
      <c r="W534" s="475"/>
      <c r="X534" s="475"/>
      <c r="Y534" s="476"/>
      <c r="Z534" s="477"/>
      <c r="AA534" s="394">
        <v>18090365</v>
      </c>
      <c r="AB534" s="478">
        <v>877500</v>
      </c>
      <c r="AC534" s="479">
        <f>AB534*7/100</f>
        <v>61425</v>
      </c>
      <c r="AD534" s="479">
        <f>AB534+AC534</f>
        <v>938925</v>
      </c>
      <c r="AE534" s="126">
        <v>43369</v>
      </c>
      <c r="AF534" s="423" t="s">
        <v>869</v>
      </c>
      <c r="AG534" s="480"/>
      <c r="AH534" s="423"/>
      <c r="AI534" s="583" t="s">
        <v>1274</v>
      </c>
      <c r="AJ534" s="390">
        <v>1</v>
      </c>
      <c r="AK534" s="391" t="s">
        <v>731</v>
      </c>
      <c r="AL534" s="392" t="s">
        <v>1205</v>
      </c>
      <c r="AM534" s="392"/>
      <c r="AN534" s="392">
        <v>1</v>
      </c>
      <c r="AO534" s="393" t="s">
        <v>634</v>
      </c>
      <c r="AP534" s="390">
        <v>2</v>
      </c>
      <c r="AQ534" s="391" t="s">
        <v>732</v>
      </c>
      <c r="AR534" s="392" t="s">
        <v>1205</v>
      </c>
      <c r="AS534" s="392"/>
      <c r="AT534" s="392">
        <v>1</v>
      </c>
      <c r="AU534" s="393" t="s">
        <v>636</v>
      </c>
      <c r="AV534" s="361"/>
      <c r="AW534" s="361"/>
      <c r="AX534" s="128"/>
      <c r="AY534" s="128"/>
      <c r="AZ534" s="361"/>
      <c r="BA534" s="361"/>
      <c r="BB534" s="361"/>
      <c r="BC534" s="361"/>
      <c r="BD534" s="128"/>
      <c r="BE534" s="128"/>
      <c r="BF534" s="361"/>
      <c r="BG534" s="361"/>
      <c r="BH534" s="361"/>
      <c r="BI534" s="361"/>
      <c r="BJ534" s="128"/>
      <c r="BK534" s="128"/>
      <c r="BL534" s="361"/>
      <c r="BM534" s="361"/>
      <c r="BN534" s="361"/>
      <c r="BO534" s="361"/>
      <c r="BP534" s="128"/>
      <c r="BQ534" s="128"/>
      <c r="BR534" s="361"/>
      <c r="BS534" s="361"/>
      <c r="BT534" s="361"/>
      <c r="BU534" s="361"/>
      <c r="BV534" s="128"/>
      <c r="BW534" s="128"/>
      <c r="BX534" s="361"/>
      <c r="BY534" s="361"/>
      <c r="BZ534" s="361"/>
      <c r="CA534" s="361"/>
      <c r="CB534" s="128"/>
      <c r="CC534" s="128"/>
      <c r="CD534" s="361"/>
      <c r="CE534" s="361"/>
    </row>
    <row r="535" spans="1:83" x14ac:dyDescent="0.5">
      <c r="A535" s="643"/>
      <c r="B535" s="256"/>
      <c r="C535" s="482"/>
      <c r="D535" s="483"/>
      <c r="E535" s="484"/>
      <c r="F535" s="569"/>
      <c r="G535" s="178">
        <v>43346</v>
      </c>
      <c r="H535" s="251">
        <v>18289</v>
      </c>
      <c r="I535" s="446"/>
      <c r="J535" s="584"/>
      <c r="K535" s="433"/>
      <c r="L535" s="433"/>
      <c r="M535" s="433"/>
      <c r="N535" s="436"/>
      <c r="O535" s="436"/>
      <c r="P535" s="436"/>
      <c r="Q535" s="486"/>
      <c r="R535" s="487"/>
      <c r="S535" s="488"/>
      <c r="T535" s="440"/>
      <c r="U535" s="489"/>
      <c r="V535" s="490"/>
      <c r="W535" s="491"/>
      <c r="X535" s="491"/>
      <c r="Y535" s="492"/>
      <c r="Z535" s="493"/>
      <c r="AA535" s="448">
        <v>18060193</v>
      </c>
      <c r="AB535" s="494">
        <v>405000</v>
      </c>
      <c r="AC535" s="495">
        <f>AB535*7/100</f>
        <v>28350</v>
      </c>
      <c r="AD535" s="495">
        <f>AB535+AC535</f>
        <v>433350</v>
      </c>
      <c r="AE535" s="157">
        <v>43256</v>
      </c>
      <c r="AF535" s="496" t="s">
        <v>869</v>
      </c>
      <c r="AG535" s="497"/>
      <c r="AH535" s="496"/>
      <c r="AI535" s="498" t="s">
        <v>943</v>
      </c>
      <c r="AJ535" s="453"/>
      <c r="AK535" s="456"/>
      <c r="AL535" s="454"/>
      <c r="AM535" s="454"/>
      <c r="AN535" s="454"/>
      <c r="AO535" s="457"/>
      <c r="AP535" s="453"/>
      <c r="AQ535" s="456"/>
      <c r="AR535" s="454"/>
      <c r="AS535" s="454"/>
      <c r="AT535" s="454"/>
      <c r="AU535" s="457"/>
      <c r="AV535" s="458"/>
      <c r="AW535" s="458"/>
      <c r="AX535" s="158"/>
      <c r="AY535" s="158"/>
      <c r="AZ535" s="458"/>
      <c r="BA535" s="458"/>
      <c r="BB535" s="458"/>
      <c r="BC535" s="458"/>
      <c r="BD535" s="158"/>
      <c r="BE535" s="158"/>
      <c r="BF535" s="458"/>
      <c r="BG535" s="458"/>
      <c r="BH535" s="458"/>
      <c r="BI535" s="458"/>
      <c r="BJ535" s="158"/>
      <c r="BK535" s="158"/>
      <c r="BL535" s="458"/>
      <c r="BM535" s="458"/>
      <c r="BN535" s="458"/>
      <c r="BO535" s="458"/>
      <c r="BP535" s="158"/>
      <c r="BQ535" s="158"/>
      <c r="BR535" s="458"/>
      <c r="BS535" s="458"/>
      <c r="BT535" s="458"/>
      <c r="BU535" s="458"/>
      <c r="BV535" s="158"/>
      <c r="BW535" s="158"/>
      <c r="BX535" s="458"/>
      <c r="BY535" s="458"/>
      <c r="BZ535" s="458"/>
      <c r="CA535" s="458"/>
      <c r="CB535" s="158"/>
      <c r="CC535" s="158"/>
      <c r="CD535" s="458"/>
      <c r="CE535" s="458"/>
    </row>
    <row r="536" spans="1:83" x14ac:dyDescent="0.5">
      <c r="A536" s="643"/>
      <c r="B536" s="256"/>
      <c r="C536" s="482"/>
      <c r="D536" s="483"/>
      <c r="E536" s="484"/>
      <c r="F536" s="569"/>
      <c r="G536" s="178">
        <v>43362</v>
      </c>
      <c r="H536" s="171">
        <v>18316</v>
      </c>
      <c r="I536" s="446"/>
      <c r="J536" s="584"/>
      <c r="K536" s="433"/>
      <c r="L536" s="433"/>
      <c r="M536" s="433"/>
      <c r="N536" s="436"/>
      <c r="O536" s="436"/>
      <c r="P536" s="436"/>
      <c r="Q536" s="486"/>
      <c r="R536" s="487"/>
      <c r="S536" s="488"/>
      <c r="T536" s="440"/>
      <c r="U536" s="489"/>
      <c r="V536" s="490"/>
      <c r="W536" s="491"/>
      <c r="X536" s="491"/>
      <c r="Y536" s="492"/>
      <c r="Z536" s="493"/>
      <c r="AA536" s="456"/>
      <c r="AB536" s="494"/>
      <c r="AC536" s="585"/>
      <c r="AD536" s="585"/>
      <c r="AE536" s="157"/>
      <c r="AF536" s="496"/>
      <c r="AG536" s="497"/>
      <c r="AH536" s="496"/>
      <c r="AI536" s="498"/>
      <c r="AJ536" s="453"/>
      <c r="AK536" s="456"/>
      <c r="AL536" s="454"/>
      <c r="AM536" s="454"/>
      <c r="AN536" s="454"/>
      <c r="AO536" s="457"/>
      <c r="AP536" s="453"/>
      <c r="AQ536" s="456"/>
      <c r="AR536" s="454"/>
      <c r="AS536" s="454"/>
      <c r="AT536" s="454"/>
      <c r="AU536" s="457"/>
      <c r="AV536" s="458"/>
      <c r="AW536" s="458"/>
      <c r="AX536" s="158"/>
      <c r="AY536" s="158"/>
      <c r="AZ536" s="458"/>
      <c r="BA536" s="458"/>
      <c r="BB536" s="458"/>
      <c r="BC536" s="458"/>
      <c r="BD536" s="158"/>
      <c r="BE536" s="158"/>
      <c r="BF536" s="458"/>
      <c r="BG536" s="458"/>
      <c r="BH536" s="458"/>
      <c r="BI536" s="458"/>
      <c r="BJ536" s="158"/>
      <c r="BK536" s="158"/>
      <c r="BL536" s="458"/>
      <c r="BM536" s="458"/>
      <c r="BN536" s="458"/>
      <c r="BO536" s="458"/>
      <c r="BP536" s="158"/>
      <c r="BQ536" s="158"/>
      <c r="BR536" s="458"/>
      <c r="BS536" s="458"/>
      <c r="BT536" s="458"/>
      <c r="BU536" s="458"/>
      <c r="BV536" s="158"/>
      <c r="BW536" s="158"/>
      <c r="BX536" s="458"/>
      <c r="BY536" s="458"/>
      <c r="BZ536" s="458"/>
      <c r="CA536" s="458"/>
      <c r="CB536" s="158"/>
      <c r="CC536" s="158"/>
      <c r="CD536" s="458"/>
      <c r="CE536" s="458"/>
    </row>
    <row r="537" spans="1:83" x14ac:dyDescent="0.5">
      <c r="A537" s="643"/>
      <c r="B537" s="256"/>
      <c r="C537" s="482"/>
      <c r="D537" s="483"/>
      <c r="E537" s="484"/>
      <c r="F537" s="569"/>
      <c r="G537" s="178">
        <v>43362</v>
      </c>
      <c r="H537" s="171">
        <v>18317</v>
      </c>
      <c r="I537" s="446"/>
      <c r="J537" s="584"/>
      <c r="K537" s="433"/>
      <c r="L537" s="433"/>
      <c r="M537" s="433"/>
      <c r="N537" s="436"/>
      <c r="O537" s="436"/>
      <c r="P537" s="436"/>
      <c r="Q537" s="486"/>
      <c r="R537" s="487"/>
      <c r="S537" s="488"/>
      <c r="T537" s="440"/>
      <c r="U537" s="489"/>
      <c r="V537" s="490"/>
      <c r="W537" s="491"/>
      <c r="X537" s="491"/>
      <c r="Y537" s="492"/>
      <c r="Z537" s="493"/>
      <c r="AA537" s="456"/>
      <c r="AB537" s="494"/>
      <c r="AC537" s="585"/>
      <c r="AD537" s="585"/>
      <c r="AE537" s="157"/>
      <c r="AF537" s="496"/>
      <c r="AG537" s="497"/>
      <c r="AH537" s="496"/>
      <c r="AI537" s="498"/>
      <c r="AJ537" s="453"/>
      <c r="AK537" s="456"/>
      <c r="AL537" s="454"/>
      <c r="AM537" s="454"/>
      <c r="AN537" s="454"/>
      <c r="AO537" s="457"/>
      <c r="AP537" s="453"/>
      <c r="AQ537" s="456"/>
      <c r="AR537" s="454"/>
      <c r="AS537" s="454"/>
      <c r="AT537" s="454"/>
      <c r="AU537" s="457"/>
      <c r="AV537" s="458"/>
      <c r="AW537" s="458"/>
      <c r="AX537" s="158"/>
      <c r="AY537" s="158"/>
      <c r="AZ537" s="458"/>
      <c r="BA537" s="458"/>
      <c r="BB537" s="458"/>
      <c r="BC537" s="458"/>
      <c r="BD537" s="158"/>
      <c r="BE537" s="158"/>
      <c r="BF537" s="458"/>
      <c r="BG537" s="458"/>
      <c r="BH537" s="458"/>
      <c r="BI537" s="458"/>
      <c r="BJ537" s="158"/>
      <c r="BK537" s="158"/>
      <c r="BL537" s="458"/>
      <c r="BM537" s="458"/>
      <c r="BN537" s="458"/>
      <c r="BO537" s="458"/>
      <c r="BP537" s="158"/>
      <c r="BQ537" s="158"/>
      <c r="BR537" s="458"/>
      <c r="BS537" s="458"/>
      <c r="BT537" s="458"/>
      <c r="BU537" s="458"/>
      <c r="BV537" s="158"/>
      <c r="BW537" s="158"/>
      <c r="BX537" s="458"/>
      <c r="BY537" s="458"/>
      <c r="BZ537" s="458"/>
      <c r="CA537" s="458"/>
      <c r="CB537" s="158"/>
      <c r="CC537" s="158"/>
      <c r="CD537" s="458"/>
      <c r="CE537" s="458"/>
    </row>
    <row r="538" spans="1:83" x14ac:dyDescent="0.5">
      <c r="A538" s="643"/>
      <c r="B538" s="256"/>
      <c r="C538" s="482"/>
      <c r="D538" s="483"/>
      <c r="E538" s="484"/>
      <c r="F538" s="569"/>
      <c r="G538" s="170">
        <v>43364</v>
      </c>
      <c r="H538" s="251">
        <v>18322</v>
      </c>
      <c r="I538" s="446"/>
      <c r="J538" s="584"/>
      <c r="K538" s="433"/>
      <c r="L538" s="433"/>
      <c r="M538" s="433"/>
      <c r="N538" s="436"/>
      <c r="O538" s="436"/>
      <c r="P538" s="436"/>
      <c r="Q538" s="486"/>
      <c r="R538" s="487"/>
      <c r="S538" s="488"/>
      <c r="T538" s="440"/>
      <c r="U538" s="489"/>
      <c r="V538" s="490"/>
      <c r="W538" s="491"/>
      <c r="X538" s="491"/>
      <c r="Y538" s="492"/>
      <c r="Z538" s="493"/>
      <c r="AA538" s="456"/>
      <c r="AB538" s="494"/>
      <c r="AC538" s="585"/>
      <c r="AD538" s="585"/>
      <c r="AE538" s="157"/>
      <c r="AF538" s="496"/>
      <c r="AG538" s="497"/>
      <c r="AH538" s="496"/>
      <c r="AI538" s="498"/>
      <c r="AJ538" s="453"/>
      <c r="AK538" s="456"/>
      <c r="AL538" s="454"/>
      <c r="AM538" s="454"/>
      <c r="AN538" s="454"/>
      <c r="AO538" s="457"/>
      <c r="AP538" s="453"/>
      <c r="AQ538" s="456"/>
      <c r="AR538" s="454"/>
      <c r="AS538" s="454"/>
      <c r="AT538" s="454"/>
      <c r="AU538" s="457"/>
      <c r="AV538" s="458"/>
      <c r="AW538" s="458"/>
      <c r="AX538" s="158"/>
      <c r="AY538" s="158"/>
      <c r="AZ538" s="458"/>
      <c r="BA538" s="458"/>
      <c r="BB538" s="458"/>
      <c r="BC538" s="458"/>
      <c r="BD538" s="158"/>
      <c r="BE538" s="158"/>
      <c r="BF538" s="458"/>
      <c r="BG538" s="458"/>
      <c r="BH538" s="458"/>
      <c r="BI538" s="458"/>
      <c r="BJ538" s="158"/>
      <c r="BK538" s="158"/>
      <c r="BL538" s="458"/>
      <c r="BM538" s="458"/>
      <c r="BN538" s="458"/>
      <c r="BO538" s="458"/>
      <c r="BP538" s="158"/>
      <c r="BQ538" s="158"/>
      <c r="BR538" s="458"/>
      <c r="BS538" s="458"/>
      <c r="BT538" s="458"/>
      <c r="BU538" s="458"/>
      <c r="BV538" s="158"/>
      <c r="BW538" s="158"/>
      <c r="BX538" s="458"/>
      <c r="BY538" s="458"/>
      <c r="BZ538" s="458"/>
      <c r="CA538" s="458"/>
      <c r="CB538" s="158"/>
      <c r="CC538" s="158"/>
      <c r="CD538" s="458"/>
      <c r="CE538" s="458"/>
    </row>
    <row r="539" spans="1:83" x14ac:dyDescent="0.5">
      <c r="A539" s="644"/>
      <c r="B539" s="241"/>
      <c r="C539" s="397"/>
      <c r="D539" s="398"/>
      <c r="E539" s="399"/>
      <c r="F539" s="400"/>
      <c r="G539" s="186">
        <v>43399</v>
      </c>
      <c r="H539" s="187">
        <v>18392</v>
      </c>
      <c r="I539" s="412"/>
      <c r="J539" s="427"/>
      <c r="K539" s="401"/>
      <c r="L539" s="401"/>
      <c r="M539" s="401"/>
      <c r="N539" s="402"/>
      <c r="O539" s="402"/>
      <c r="P539" s="402"/>
      <c r="Q539" s="586"/>
      <c r="R539" s="502"/>
      <c r="S539" s="503"/>
      <c r="T539" s="406"/>
      <c r="U539" s="504"/>
      <c r="V539" s="505"/>
      <c r="W539" s="506"/>
      <c r="X539" s="506"/>
      <c r="Y539" s="507"/>
      <c r="Z539" s="508"/>
      <c r="AA539" s="417"/>
      <c r="AB539" s="509"/>
      <c r="AC539" s="510"/>
      <c r="AD539" s="510"/>
      <c r="AE539" s="203"/>
      <c r="AF539" s="428"/>
      <c r="AG539" s="511"/>
      <c r="AH539" s="428"/>
      <c r="AI539" s="512"/>
      <c r="AJ539" s="420"/>
      <c r="AK539" s="417"/>
      <c r="AL539" s="418"/>
      <c r="AM539" s="418"/>
      <c r="AN539" s="418"/>
      <c r="AO539" s="419"/>
      <c r="AP539" s="420"/>
      <c r="AQ539" s="417"/>
      <c r="AR539" s="418"/>
      <c r="AS539" s="418"/>
      <c r="AT539" s="418"/>
      <c r="AU539" s="419"/>
      <c r="AV539" s="365"/>
      <c r="AW539" s="365"/>
      <c r="AX539" s="204"/>
      <c r="AY539" s="204"/>
      <c r="AZ539" s="365"/>
      <c r="BA539" s="365"/>
      <c r="BB539" s="365"/>
      <c r="BC539" s="365"/>
      <c r="BD539" s="204"/>
      <c r="BE539" s="204"/>
      <c r="BF539" s="365"/>
      <c r="BG539" s="365"/>
      <c r="BH539" s="365"/>
      <c r="BI539" s="365"/>
      <c r="BJ539" s="204"/>
      <c r="BK539" s="204"/>
      <c r="BL539" s="365"/>
      <c r="BM539" s="365"/>
      <c r="BN539" s="365"/>
      <c r="BO539" s="365"/>
      <c r="BP539" s="204"/>
      <c r="BQ539" s="204"/>
      <c r="BR539" s="365"/>
      <c r="BS539" s="365"/>
      <c r="BT539" s="365"/>
      <c r="BU539" s="365"/>
      <c r="BV539" s="204"/>
      <c r="BW539" s="204"/>
      <c r="BX539" s="365"/>
      <c r="BY539" s="365"/>
      <c r="BZ539" s="365"/>
      <c r="CA539" s="365"/>
      <c r="CB539" s="204"/>
      <c r="CC539" s="204"/>
      <c r="CD539" s="365"/>
      <c r="CE539" s="365"/>
    </row>
    <row r="540" spans="1:83" x14ac:dyDescent="0.5">
      <c r="A540" s="259">
        <v>18055813</v>
      </c>
      <c r="B540" s="104">
        <v>18050464</v>
      </c>
      <c r="C540" s="105">
        <v>110</v>
      </c>
      <c r="D540" s="106" t="s">
        <v>184</v>
      </c>
      <c r="E540" s="107" t="s">
        <v>185</v>
      </c>
      <c r="F540" s="108">
        <v>143</v>
      </c>
      <c r="G540" s="211">
        <v>43278</v>
      </c>
      <c r="H540" s="164">
        <v>18210</v>
      </c>
      <c r="I540" s="127" t="s">
        <v>869</v>
      </c>
      <c r="J540" s="122">
        <v>43280</v>
      </c>
      <c r="K540" s="547" t="s">
        <v>60</v>
      </c>
      <c r="L540" s="548" t="s">
        <v>300</v>
      </c>
      <c r="M540" s="104" t="s">
        <v>157</v>
      </c>
      <c r="N540" s="260">
        <v>1300000</v>
      </c>
      <c r="O540" s="260">
        <v>91000</v>
      </c>
      <c r="P540" s="260">
        <f t="shared" si="86"/>
        <v>1391000</v>
      </c>
      <c r="Q540" s="311">
        <v>48600</v>
      </c>
      <c r="R540" s="165"/>
      <c r="S540" s="166"/>
      <c r="T540" s="167"/>
      <c r="U540" s="568"/>
      <c r="V540" s="551">
        <f>N540-Q540</f>
        <v>1251400</v>
      </c>
      <c r="W540" s="552">
        <v>0.04</v>
      </c>
      <c r="X540" s="552">
        <f>V540*W540/100</f>
        <v>500.56</v>
      </c>
      <c r="Y540" s="553">
        <v>0.2</v>
      </c>
      <c r="Z540" s="120">
        <f>V540*Y540/100</f>
        <v>2502.8000000000002</v>
      </c>
      <c r="AA540" s="123">
        <v>18070275</v>
      </c>
      <c r="AB540" s="124">
        <v>1300000</v>
      </c>
      <c r="AC540" s="261">
        <f t="shared" ref="AC540:AC554" si="89">AB540*7/100</f>
        <v>91000</v>
      </c>
      <c r="AD540" s="261">
        <f t="shared" ref="AD540:AD554" si="90">AB540+AC540</f>
        <v>1391000</v>
      </c>
      <c r="AE540" s="126">
        <v>43338</v>
      </c>
      <c r="AF540" s="127" t="s">
        <v>869</v>
      </c>
      <c r="AG540" s="127"/>
      <c r="AH540" s="127"/>
      <c r="AI540" s="103" t="s">
        <v>1057</v>
      </c>
      <c r="AJ540" s="128">
        <v>1</v>
      </c>
      <c r="AK540" s="129" t="s">
        <v>817</v>
      </c>
      <c r="AL540" s="130" t="s">
        <v>1205</v>
      </c>
      <c r="AM540" s="130"/>
      <c r="AN540" s="131">
        <v>1</v>
      </c>
      <c r="AO540" s="132" t="s">
        <v>634</v>
      </c>
      <c r="AP540" s="361"/>
      <c r="AQ540" s="361"/>
      <c r="AR540" s="128"/>
      <c r="AS540" s="128"/>
      <c r="AT540" s="361"/>
      <c r="AU540" s="133"/>
      <c r="AV540" s="361"/>
      <c r="AW540" s="361"/>
      <c r="AX540" s="128"/>
      <c r="AY540" s="128"/>
      <c r="AZ540" s="361"/>
      <c r="BA540" s="133"/>
      <c r="BB540" s="361"/>
      <c r="BC540" s="361"/>
      <c r="BD540" s="128"/>
      <c r="BE540" s="128"/>
      <c r="BF540" s="361"/>
      <c r="BG540" s="133"/>
      <c r="BH540" s="361"/>
      <c r="BI540" s="361"/>
      <c r="BJ540" s="128"/>
      <c r="BK540" s="128"/>
      <c r="BL540" s="361"/>
      <c r="BM540" s="361"/>
      <c r="BN540" s="361"/>
      <c r="BO540" s="361"/>
      <c r="BP540" s="128"/>
      <c r="BQ540" s="128"/>
      <c r="BR540" s="361"/>
      <c r="BS540" s="361"/>
      <c r="BT540" s="361"/>
      <c r="BU540" s="361"/>
      <c r="BV540" s="128"/>
      <c r="BW540" s="128"/>
      <c r="BX540" s="361"/>
      <c r="BY540" s="361"/>
      <c r="BZ540" s="361"/>
      <c r="CA540" s="361"/>
      <c r="CB540" s="128"/>
      <c r="CC540" s="128"/>
      <c r="CD540" s="128"/>
      <c r="CE540" s="128"/>
    </row>
    <row r="541" spans="1:83" x14ac:dyDescent="0.5">
      <c r="A541" s="262"/>
      <c r="B541" s="135"/>
      <c r="C541" s="136"/>
      <c r="D541" s="137"/>
      <c r="E541" s="138"/>
      <c r="F541" s="139"/>
      <c r="G541" s="179">
        <v>43278</v>
      </c>
      <c r="H541" s="140">
        <v>18211</v>
      </c>
      <c r="I541" s="152"/>
      <c r="J541" s="179"/>
      <c r="K541" s="255"/>
      <c r="L541" s="300"/>
      <c r="M541" s="135"/>
      <c r="N541" s="253"/>
      <c r="O541" s="253"/>
      <c r="P541" s="253"/>
      <c r="Q541" s="143"/>
      <c r="R541" s="172"/>
      <c r="S541" s="173"/>
      <c r="T541" s="174"/>
      <c r="U541" s="570"/>
      <c r="V541" s="555"/>
      <c r="W541" s="556"/>
      <c r="X541" s="556"/>
      <c r="Y541" s="557"/>
      <c r="Z541" s="151"/>
      <c r="AA541" s="154"/>
      <c r="AB541" s="155"/>
      <c r="AC541" s="263"/>
      <c r="AD541" s="263"/>
      <c r="AE541" s="157"/>
      <c r="AF541" s="152"/>
      <c r="AG541" s="152"/>
      <c r="AH541" s="152"/>
      <c r="AI541" s="134"/>
      <c r="AJ541" s="158"/>
      <c r="AK541" s="159"/>
      <c r="AL541" s="160"/>
      <c r="AM541" s="160"/>
      <c r="AN541" s="161"/>
      <c r="AO541" s="162"/>
      <c r="AP541" s="458"/>
      <c r="AQ541" s="458"/>
      <c r="AR541" s="158"/>
      <c r="AS541" s="158"/>
      <c r="AT541" s="458"/>
      <c r="AU541" s="163"/>
      <c r="AV541" s="458"/>
      <c r="AW541" s="458"/>
      <c r="AX541" s="158"/>
      <c r="AY541" s="158"/>
      <c r="AZ541" s="458"/>
      <c r="BA541" s="163"/>
      <c r="BB541" s="458"/>
      <c r="BC541" s="458"/>
      <c r="BD541" s="158"/>
      <c r="BE541" s="158"/>
      <c r="BF541" s="458"/>
      <c r="BG541" s="163"/>
      <c r="BH541" s="458"/>
      <c r="BI541" s="458"/>
      <c r="BJ541" s="158"/>
      <c r="BK541" s="158"/>
      <c r="BL541" s="458"/>
      <c r="BM541" s="458"/>
      <c r="BN541" s="458"/>
      <c r="BO541" s="458"/>
      <c r="BP541" s="158"/>
      <c r="BQ541" s="158"/>
      <c r="BR541" s="458"/>
      <c r="BS541" s="458"/>
      <c r="BT541" s="458"/>
      <c r="BU541" s="458"/>
      <c r="BV541" s="158"/>
      <c r="BW541" s="158"/>
      <c r="BX541" s="458"/>
      <c r="BY541" s="458"/>
      <c r="BZ541" s="458"/>
      <c r="CA541" s="458"/>
      <c r="CB541" s="158"/>
      <c r="CC541" s="158"/>
      <c r="CD541" s="158"/>
      <c r="CE541" s="158"/>
    </row>
    <row r="542" spans="1:83" x14ac:dyDescent="0.5">
      <c r="A542" s="262"/>
      <c r="B542" s="135"/>
      <c r="C542" s="136"/>
      <c r="D542" s="137"/>
      <c r="E542" s="138"/>
      <c r="F542" s="139"/>
      <c r="G542" s="179">
        <v>43278</v>
      </c>
      <c r="H542" s="140">
        <v>18212</v>
      </c>
      <c r="I542" s="152"/>
      <c r="J542" s="179"/>
      <c r="K542" s="255"/>
      <c r="L542" s="300"/>
      <c r="M542" s="135"/>
      <c r="N542" s="253"/>
      <c r="O542" s="253"/>
      <c r="P542" s="253"/>
      <c r="Q542" s="143"/>
      <c r="R542" s="172"/>
      <c r="S542" s="173"/>
      <c r="T542" s="174"/>
      <c r="U542" s="570"/>
      <c r="V542" s="555"/>
      <c r="W542" s="556"/>
      <c r="X542" s="556"/>
      <c r="Y542" s="557"/>
      <c r="Z542" s="151"/>
      <c r="AA542" s="154"/>
      <c r="AB542" s="155"/>
      <c r="AC542" s="263"/>
      <c r="AD542" s="263"/>
      <c r="AE542" s="157"/>
      <c r="AF542" s="152"/>
      <c r="AG542" s="152"/>
      <c r="AH542" s="152"/>
      <c r="AI542" s="134"/>
      <c r="AJ542" s="158"/>
      <c r="AK542" s="159"/>
      <c r="AL542" s="160"/>
      <c r="AM542" s="160"/>
      <c r="AN542" s="161"/>
      <c r="AO542" s="162"/>
      <c r="AP542" s="458"/>
      <c r="AQ542" s="458"/>
      <c r="AR542" s="158"/>
      <c r="AS542" s="158"/>
      <c r="AT542" s="458"/>
      <c r="AU542" s="163"/>
      <c r="AV542" s="458"/>
      <c r="AW542" s="458"/>
      <c r="AX542" s="158"/>
      <c r="AY542" s="158"/>
      <c r="AZ542" s="458"/>
      <c r="BA542" s="163"/>
      <c r="BB542" s="458"/>
      <c r="BC542" s="458"/>
      <c r="BD542" s="158"/>
      <c r="BE542" s="158"/>
      <c r="BF542" s="458"/>
      <c r="BG542" s="163"/>
      <c r="BH542" s="458"/>
      <c r="BI542" s="458"/>
      <c r="BJ542" s="158"/>
      <c r="BK542" s="158"/>
      <c r="BL542" s="458"/>
      <c r="BM542" s="458"/>
      <c r="BN542" s="458"/>
      <c r="BO542" s="458"/>
      <c r="BP542" s="158"/>
      <c r="BQ542" s="158"/>
      <c r="BR542" s="458"/>
      <c r="BS542" s="458"/>
      <c r="BT542" s="458"/>
      <c r="BU542" s="458"/>
      <c r="BV542" s="158"/>
      <c r="BW542" s="158"/>
      <c r="BX542" s="458"/>
      <c r="BY542" s="458"/>
      <c r="BZ542" s="458"/>
      <c r="CA542" s="458"/>
      <c r="CB542" s="158"/>
      <c r="CC542" s="158"/>
      <c r="CD542" s="158"/>
      <c r="CE542" s="158"/>
    </row>
    <row r="543" spans="1:83" x14ac:dyDescent="0.5">
      <c r="A543" s="262"/>
      <c r="B543" s="135"/>
      <c r="C543" s="136"/>
      <c r="D543" s="137"/>
      <c r="E543" s="138"/>
      <c r="F543" s="139"/>
      <c r="G543" s="179">
        <v>43278</v>
      </c>
      <c r="H543" s="140">
        <v>18213</v>
      </c>
      <c r="I543" s="152"/>
      <c r="J543" s="179"/>
      <c r="K543" s="255"/>
      <c r="L543" s="300"/>
      <c r="M543" s="135"/>
      <c r="N543" s="253"/>
      <c r="O543" s="253"/>
      <c r="P543" s="253"/>
      <c r="Q543" s="143"/>
      <c r="R543" s="172"/>
      <c r="S543" s="173"/>
      <c r="T543" s="174"/>
      <c r="U543" s="570"/>
      <c r="V543" s="555"/>
      <c r="W543" s="556"/>
      <c r="X543" s="556"/>
      <c r="Y543" s="557"/>
      <c r="Z543" s="151"/>
      <c r="AA543" s="154"/>
      <c r="AB543" s="155"/>
      <c r="AC543" s="263"/>
      <c r="AD543" s="263"/>
      <c r="AE543" s="157"/>
      <c r="AF543" s="152"/>
      <c r="AG543" s="152"/>
      <c r="AH543" s="152"/>
      <c r="AI543" s="134"/>
      <c r="AJ543" s="158"/>
      <c r="AK543" s="159"/>
      <c r="AL543" s="160"/>
      <c r="AM543" s="160"/>
      <c r="AN543" s="161"/>
      <c r="AO543" s="162"/>
      <c r="AP543" s="458"/>
      <c r="AQ543" s="458"/>
      <c r="AR543" s="158"/>
      <c r="AS543" s="158"/>
      <c r="AT543" s="458"/>
      <c r="AU543" s="163"/>
      <c r="AV543" s="458"/>
      <c r="AW543" s="458"/>
      <c r="AX543" s="158"/>
      <c r="AY543" s="158"/>
      <c r="AZ543" s="458"/>
      <c r="BA543" s="163"/>
      <c r="BB543" s="458"/>
      <c r="BC543" s="458"/>
      <c r="BD543" s="158"/>
      <c r="BE543" s="158"/>
      <c r="BF543" s="458"/>
      <c r="BG543" s="163"/>
      <c r="BH543" s="458"/>
      <c r="BI543" s="458"/>
      <c r="BJ543" s="158"/>
      <c r="BK543" s="158"/>
      <c r="BL543" s="458"/>
      <c r="BM543" s="458"/>
      <c r="BN543" s="458"/>
      <c r="BO543" s="458"/>
      <c r="BP543" s="158"/>
      <c r="BQ543" s="158"/>
      <c r="BR543" s="458"/>
      <c r="BS543" s="458"/>
      <c r="BT543" s="458"/>
      <c r="BU543" s="458"/>
      <c r="BV543" s="158"/>
      <c r="BW543" s="158"/>
      <c r="BX543" s="458"/>
      <c r="BY543" s="458"/>
      <c r="BZ543" s="458"/>
      <c r="CA543" s="458"/>
      <c r="CB543" s="158"/>
      <c r="CC543" s="158"/>
      <c r="CD543" s="158"/>
      <c r="CE543" s="158"/>
    </row>
    <row r="544" spans="1:83" x14ac:dyDescent="0.5">
      <c r="A544" s="268"/>
      <c r="B544" s="181"/>
      <c r="C544" s="182"/>
      <c r="D544" s="183"/>
      <c r="E544" s="184"/>
      <c r="F544" s="185"/>
      <c r="G544" s="186">
        <v>43278</v>
      </c>
      <c r="H544" s="187">
        <v>18214</v>
      </c>
      <c r="I544" s="199"/>
      <c r="J544" s="186"/>
      <c r="K544" s="240"/>
      <c r="L544" s="558"/>
      <c r="M544" s="181"/>
      <c r="N544" s="237"/>
      <c r="O544" s="237"/>
      <c r="P544" s="237"/>
      <c r="Q544" s="190"/>
      <c r="R544" s="191"/>
      <c r="S544" s="192"/>
      <c r="T544" s="193"/>
      <c r="U544" s="571"/>
      <c r="V544" s="560"/>
      <c r="W544" s="561"/>
      <c r="X544" s="561"/>
      <c r="Y544" s="562"/>
      <c r="Z544" s="198"/>
      <c r="AA544" s="200"/>
      <c r="AB544" s="201"/>
      <c r="AC544" s="238"/>
      <c r="AD544" s="238"/>
      <c r="AE544" s="203"/>
      <c r="AF544" s="199"/>
      <c r="AG544" s="199"/>
      <c r="AH544" s="199"/>
      <c r="AI544" s="180"/>
      <c r="AJ544" s="204"/>
      <c r="AK544" s="205"/>
      <c r="AL544" s="206"/>
      <c r="AM544" s="206"/>
      <c r="AN544" s="207"/>
      <c r="AO544" s="208"/>
      <c r="AP544" s="365"/>
      <c r="AQ544" s="365"/>
      <c r="AR544" s="204"/>
      <c r="AS544" s="204"/>
      <c r="AT544" s="365"/>
      <c r="AU544" s="210"/>
      <c r="AV544" s="365"/>
      <c r="AW544" s="365"/>
      <c r="AX544" s="204"/>
      <c r="AY544" s="204"/>
      <c r="AZ544" s="365"/>
      <c r="BA544" s="210"/>
      <c r="BB544" s="365"/>
      <c r="BC544" s="365"/>
      <c r="BD544" s="204"/>
      <c r="BE544" s="204"/>
      <c r="BF544" s="365"/>
      <c r="BG544" s="210"/>
      <c r="BH544" s="365"/>
      <c r="BI544" s="365"/>
      <c r="BJ544" s="204"/>
      <c r="BK544" s="204"/>
      <c r="BL544" s="365"/>
      <c r="BM544" s="365"/>
      <c r="BN544" s="365"/>
      <c r="BO544" s="365"/>
      <c r="BP544" s="204"/>
      <c r="BQ544" s="204"/>
      <c r="BR544" s="365"/>
      <c r="BS544" s="365"/>
      <c r="BT544" s="365"/>
      <c r="BU544" s="365"/>
      <c r="BV544" s="204"/>
      <c r="BW544" s="204"/>
      <c r="BX544" s="365"/>
      <c r="BY544" s="365"/>
      <c r="BZ544" s="365"/>
      <c r="CA544" s="365"/>
      <c r="CB544" s="204"/>
      <c r="CC544" s="204"/>
      <c r="CD544" s="204"/>
      <c r="CE544" s="204"/>
    </row>
    <row r="545" spans="1:83" x14ac:dyDescent="0.5">
      <c r="A545" s="227">
        <v>18055812</v>
      </c>
      <c r="B545" s="22">
        <v>18050463</v>
      </c>
      <c r="C545" s="55"/>
      <c r="D545" s="56"/>
      <c r="E545" s="57"/>
      <c r="F545" s="58"/>
      <c r="G545" s="59"/>
      <c r="H545" s="60"/>
      <c r="I545" s="269" t="s">
        <v>869</v>
      </c>
      <c r="J545" s="59"/>
      <c r="K545" s="42" t="s">
        <v>196</v>
      </c>
      <c r="L545" s="520" t="s">
        <v>301</v>
      </c>
      <c r="M545" s="22" t="s">
        <v>51</v>
      </c>
      <c r="N545" s="63">
        <v>17500</v>
      </c>
      <c r="O545" s="63">
        <v>1225</v>
      </c>
      <c r="P545" s="63">
        <f t="shared" si="86"/>
        <v>18725</v>
      </c>
      <c r="AA545" s="40">
        <v>18050184</v>
      </c>
      <c r="AB545" s="41">
        <v>17500</v>
      </c>
      <c r="AC545" s="64">
        <f t="shared" si="89"/>
        <v>1225</v>
      </c>
      <c r="AD545" s="64">
        <f t="shared" si="90"/>
        <v>18725</v>
      </c>
      <c r="AE545" s="53">
        <v>43280</v>
      </c>
      <c r="AF545" s="39" t="s">
        <v>869</v>
      </c>
      <c r="AI545" s="21" t="s">
        <v>1078</v>
      </c>
      <c r="AJ545" s="44">
        <v>1</v>
      </c>
      <c r="AK545" s="45" t="s">
        <v>697</v>
      </c>
      <c r="AN545" s="47">
        <v>1</v>
      </c>
      <c r="AO545" s="48" t="s">
        <v>628</v>
      </c>
      <c r="AP545" s="44">
        <v>2</v>
      </c>
      <c r="AQ545" s="40" t="s">
        <v>697</v>
      </c>
      <c r="AT545" s="47">
        <v>1</v>
      </c>
      <c r="AU545" s="49" t="s">
        <v>628</v>
      </c>
      <c r="AV545" s="356"/>
      <c r="AW545" s="356"/>
      <c r="AX545" s="44"/>
      <c r="AY545" s="44"/>
      <c r="AZ545" s="356"/>
      <c r="BA545" s="54"/>
      <c r="BB545" s="356"/>
      <c r="BC545" s="356"/>
      <c r="BD545" s="44"/>
      <c r="BE545" s="44"/>
      <c r="BF545" s="356"/>
      <c r="BG545" s="54"/>
      <c r="BH545" s="356"/>
      <c r="BI545" s="356"/>
      <c r="BJ545" s="44"/>
      <c r="BK545" s="44"/>
      <c r="BL545" s="356"/>
      <c r="BM545" s="356"/>
      <c r="BN545" s="356"/>
      <c r="BO545" s="356"/>
      <c r="BP545" s="44"/>
      <c r="BQ545" s="44"/>
      <c r="BR545" s="356"/>
      <c r="BS545" s="356"/>
      <c r="BT545" s="356"/>
      <c r="BU545" s="356"/>
      <c r="BV545" s="44"/>
      <c r="BW545" s="44"/>
      <c r="BX545" s="356"/>
      <c r="BY545" s="356"/>
      <c r="BZ545" s="356"/>
      <c r="CA545" s="356"/>
      <c r="CB545" s="44"/>
      <c r="CC545" s="44"/>
      <c r="CD545" s="44"/>
      <c r="CE545" s="44"/>
    </row>
    <row r="546" spans="1:83" x14ac:dyDescent="0.5">
      <c r="A546" s="227">
        <v>18055811</v>
      </c>
      <c r="B546" s="22">
        <v>18050462</v>
      </c>
      <c r="C546" s="23">
        <v>109</v>
      </c>
      <c r="D546" s="24" t="s">
        <v>184</v>
      </c>
      <c r="E546" s="25" t="s">
        <v>185</v>
      </c>
      <c r="F546" s="26">
        <v>126</v>
      </c>
      <c r="G546" s="62">
        <v>43252</v>
      </c>
      <c r="H546" s="27">
        <v>18182</v>
      </c>
      <c r="I546" s="39" t="s">
        <v>869</v>
      </c>
      <c r="J546" s="62">
        <v>43253</v>
      </c>
      <c r="K546" s="42" t="s">
        <v>20</v>
      </c>
      <c r="L546" s="520" t="s">
        <v>302</v>
      </c>
      <c r="M546" s="22" t="s">
        <v>51</v>
      </c>
      <c r="N546" s="63">
        <v>14000</v>
      </c>
      <c r="O546" s="63">
        <v>980</v>
      </c>
      <c r="P546" s="63">
        <f t="shared" si="86"/>
        <v>14980</v>
      </c>
      <c r="AA546" s="40">
        <v>18060205</v>
      </c>
      <c r="AB546" s="41">
        <v>14000</v>
      </c>
      <c r="AC546" s="64">
        <f t="shared" si="89"/>
        <v>980</v>
      </c>
      <c r="AD546" s="64">
        <f t="shared" si="90"/>
        <v>14980</v>
      </c>
      <c r="AE546" s="53">
        <v>43294</v>
      </c>
      <c r="AF546" s="39" t="s">
        <v>869</v>
      </c>
      <c r="AI546" s="21" t="s">
        <v>1107</v>
      </c>
      <c r="AJ546" s="44">
        <v>1</v>
      </c>
      <c r="AK546" s="45" t="s">
        <v>803</v>
      </c>
      <c r="AL546" s="46" t="s">
        <v>1205</v>
      </c>
      <c r="AN546" s="47">
        <v>2</v>
      </c>
      <c r="AO546" s="48" t="s">
        <v>635</v>
      </c>
      <c r="AP546" s="356"/>
      <c r="AQ546" s="356"/>
      <c r="AR546" s="44"/>
      <c r="AS546" s="44"/>
      <c r="AT546" s="356"/>
      <c r="AU546" s="54"/>
      <c r="AV546" s="356"/>
      <c r="AW546" s="356"/>
      <c r="AX546" s="44"/>
      <c r="AY546" s="44"/>
      <c r="AZ546" s="356"/>
      <c r="BA546" s="54"/>
      <c r="BB546" s="356"/>
      <c r="BC546" s="356"/>
      <c r="BD546" s="44"/>
      <c r="BE546" s="44"/>
      <c r="BF546" s="356"/>
      <c r="BG546" s="54"/>
      <c r="BH546" s="356"/>
      <c r="BI546" s="356"/>
      <c r="BJ546" s="44"/>
      <c r="BK546" s="44"/>
      <c r="BL546" s="356"/>
      <c r="BM546" s="356"/>
      <c r="BN546" s="356"/>
      <c r="BO546" s="356"/>
      <c r="BP546" s="44"/>
      <c r="BQ546" s="44"/>
      <c r="BR546" s="356"/>
      <c r="BS546" s="356"/>
      <c r="BT546" s="356"/>
      <c r="BU546" s="356"/>
      <c r="BV546" s="44"/>
      <c r="BW546" s="44"/>
      <c r="BX546" s="356"/>
      <c r="BY546" s="356"/>
      <c r="BZ546" s="356"/>
      <c r="CA546" s="356"/>
      <c r="CB546" s="44"/>
      <c r="CC546" s="44"/>
      <c r="CD546" s="44"/>
      <c r="CE546" s="44"/>
    </row>
    <row r="547" spans="1:83" x14ac:dyDescent="0.5">
      <c r="A547" s="227">
        <v>18055810</v>
      </c>
      <c r="B547" s="22">
        <v>18050459</v>
      </c>
      <c r="C547" s="55"/>
      <c r="D547" s="56"/>
      <c r="E547" s="57"/>
      <c r="F547" s="58"/>
      <c r="G547" s="59"/>
      <c r="H547" s="60"/>
      <c r="I547" s="39" t="s">
        <v>869</v>
      </c>
      <c r="K547" s="42" t="s">
        <v>196</v>
      </c>
      <c r="L547" s="520" t="s">
        <v>303</v>
      </c>
      <c r="M547" s="22" t="s">
        <v>51</v>
      </c>
      <c r="N547" s="63">
        <v>5000</v>
      </c>
      <c r="O547" s="63">
        <v>350</v>
      </c>
      <c r="P547" s="63">
        <f t="shared" si="86"/>
        <v>5350</v>
      </c>
      <c r="AA547" s="40">
        <v>18050183</v>
      </c>
      <c r="AB547" s="41">
        <v>5000</v>
      </c>
      <c r="AC547" s="64">
        <f t="shared" si="89"/>
        <v>350</v>
      </c>
      <c r="AD547" s="64">
        <f t="shared" si="90"/>
        <v>5350</v>
      </c>
      <c r="AE547" s="53">
        <v>43280</v>
      </c>
      <c r="AF547" s="39" t="s">
        <v>869</v>
      </c>
      <c r="AI547" s="21" t="s">
        <v>1078</v>
      </c>
      <c r="AJ547" s="44">
        <v>1</v>
      </c>
      <c r="AK547" s="45" t="s">
        <v>698</v>
      </c>
      <c r="AN547" s="47">
        <v>1</v>
      </c>
      <c r="AO547" s="102"/>
      <c r="AP547" s="356"/>
      <c r="AQ547" s="356"/>
      <c r="AR547" s="44"/>
      <c r="AS547" s="44"/>
      <c r="AT547" s="356"/>
      <c r="AU547" s="54"/>
      <c r="AV547" s="356"/>
      <c r="AW547" s="356"/>
      <c r="AX547" s="44"/>
      <c r="AY547" s="44"/>
      <c r="AZ547" s="356"/>
      <c r="BA547" s="54"/>
      <c r="BB547" s="356"/>
      <c r="BC547" s="356"/>
      <c r="BD547" s="44"/>
      <c r="BE547" s="44"/>
      <c r="BF547" s="356"/>
      <c r="BG547" s="54"/>
      <c r="BH547" s="356"/>
      <c r="BI547" s="356"/>
      <c r="BJ547" s="44"/>
      <c r="BK547" s="44"/>
      <c r="BL547" s="356"/>
      <c r="BM547" s="356"/>
      <c r="BN547" s="356"/>
      <c r="BO547" s="356"/>
      <c r="BP547" s="44"/>
      <c r="BQ547" s="44"/>
      <c r="BR547" s="356"/>
      <c r="BS547" s="356"/>
      <c r="BT547" s="356"/>
      <c r="BU547" s="356"/>
      <c r="BV547" s="44"/>
      <c r="BW547" s="44"/>
      <c r="BX547" s="356"/>
      <c r="BY547" s="356"/>
      <c r="BZ547" s="356"/>
      <c r="CA547" s="356"/>
      <c r="CB547" s="44"/>
      <c r="CC547" s="44"/>
      <c r="CD547" s="44"/>
      <c r="CE547" s="44"/>
    </row>
    <row r="548" spans="1:83" x14ac:dyDescent="0.5">
      <c r="A548" s="227">
        <v>18055809</v>
      </c>
      <c r="B548" s="22">
        <v>18050458</v>
      </c>
      <c r="C548" s="23">
        <v>108</v>
      </c>
      <c r="D548" s="24" t="s">
        <v>184</v>
      </c>
      <c r="E548" s="25" t="s">
        <v>185</v>
      </c>
      <c r="F548" s="26">
        <v>125</v>
      </c>
      <c r="G548" s="62">
        <v>43252</v>
      </c>
      <c r="H548" s="27">
        <v>18180</v>
      </c>
      <c r="I548" s="39" t="s">
        <v>869</v>
      </c>
      <c r="J548" s="62">
        <v>43252</v>
      </c>
      <c r="K548" s="42" t="s">
        <v>304</v>
      </c>
      <c r="L548" s="520" t="s">
        <v>305</v>
      </c>
      <c r="M548" s="22" t="s">
        <v>50</v>
      </c>
      <c r="N548" s="63">
        <v>11000</v>
      </c>
      <c r="O548" s="63">
        <v>770</v>
      </c>
      <c r="P548" s="63">
        <f t="shared" si="86"/>
        <v>11770</v>
      </c>
      <c r="X548" s="518">
        <v>55</v>
      </c>
      <c r="AA548" s="40">
        <v>18060207</v>
      </c>
      <c r="AB548" s="41">
        <v>11000</v>
      </c>
      <c r="AC548" s="64">
        <f t="shared" si="89"/>
        <v>770</v>
      </c>
      <c r="AD548" s="64">
        <f t="shared" si="90"/>
        <v>11770</v>
      </c>
      <c r="AE548" s="53">
        <v>43264</v>
      </c>
      <c r="AF548" s="39" t="s">
        <v>869</v>
      </c>
      <c r="AI548" s="21" t="s">
        <v>1094</v>
      </c>
      <c r="AJ548" s="44">
        <v>1</v>
      </c>
      <c r="AK548" s="45" t="s">
        <v>661</v>
      </c>
      <c r="AM548" s="46" t="s">
        <v>1205</v>
      </c>
      <c r="AN548" s="47">
        <v>1</v>
      </c>
      <c r="AO548" s="48" t="s">
        <v>634</v>
      </c>
      <c r="AP548" s="356"/>
      <c r="AQ548" s="356"/>
      <c r="AR548" s="44"/>
      <c r="AS548" s="44"/>
      <c r="AT548" s="356"/>
      <c r="AU548" s="54"/>
      <c r="AV548" s="356"/>
      <c r="AW548" s="356"/>
      <c r="AX548" s="44"/>
      <c r="AY548" s="44"/>
      <c r="AZ548" s="356"/>
      <c r="BA548" s="54"/>
      <c r="BB548" s="356"/>
      <c r="BC548" s="356"/>
      <c r="BD548" s="44"/>
      <c r="BE548" s="44"/>
      <c r="BF548" s="356"/>
      <c r="BG548" s="54"/>
      <c r="BH548" s="356"/>
      <c r="BI548" s="356"/>
      <c r="BJ548" s="44"/>
      <c r="BK548" s="44"/>
      <c r="BL548" s="356"/>
      <c r="BM548" s="356"/>
      <c r="BN548" s="356"/>
      <c r="BO548" s="356"/>
      <c r="BP548" s="44"/>
      <c r="BQ548" s="44"/>
      <c r="BR548" s="356"/>
      <c r="BS548" s="356"/>
      <c r="BT548" s="356"/>
      <c r="BU548" s="356"/>
      <c r="BV548" s="44"/>
      <c r="BW548" s="44"/>
      <c r="BX548" s="356"/>
      <c r="BY548" s="356"/>
      <c r="BZ548" s="356"/>
      <c r="CA548" s="356"/>
      <c r="CB548" s="44"/>
      <c r="CC548" s="44"/>
      <c r="CD548" s="356"/>
      <c r="CE548" s="356"/>
    </row>
    <row r="549" spans="1:83" x14ac:dyDescent="0.5">
      <c r="A549" s="259">
        <v>18055808</v>
      </c>
      <c r="B549" s="104">
        <v>18050457</v>
      </c>
      <c r="C549" s="105">
        <v>107</v>
      </c>
      <c r="D549" s="106" t="s">
        <v>184</v>
      </c>
      <c r="E549" s="107" t="s">
        <v>185</v>
      </c>
      <c r="F549" s="108">
        <v>138</v>
      </c>
      <c r="G549" s="122">
        <v>43265</v>
      </c>
      <c r="H549" s="109">
        <v>18201</v>
      </c>
      <c r="I549" s="127" t="s">
        <v>869</v>
      </c>
      <c r="J549" s="122">
        <v>43266</v>
      </c>
      <c r="K549" s="547" t="s">
        <v>18</v>
      </c>
      <c r="L549" s="548" t="s">
        <v>306</v>
      </c>
      <c r="M549" s="104" t="s">
        <v>50</v>
      </c>
      <c r="N549" s="260">
        <v>80750</v>
      </c>
      <c r="O549" s="260">
        <v>5652.5</v>
      </c>
      <c r="P549" s="260">
        <f t="shared" si="86"/>
        <v>86402.5</v>
      </c>
      <c r="Q549" s="311"/>
      <c r="R549" s="113"/>
      <c r="S549" s="114"/>
      <c r="T549" s="115"/>
      <c r="U549" s="550"/>
      <c r="V549" s="551"/>
      <c r="W549" s="552"/>
      <c r="X549" s="552">
        <v>124</v>
      </c>
      <c r="Y549" s="553"/>
      <c r="Z549" s="120"/>
      <c r="AA549" s="229">
        <v>18050177</v>
      </c>
      <c r="AB549" s="230">
        <v>24225</v>
      </c>
      <c r="AC549" s="234">
        <f t="shared" si="89"/>
        <v>1695.75</v>
      </c>
      <c r="AD549" s="234">
        <f t="shared" si="90"/>
        <v>25920.75</v>
      </c>
      <c r="AE549" s="221">
        <v>43248</v>
      </c>
      <c r="AF549" s="121" t="s">
        <v>869</v>
      </c>
      <c r="AG549" s="121"/>
      <c r="AH549" s="121"/>
      <c r="AI549" s="222" t="s">
        <v>961</v>
      </c>
      <c r="AJ549" s="128">
        <v>1</v>
      </c>
      <c r="AK549" s="129" t="s">
        <v>812</v>
      </c>
      <c r="AL549" s="130"/>
      <c r="AM549" s="130" t="s">
        <v>1205</v>
      </c>
      <c r="AN549" s="131">
        <v>1</v>
      </c>
      <c r="AO549" s="132" t="s">
        <v>634</v>
      </c>
      <c r="AP549" s="128">
        <v>2</v>
      </c>
      <c r="AQ549" s="123" t="s">
        <v>716</v>
      </c>
      <c r="AR549" s="131"/>
      <c r="AS549" s="131" t="s">
        <v>1205</v>
      </c>
      <c r="AT549" s="131">
        <v>2</v>
      </c>
      <c r="AU549" s="169" t="s">
        <v>634</v>
      </c>
      <c r="AV549" s="361"/>
      <c r="AW549" s="361"/>
      <c r="AX549" s="128"/>
      <c r="AY549" s="128"/>
      <c r="AZ549" s="361"/>
      <c r="BA549" s="133"/>
      <c r="BB549" s="361"/>
      <c r="BC549" s="361"/>
      <c r="BD549" s="128"/>
      <c r="BE549" s="128"/>
      <c r="BF549" s="361"/>
      <c r="BG549" s="133"/>
      <c r="BH549" s="361"/>
      <c r="BI549" s="361"/>
      <c r="BJ549" s="128"/>
      <c r="BK549" s="128"/>
      <c r="BL549" s="361"/>
      <c r="BM549" s="361"/>
      <c r="BN549" s="361"/>
      <c r="BO549" s="361"/>
      <c r="BP549" s="128"/>
      <c r="BQ549" s="128"/>
      <c r="BR549" s="361"/>
      <c r="BS549" s="361"/>
      <c r="BT549" s="361"/>
      <c r="BU549" s="361"/>
      <c r="BV549" s="128"/>
      <c r="BW549" s="128"/>
      <c r="BX549" s="361"/>
      <c r="BY549" s="361"/>
      <c r="BZ549" s="361"/>
      <c r="CA549" s="361"/>
      <c r="CB549" s="128"/>
      <c r="CC549" s="128"/>
      <c r="CD549" s="361"/>
      <c r="CE549" s="361"/>
    </row>
    <row r="550" spans="1:83" x14ac:dyDescent="0.5">
      <c r="A550" s="268"/>
      <c r="B550" s="181"/>
      <c r="C550" s="182"/>
      <c r="D550" s="183"/>
      <c r="E550" s="184"/>
      <c r="F550" s="185"/>
      <c r="G550" s="186">
        <v>43265</v>
      </c>
      <c r="H550" s="187">
        <v>18202</v>
      </c>
      <c r="I550" s="199"/>
      <c r="J550" s="186"/>
      <c r="K550" s="240"/>
      <c r="L550" s="240"/>
      <c r="M550" s="181"/>
      <c r="N550" s="237"/>
      <c r="O550" s="237"/>
      <c r="P550" s="237"/>
      <c r="Q550" s="190"/>
      <c r="R550" s="215"/>
      <c r="S550" s="216"/>
      <c r="T550" s="217"/>
      <c r="U550" s="544"/>
      <c r="V550" s="560"/>
      <c r="W550" s="561"/>
      <c r="X550" s="561"/>
      <c r="Y550" s="562"/>
      <c r="Z550" s="198"/>
      <c r="AA550" s="200">
        <v>18060194</v>
      </c>
      <c r="AB550" s="201">
        <v>56525</v>
      </c>
      <c r="AC550" s="238">
        <f t="shared" si="89"/>
        <v>3956.75</v>
      </c>
      <c r="AD550" s="238">
        <f t="shared" si="90"/>
        <v>60481.75</v>
      </c>
      <c r="AE550" s="203">
        <v>43256</v>
      </c>
      <c r="AF550" s="199" t="s">
        <v>869</v>
      </c>
      <c r="AG550" s="199"/>
      <c r="AH550" s="199"/>
      <c r="AI550" s="180" t="s">
        <v>960</v>
      </c>
      <c r="AJ550" s="204"/>
      <c r="AK550" s="205"/>
      <c r="AL550" s="206"/>
      <c r="AM550" s="206"/>
      <c r="AN550" s="207"/>
      <c r="AO550" s="208"/>
      <c r="AP550" s="204"/>
      <c r="AQ550" s="200"/>
      <c r="AR550" s="207"/>
      <c r="AS550" s="207"/>
      <c r="AT550" s="207"/>
      <c r="AU550" s="209"/>
      <c r="AV550" s="365"/>
      <c r="AW550" s="365"/>
      <c r="AX550" s="204"/>
      <c r="AY550" s="204"/>
      <c r="AZ550" s="365"/>
      <c r="BA550" s="210"/>
      <c r="BB550" s="365"/>
      <c r="BC550" s="365"/>
      <c r="BD550" s="204"/>
      <c r="BE550" s="204"/>
      <c r="BF550" s="365"/>
      <c r="BG550" s="210"/>
      <c r="BH550" s="365"/>
      <c r="BI550" s="365"/>
      <c r="BJ550" s="204"/>
      <c r="BK550" s="204"/>
      <c r="BL550" s="365"/>
      <c r="BM550" s="365"/>
      <c r="BN550" s="365"/>
      <c r="BO550" s="365"/>
      <c r="BP550" s="204"/>
      <c r="BQ550" s="204"/>
      <c r="BR550" s="365"/>
      <c r="BS550" s="365"/>
      <c r="BT550" s="365"/>
      <c r="BU550" s="365"/>
      <c r="BV550" s="204"/>
      <c r="BW550" s="204"/>
      <c r="BX550" s="365"/>
      <c r="BY550" s="365"/>
      <c r="BZ550" s="365"/>
      <c r="CA550" s="365"/>
      <c r="CB550" s="204"/>
      <c r="CC550" s="204"/>
      <c r="CD550" s="365"/>
      <c r="CE550" s="365"/>
    </row>
    <row r="551" spans="1:83" x14ac:dyDescent="0.5">
      <c r="A551" s="259">
        <v>18055807</v>
      </c>
      <c r="B551" s="104">
        <v>18040349</v>
      </c>
      <c r="C551" s="105">
        <v>106</v>
      </c>
      <c r="D551" s="106" t="s">
        <v>184</v>
      </c>
      <c r="E551" s="107" t="s">
        <v>185</v>
      </c>
      <c r="F551" s="108">
        <v>146</v>
      </c>
      <c r="G551" s="211">
        <v>43281</v>
      </c>
      <c r="H551" s="164">
        <v>18216</v>
      </c>
      <c r="I551" s="127" t="s">
        <v>869</v>
      </c>
      <c r="J551" s="122">
        <v>43283</v>
      </c>
      <c r="K551" s="547" t="s">
        <v>307</v>
      </c>
      <c r="L551" s="548" t="s">
        <v>308</v>
      </c>
      <c r="M551" s="104" t="s">
        <v>52</v>
      </c>
      <c r="N551" s="260">
        <v>203100</v>
      </c>
      <c r="O551" s="260">
        <v>14217</v>
      </c>
      <c r="P551" s="260">
        <f t="shared" si="86"/>
        <v>217317</v>
      </c>
      <c r="Q551" s="311"/>
      <c r="R551" s="113"/>
      <c r="S551" s="114"/>
      <c r="T551" s="115"/>
      <c r="U551" s="550">
        <v>9455</v>
      </c>
      <c r="V551" s="551"/>
      <c r="W551" s="552"/>
      <c r="X551" s="552">
        <v>628.75</v>
      </c>
      <c r="Y551" s="553"/>
      <c r="Z551" s="120"/>
      <c r="AA551" s="123">
        <v>18060196</v>
      </c>
      <c r="AB551" s="124">
        <v>203100</v>
      </c>
      <c r="AC551" s="261">
        <f t="shared" si="89"/>
        <v>14217</v>
      </c>
      <c r="AD551" s="261">
        <f t="shared" si="90"/>
        <v>217317</v>
      </c>
      <c r="AE551" s="126">
        <v>43262</v>
      </c>
      <c r="AF551" s="127" t="s">
        <v>869</v>
      </c>
      <c r="AG551" s="127"/>
      <c r="AH551" s="127"/>
      <c r="AI551" s="103" t="s">
        <v>945</v>
      </c>
      <c r="AJ551" s="128">
        <v>1</v>
      </c>
      <c r="AK551" s="129" t="s">
        <v>772</v>
      </c>
      <c r="AL551" s="130" t="s">
        <v>1205</v>
      </c>
      <c r="AM551" s="130"/>
      <c r="AN551" s="131">
        <v>2</v>
      </c>
      <c r="AO551" s="132" t="s">
        <v>636</v>
      </c>
      <c r="AP551" s="128">
        <v>2</v>
      </c>
      <c r="AQ551" s="123" t="s">
        <v>600</v>
      </c>
      <c r="AR551" s="131"/>
      <c r="AS551" s="131" t="s">
        <v>1205</v>
      </c>
      <c r="AT551" s="131">
        <v>1</v>
      </c>
      <c r="AU551" s="169" t="s">
        <v>636</v>
      </c>
      <c r="AV551" s="128">
        <v>3</v>
      </c>
      <c r="AW551" s="123" t="s">
        <v>773</v>
      </c>
      <c r="AX551" s="131"/>
      <c r="AY551" s="131" t="s">
        <v>1205</v>
      </c>
      <c r="AZ551" s="131">
        <v>1</v>
      </c>
      <c r="BA551" s="169" t="s">
        <v>634</v>
      </c>
      <c r="BB551" s="361"/>
      <c r="BC551" s="361"/>
      <c r="BD551" s="128"/>
      <c r="BE551" s="128"/>
      <c r="BF551" s="361"/>
      <c r="BG551" s="133"/>
      <c r="BH551" s="361"/>
      <c r="BI551" s="361"/>
      <c r="BJ551" s="128"/>
      <c r="BK551" s="128"/>
      <c r="BL551" s="361"/>
      <c r="BM551" s="361"/>
      <c r="BN551" s="361"/>
      <c r="BO551" s="361"/>
      <c r="BP551" s="128"/>
      <c r="BQ551" s="128"/>
      <c r="BR551" s="361"/>
      <c r="BS551" s="361"/>
      <c r="BT551" s="361"/>
      <c r="BU551" s="361"/>
      <c r="BV551" s="128"/>
      <c r="BW551" s="128"/>
      <c r="BX551" s="361"/>
      <c r="BY551" s="361"/>
      <c r="BZ551" s="361"/>
      <c r="CA551" s="361"/>
      <c r="CB551" s="128"/>
      <c r="CC551" s="128"/>
      <c r="CD551" s="361"/>
      <c r="CE551" s="361"/>
    </row>
    <row r="552" spans="1:83" x14ac:dyDescent="0.5">
      <c r="A552" s="262"/>
      <c r="B552" s="135"/>
      <c r="C552" s="136"/>
      <c r="D552" s="137"/>
      <c r="E552" s="138"/>
      <c r="F552" s="139"/>
      <c r="G552" s="179">
        <v>43281</v>
      </c>
      <c r="H552" s="140">
        <v>18217</v>
      </c>
      <c r="I552" s="152"/>
      <c r="J552" s="179"/>
      <c r="K552" s="255"/>
      <c r="L552" s="300"/>
      <c r="M552" s="135"/>
      <c r="N552" s="253"/>
      <c r="O552" s="253"/>
      <c r="P552" s="253"/>
      <c r="Q552" s="143"/>
      <c r="R552" s="144"/>
      <c r="S552" s="145"/>
      <c r="T552" s="146"/>
      <c r="U552" s="529"/>
      <c r="V552" s="555"/>
      <c r="W552" s="556"/>
      <c r="X552" s="556"/>
      <c r="Y552" s="557"/>
      <c r="Z552" s="151"/>
      <c r="AA552" s="154"/>
      <c r="AB552" s="155"/>
      <c r="AC552" s="263"/>
      <c r="AD552" s="263"/>
      <c r="AE552" s="157"/>
      <c r="AF552" s="152"/>
      <c r="AG552" s="152"/>
      <c r="AH552" s="152"/>
      <c r="AI552" s="134"/>
      <c r="AJ552" s="158"/>
      <c r="AK552" s="159"/>
      <c r="AL552" s="160"/>
      <c r="AM552" s="160"/>
      <c r="AN552" s="161"/>
      <c r="AO552" s="162"/>
      <c r="AP552" s="158"/>
      <c r="AQ552" s="154"/>
      <c r="AR552" s="161"/>
      <c r="AS552" s="161"/>
      <c r="AT552" s="161"/>
      <c r="AU552" s="177"/>
      <c r="AV552" s="158"/>
      <c r="AW552" s="154"/>
      <c r="AX552" s="161"/>
      <c r="AY552" s="161"/>
      <c r="AZ552" s="161"/>
      <c r="BA552" s="177"/>
      <c r="BB552" s="458"/>
      <c r="BC552" s="458"/>
      <c r="BD552" s="158"/>
      <c r="BE552" s="158"/>
      <c r="BF552" s="458"/>
      <c r="BG552" s="163"/>
      <c r="BH552" s="458"/>
      <c r="BI552" s="458"/>
      <c r="BJ552" s="158"/>
      <c r="BK552" s="158"/>
      <c r="BL552" s="458"/>
      <c r="BM552" s="458"/>
      <c r="BN552" s="458"/>
      <c r="BO552" s="458"/>
      <c r="BP552" s="158"/>
      <c r="BQ552" s="158"/>
      <c r="BR552" s="458"/>
      <c r="BS552" s="458"/>
      <c r="BT552" s="458"/>
      <c r="BU552" s="458"/>
      <c r="BV552" s="158"/>
      <c r="BW552" s="158"/>
      <c r="BX552" s="458"/>
      <c r="BY552" s="458"/>
      <c r="BZ552" s="458"/>
      <c r="CA552" s="458"/>
      <c r="CB552" s="158"/>
      <c r="CC552" s="158"/>
      <c r="CD552" s="458"/>
      <c r="CE552" s="458"/>
    </row>
    <row r="553" spans="1:83" x14ac:dyDescent="0.5">
      <c r="A553" s="259">
        <v>18055806</v>
      </c>
      <c r="B553" s="104">
        <v>18050407</v>
      </c>
      <c r="C553" s="105">
        <v>105</v>
      </c>
      <c r="D553" s="106" t="s">
        <v>184</v>
      </c>
      <c r="E553" s="107" t="s">
        <v>185</v>
      </c>
      <c r="F553" s="108">
        <v>153</v>
      </c>
      <c r="G553" s="122">
        <v>43286</v>
      </c>
      <c r="H553" s="109">
        <v>18229</v>
      </c>
      <c r="I553" s="127" t="s">
        <v>869</v>
      </c>
      <c r="J553" s="122">
        <v>43287</v>
      </c>
      <c r="K553" s="547" t="s">
        <v>72</v>
      </c>
      <c r="L553" s="548" t="s">
        <v>309</v>
      </c>
      <c r="M553" s="104" t="s">
        <v>52</v>
      </c>
      <c r="N553" s="260">
        <v>304850</v>
      </c>
      <c r="O553" s="260">
        <v>21339.5</v>
      </c>
      <c r="P553" s="260">
        <f t="shared" si="86"/>
        <v>326189.5</v>
      </c>
      <c r="Q553" s="311"/>
      <c r="R553" s="113"/>
      <c r="S553" s="114"/>
      <c r="T553" s="115"/>
      <c r="U553" s="550">
        <v>15242.5</v>
      </c>
      <c r="V553" s="551"/>
      <c r="W553" s="552"/>
      <c r="X553" s="552">
        <v>1245.31</v>
      </c>
      <c r="Y553" s="553"/>
      <c r="Z553" s="120"/>
      <c r="AA553" s="229">
        <v>18050186</v>
      </c>
      <c r="AB553" s="230">
        <v>91455</v>
      </c>
      <c r="AC553" s="234">
        <f t="shared" si="89"/>
        <v>6401.85</v>
      </c>
      <c r="AD553" s="234">
        <f t="shared" si="90"/>
        <v>97856.85</v>
      </c>
      <c r="AE553" s="221">
        <v>43251</v>
      </c>
      <c r="AF553" s="121" t="s">
        <v>869</v>
      </c>
      <c r="AG553" s="121"/>
      <c r="AH553" s="121"/>
      <c r="AI553" s="222" t="s">
        <v>974</v>
      </c>
      <c r="AJ553" s="128">
        <v>1</v>
      </c>
      <c r="AK553" s="129" t="s">
        <v>779</v>
      </c>
      <c r="AL553" s="130"/>
      <c r="AM553" s="130" t="s">
        <v>1205</v>
      </c>
      <c r="AN553" s="131">
        <v>2</v>
      </c>
      <c r="AO553" s="132" t="s">
        <v>634</v>
      </c>
      <c r="AP553" s="128">
        <v>2</v>
      </c>
      <c r="AQ553" s="123" t="s">
        <v>650</v>
      </c>
      <c r="AR553" s="131"/>
      <c r="AS553" s="131" t="s">
        <v>1205</v>
      </c>
      <c r="AT553" s="131">
        <v>1</v>
      </c>
      <c r="AU553" s="169" t="s">
        <v>634</v>
      </c>
      <c r="AV553" s="361"/>
      <c r="AW553" s="361"/>
      <c r="AX553" s="128"/>
      <c r="AY553" s="128"/>
      <c r="AZ553" s="361"/>
      <c r="BA553" s="133"/>
      <c r="BB553" s="361"/>
      <c r="BC553" s="361"/>
      <c r="BD553" s="128"/>
      <c r="BE553" s="128"/>
      <c r="BF553" s="361"/>
      <c r="BG553" s="133"/>
      <c r="BH553" s="361"/>
      <c r="BI553" s="361"/>
      <c r="BJ553" s="128"/>
      <c r="BK553" s="128"/>
      <c r="BL553" s="361"/>
      <c r="BM553" s="361"/>
      <c r="BN553" s="361"/>
      <c r="BO553" s="361"/>
      <c r="BP553" s="128"/>
      <c r="BQ553" s="128"/>
      <c r="BR553" s="361"/>
      <c r="BS553" s="361"/>
      <c r="BT553" s="361"/>
      <c r="BU553" s="361"/>
      <c r="BV553" s="128"/>
      <c r="BW553" s="128"/>
      <c r="BX553" s="361"/>
      <c r="BY553" s="361"/>
      <c r="BZ553" s="361"/>
      <c r="CA553" s="361"/>
      <c r="CB553" s="128"/>
      <c r="CC553" s="128"/>
      <c r="CD553" s="361"/>
      <c r="CE553" s="361"/>
    </row>
    <row r="554" spans="1:83" x14ac:dyDescent="0.5">
      <c r="A554" s="268"/>
      <c r="B554" s="181"/>
      <c r="C554" s="182"/>
      <c r="D554" s="183"/>
      <c r="E554" s="184"/>
      <c r="F554" s="185"/>
      <c r="G554" s="186">
        <v>43286</v>
      </c>
      <c r="H554" s="187">
        <v>18230</v>
      </c>
      <c r="I554" s="199"/>
      <c r="J554" s="186"/>
      <c r="K554" s="240"/>
      <c r="L554" s="558"/>
      <c r="M554" s="181"/>
      <c r="N554" s="237"/>
      <c r="O554" s="237"/>
      <c r="P554" s="237"/>
      <c r="Q554" s="190"/>
      <c r="R554" s="215"/>
      <c r="S554" s="216"/>
      <c r="T554" s="217"/>
      <c r="U554" s="544"/>
      <c r="V554" s="560"/>
      <c r="W554" s="561"/>
      <c r="X554" s="561"/>
      <c r="Y554" s="562"/>
      <c r="Z554" s="198"/>
      <c r="AA554" s="200">
        <v>18050187</v>
      </c>
      <c r="AB554" s="201">
        <v>213395</v>
      </c>
      <c r="AC554" s="238">
        <f t="shared" si="89"/>
        <v>14937.65</v>
      </c>
      <c r="AD554" s="238">
        <f t="shared" si="90"/>
        <v>228332.65</v>
      </c>
      <c r="AE554" s="203">
        <v>43251</v>
      </c>
      <c r="AF554" s="199" t="s">
        <v>869</v>
      </c>
      <c r="AG554" s="199"/>
      <c r="AH554" s="199"/>
      <c r="AI554" s="180" t="s">
        <v>975</v>
      </c>
      <c r="AJ554" s="204"/>
      <c r="AK554" s="205"/>
      <c r="AL554" s="206"/>
      <c r="AM554" s="206"/>
      <c r="AN554" s="207"/>
      <c r="AO554" s="208"/>
      <c r="AP554" s="204"/>
      <c r="AQ554" s="200"/>
      <c r="AR554" s="207"/>
      <c r="AS554" s="207"/>
      <c r="AT554" s="207"/>
      <c r="AU554" s="209"/>
      <c r="AV554" s="365"/>
      <c r="AW554" s="365"/>
      <c r="AX554" s="204"/>
      <c r="AY554" s="204"/>
      <c r="AZ554" s="365"/>
      <c r="BA554" s="210"/>
      <c r="BB554" s="365"/>
      <c r="BC554" s="365"/>
      <c r="BD554" s="204"/>
      <c r="BE554" s="204"/>
      <c r="BF554" s="365"/>
      <c r="BG554" s="210"/>
      <c r="BH554" s="365"/>
      <c r="BI554" s="365"/>
      <c r="BJ554" s="204"/>
      <c r="BK554" s="204"/>
      <c r="BL554" s="365"/>
      <c r="BM554" s="365"/>
      <c r="BN554" s="365"/>
      <c r="BO554" s="365"/>
      <c r="BP554" s="204"/>
      <c r="BQ554" s="204"/>
      <c r="BR554" s="365"/>
      <c r="BS554" s="365"/>
      <c r="BT554" s="365"/>
      <c r="BU554" s="365"/>
      <c r="BV554" s="204"/>
      <c r="BW554" s="204"/>
      <c r="BX554" s="365"/>
      <c r="BY554" s="365"/>
      <c r="BZ554" s="365"/>
      <c r="CA554" s="365"/>
      <c r="CB554" s="204"/>
      <c r="CC554" s="204"/>
      <c r="CD554" s="365"/>
      <c r="CE554" s="365"/>
    </row>
    <row r="555" spans="1:83" x14ac:dyDescent="0.5">
      <c r="A555" s="21">
        <v>18055805</v>
      </c>
      <c r="B555" s="22">
        <v>18050455</v>
      </c>
      <c r="C555" s="55"/>
      <c r="D555" s="56"/>
      <c r="E555" s="57"/>
      <c r="F555" s="58"/>
      <c r="G555" s="59"/>
      <c r="H555" s="60"/>
      <c r="I555" s="269" t="s">
        <v>869</v>
      </c>
      <c r="J555" s="59"/>
      <c r="K555" s="42" t="s">
        <v>97</v>
      </c>
      <c r="L555" s="520" t="s">
        <v>310</v>
      </c>
      <c r="M555" s="22" t="s">
        <v>51</v>
      </c>
      <c r="N555" s="63">
        <v>2000</v>
      </c>
      <c r="O555" s="63">
        <v>140</v>
      </c>
      <c r="P555" s="63">
        <f t="shared" si="86"/>
        <v>2140</v>
      </c>
      <c r="AJ555" s="44">
        <v>1</v>
      </c>
      <c r="AK555" s="45" t="s">
        <v>699</v>
      </c>
      <c r="AN555" s="47">
        <v>4</v>
      </c>
      <c r="AO555" s="48" t="s">
        <v>628</v>
      </c>
      <c r="AP555" s="356"/>
      <c r="AQ555" s="356"/>
      <c r="AR555" s="44"/>
      <c r="AS555" s="44"/>
      <c r="AT555" s="356"/>
      <c r="AU555" s="54"/>
      <c r="AV555" s="356"/>
      <c r="AW555" s="356"/>
      <c r="AX555" s="44"/>
      <c r="AY555" s="44"/>
      <c r="AZ555" s="356"/>
      <c r="BA555" s="54"/>
      <c r="BB555" s="356"/>
      <c r="BC555" s="356"/>
      <c r="BD555" s="44"/>
      <c r="BE555" s="44"/>
      <c r="BF555" s="356"/>
      <c r="BG555" s="54"/>
      <c r="BH555" s="356"/>
      <c r="BI555" s="356"/>
      <c r="BJ555" s="44"/>
      <c r="BK555" s="44"/>
      <c r="BL555" s="356"/>
      <c r="BM555" s="356"/>
      <c r="BN555" s="356"/>
      <c r="BO555" s="356"/>
      <c r="BP555" s="44"/>
      <c r="BQ555" s="44"/>
      <c r="BR555" s="356"/>
      <c r="BS555" s="356"/>
      <c r="BT555" s="356"/>
      <c r="BU555" s="356"/>
      <c r="BV555" s="44"/>
      <c r="BW555" s="44"/>
      <c r="BX555" s="356"/>
      <c r="BY555" s="356"/>
      <c r="BZ555" s="356"/>
      <c r="CA555" s="356"/>
      <c r="CB555" s="44"/>
      <c r="CC555" s="44"/>
      <c r="CD555" s="356"/>
      <c r="CE555" s="356"/>
    </row>
    <row r="556" spans="1:83" x14ac:dyDescent="0.5">
      <c r="A556" s="227">
        <v>18055804</v>
      </c>
      <c r="B556" s="22">
        <v>18050454</v>
      </c>
      <c r="C556" s="23">
        <v>104</v>
      </c>
      <c r="D556" s="24" t="s">
        <v>184</v>
      </c>
      <c r="E556" s="25" t="s">
        <v>185</v>
      </c>
      <c r="F556" s="26">
        <v>130</v>
      </c>
      <c r="G556" s="62">
        <v>43258</v>
      </c>
      <c r="H556" s="27">
        <v>18188</v>
      </c>
      <c r="I556" s="39" t="s">
        <v>869</v>
      </c>
      <c r="J556" s="62">
        <v>43259</v>
      </c>
      <c r="K556" s="42" t="s">
        <v>20</v>
      </c>
      <c r="L556" s="520" t="s">
        <v>311</v>
      </c>
      <c r="M556" s="22" t="s">
        <v>51</v>
      </c>
      <c r="N556" s="63">
        <v>227200</v>
      </c>
      <c r="O556" s="63">
        <v>15904</v>
      </c>
      <c r="P556" s="63">
        <f t="shared" si="86"/>
        <v>243104</v>
      </c>
      <c r="AA556" s="40">
        <v>18060206</v>
      </c>
      <c r="AB556" s="41">
        <v>227200</v>
      </c>
      <c r="AC556" s="64">
        <f>AB556*7/100</f>
        <v>15904</v>
      </c>
      <c r="AD556" s="64">
        <f>AB556+AC556</f>
        <v>243104</v>
      </c>
      <c r="AE556" s="53">
        <v>43294</v>
      </c>
      <c r="AF556" s="39" t="s">
        <v>869</v>
      </c>
      <c r="AI556" s="21" t="s">
        <v>1107</v>
      </c>
      <c r="AJ556" s="44">
        <v>1</v>
      </c>
      <c r="AK556" s="45" t="s">
        <v>805</v>
      </c>
      <c r="AL556" s="46" t="s">
        <v>1205</v>
      </c>
      <c r="AN556" s="47">
        <v>4</v>
      </c>
      <c r="AO556" s="48" t="s">
        <v>635</v>
      </c>
      <c r="AP556" s="44">
        <v>2</v>
      </c>
      <c r="AQ556" s="40" t="s">
        <v>806</v>
      </c>
      <c r="AS556" s="47" t="s">
        <v>1205</v>
      </c>
      <c r="AT556" s="47">
        <v>1</v>
      </c>
      <c r="AU556" s="49" t="s">
        <v>633</v>
      </c>
      <c r="AV556" s="44">
        <v>3</v>
      </c>
      <c r="AW556" s="40" t="s">
        <v>807</v>
      </c>
      <c r="AY556" s="47" t="s">
        <v>1205</v>
      </c>
      <c r="AZ556" s="47">
        <v>1</v>
      </c>
      <c r="BA556" s="49" t="s">
        <v>633</v>
      </c>
      <c r="BB556" s="356"/>
      <c r="BC556" s="356"/>
      <c r="BD556" s="44"/>
      <c r="BE556" s="44"/>
      <c r="BF556" s="356"/>
      <c r="BG556" s="54"/>
      <c r="BH556" s="356"/>
      <c r="BI556" s="356"/>
      <c r="BJ556" s="44"/>
      <c r="BK556" s="44"/>
      <c r="BL556" s="356"/>
      <c r="BM556" s="356"/>
      <c r="BN556" s="356"/>
      <c r="BO556" s="356"/>
      <c r="BP556" s="44"/>
      <c r="BQ556" s="44"/>
      <c r="BR556" s="356"/>
      <c r="BS556" s="356"/>
      <c r="BT556" s="356"/>
      <c r="BU556" s="356"/>
      <c r="BV556" s="44"/>
      <c r="BW556" s="44"/>
      <c r="BX556" s="356"/>
      <c r="BY556" s="356"/>
      <c r="BZ556" s="356"/>
      <c r="CA556" s="356"/>
      <c r="CB556" s="44"/>
      <c r="CC556" s="44"/>
      <c r="CD556" s="356"/>
      <c r="CE556" s="356"/>
    </row>
    <row r="557" spans="1:83" x14ac:dyDescent="0.5">
      <c r="A557" s="227">
        <v>18055803</v>
      </c>
      <c r="B557" s="22">
        <v>18050453</v>
      </c>
      <c r="C557" s="23">
        <v>103</v>
      </c>
      <c r="D557" s="24" t="s">
        <v>184</v>
      </c>
      <c r="E557" s="25" t="s">
        <v>185</v>
      </c>
      <c r="F557" s="26">
        <v>133</v>
      </c>
      <c r="G557" s="62">
        <v>43265</v>
      </c>
      <c r="H557" s="27">
        <v>18200</v>
      </c>
      <c r="I557" s="39" t="s">
        <v>869</v>
      </c>
      <c r="J557" s="62">
        <v>43265</v>
      </c>
      <c r="K557" s="42" t="s">
        <v>97</v>
      </c>
      <c r="L557" s="520" t="s">
        <v>312</v>
      </c>
      <c r="M557" s="22" t="s">
        <v>51</v>
      </c>
      <c r="N557" s="63">
        <v>366520</v>
      </c>
      <c r="O557" s="63">
        <v>25656.400000000001</v>
      </c>
      <c r="P557" s="63">
        <f t="shared" si="86"/>
        <v>392176.4</v>
      </c>
      <c r="AA557" s="40">
        <v>18060208</v>
      </c>
      <c r="AB557" s="41">
        <v>366520</v>
      </c>
      <c r="AC557" s="64">
        <f>AB557*7/100</f>
        <v>25656.400000000001</v>
      </c>
      <c r="AD557" s="64">
        <f>AB557+AC557</f>
        <v>392176.4</v>
      </c>
      <c r="AE557" s="53">
        <v>43309</v>
      </c>
      <c r="AF557" s="39" t="s">
        <v>869</v>
      </c>
      <c r="AI557" s="21" t="s">
        <v>1179</v>
      </c>
      <c r="AJ557" s="44">
        <v>1</v>
      </c>
      <c r="AK557" s="45" t="s">
        <v>808</v>
      </c>
      <c r="AM557" s="46" t="s">
        <v>1205</v>
      </c>
      <c r="AN557" s="47">
        <v>1</v>
      </c>
      <c r="AO557" s="48" t="s">
        <v>633</v>
      </c>
      <c r="AP557" s="44">
        <v>2</v>
      </c>
      <c r="AQ557" s="40" t="s">
        <v>809</v>
      </c>
      <c r="AS557" s="47" t="s">
        <v>1205</v>
      </c>
      <c r="AT557" s="47">
        <v>1</v>
      </c>
      <c r="AU557" s="49" t="s">
        <v>633</v>
      </c>
      <c r="AV557" s="356"/>
      <c r="AW557" s="356"/>
      <c r="AX557" s="44"/>
      <c r="AY557" s="44"/>
      <c r="AZ557" s="356"/>
      <c r="BA557" s="54"/>
      <c r="BB557" s="356"/>
      <c r="BC557" s="356"/>
      <c r="BD557" s="44"/>
      <c r="BE557" s="44"/>
      <c r="BF557" s="356"/>
      <c r="BG557" s="54"/>
      <c r="BH557" s="356"/>
      <c r="BI557" s="356"/>
      <c r="BJ557" s="44"/>
      <c r="BK557" s="44"/>
      <c r="BL557" s="356"/>
      <c r="BM557" s="356"/>
      <c r="BN557" s="356"/>
      <c r="BO557" s="356"/>
      <c r="BP557" s="44"/>
      <c r="BQ557" s="44"/>
      <c r="BR557" s="356"/>
      <c r="BS557" s="356"/>
      <c r="BT557" s="356"/>
      <c r="BU557" s="356"/>
      <c r="BV557" s="44"/>
      <c r="BW557" s="44"/>
      <c r="BX557" s="356"/>
      <c r="BY557" s="356"/>
      <c r="BZ557" s="356"/>
      <c r="CA557" s="356"/>
      <c r="CB557" s="44"/>
      <c r="CC557" s="44"/>
      <c r="CD557" s="356"/>
      <c r="CE557" s="356"/>
    </row>
    <row r="558" spans="1:83" s="1167" customFormat="1" x14ac:dyDescent="0.5">
      <c r="A558" s="1140">
        <v>18055802</v>
      </c>
      <c r="B558" s="1141">
        <v>18050452</v>
      </c>
      <c r="C558" s="1142">
        <v>102</v>
      </c>
      <c r="D558" s="1141" t="s">
        <v>184</v>
      </c>
      <c r="E558" s="1143"/>
      <c r="F558" s="1140"/>
      <c r="G558" s="1141"/>
      <c r="H558" s="1144"/>
      <c r="I558" s="1145"/>
      <c r="J558" s="1141"/>
      <c r="K558" s="1146" t="s">
        <v>93</v>
      </c>
      <c r="L558" s="1147" t="s">
        <v>313</v>
      </c>
      <c r="M558" s="1141" t="s">
        <v>51</v>
      </c>
      <c r="N558" s="1148">
        <v>768624</v>
      </c>
      <c r="O558" s="1148">
        <v>53803.68</v>
      </c>
      <c r="P558" s="1148">
        <f t="shared" si="86"/>
        <v>822427.68</v>
      </c>
      <c r="Q558" s="1149"/>
      <c r="R558" s="1150"/>
      <c r="S558" s="1151"/>
      <c r="T558" s="1152"/>
      <c r="U558" s="1151"/>
      <c r="V558" s="1153"/>
      <c r="W558" s="1153"/>
      <c r="X558" s="1153"/>
      <c r="Y558" s="1154"/>
      <c r="Z558" s="1155"/>
      <c r="AA558" s="1156"/>
      <c r="AB558" s="1157"/>
      <c r="AC558" s="1146"/>
      <c r="AD558" s="1146"/>
      <c r="AE558" s="1158"/>
      <c r="AF558" s="1145"/>
      <c r="AG558" s="1145"/>
      <c r="AH558" s="1145"/>
      <c r="AI558" s="1140"/>
      <c r="AJ558" s="1159">
        <v>1</v>
      </c>
      <c r="AK558" s="1160" t="s">
        <v>700</v>
      </c>
      <c r="AL558" s="1161"/>
      <c r="AM558" s="1161" t="s">
        <v>1205</v>
      </c>
      <c r="AN558" s="1162">
        <v>1</v>
      </c>
      <c r="AO558" s="1163" t="s">
        <v>633</v>
      </c>
      <c r="AP558" s="1159">
        <v>2</v>
      </c>
      <c r="AQ558" s="1156" t="s">
        <v>700</v>
      </c>
      <c r="AR558" s="1162"/>
      <c r="AS558" s="1162" t="s">
        <v>1205</v>
      </c>
      <c r="AT558" s="1162">
        <v>1</v>
      </c>
      <c r="AU558" s="1164" t="s">
        <v>633</v>
      </c>
      <c r="AV558" s="1159">
        <v>3</v>
      </c>
      <c r="AW558" s="1156" t="s">
        <v>700</v>
      </c>
      <c r="AX558" s="1162"/>
      <c r="AY558" s="1162" t="s">
        <v>1205</v>
      </c>
      <c r="AZ558" s="1162">
        <v>1</v>
      </c>
      <c r="BA558" s="1164" t="s">
        <v>633</v>
      </c>
      <c r="BB558" s="1159">
        <v>4</v>
      </c>
      <c r="BC558" s="1156" t="s">
        <v>701</v>
      </c>
      <c r="BD558" s="1162"/>
      <c r="BE558" s="1162"/>
      <c r="BF558" s="1162">
        <v>2</v>
      </c>
      <c r="BG558" s="1165"/>
      <c r="BH558" s="1166"/>
      <c r="BI558" s="1166"/>
      <c r="BJ558" s="1159"/>
      <c r="BK558" s="1159"/>
      <c r="BL558" s="1166"/>
      <c r="BM558" s="1166"/>
      <c r="BN558" s="1166"/>
      <c r="BO558" s="1166"/>
      <c r="BP558" s="1159"/>
      <c r="BQ558" s="1159"/>
      <c r="BR558" s="1166"/>
      <c r="BS558" s="1166"/>
      <c r="BT558" s="1166"/>
      <c r="BU558" s="1166"/>
      <c r="BV558" s="1159"/>
      <c r="BW558" s="1159"/>
      <c r="BX558" s="1166"/>
      <c r="BY558" s="1166"/>
      <c r="BZ558" s="1166"/>
      <c r="CA558" s="1166"/>
      <c r="CB558" s="1159"/>
      <c r="CC558" s="1159"/>
      <c r="CD558" s="1166"/>
      <c r="CE558" s="1166"/>
    </row>
    <row r="559" spans="1:83" x14ac:dyDescent="0.5">
      <c r="A559" s="227">
        <v>18055801</v>
      </c>
      <c r="B559" s="22">
        <v>18050451</v>
      </c>
      <c r="C559" s="55"/>
      <c r="D559" s="56"/>
      <c r="E559" s="57"/>
      <c r="F559" s="58"/>
      <c r="G559" s="59"/>
      <c r="H559" s="60"/>
      <c r="I559" s="269" t="s">
        <v>869</v>
      </c>
      <c r="J559" s="59"/>
      <c r="K559" s="42" t="s">
        <v>23</v>
      </c>
      <c r="L559" s="520" t="s">
        <v>314</v>
      </c>
      <c r="M559" s="22" t="s">
        <v>51</v>
      </c>
      <c r="N559" s="63">
        <v>1000</v>
      </c>
      <c r="O559" s="63">
        <v>70</v>
      </c>
      <c r="P559" s="63">
        <f t="shared" si="86"/>
        <v>1070</v>
      </c>
      <c r="X559" s="645"/>
      <c r="AA559" s="40">
        <v>18050178</v>
      </c>
      <c r="AB559" s="41">
        <v>1000</v>
      </c>
      <c r="AC559" s="64">
        <f>AB559*7/100</f>
        <v>70</v>
      </c>
      <c r="AD559" s="64">
        <f>AB559+AC559</f>
        <v>1070</v>
      </c>
      <c r="AE559" s="53">
        <v>43248</v>
      </c>
      <c r="AF559" s="39" t="s">
        <v>869</v>
      </c>
      <c r="AI559" s="21" t="s">
        <v>944</v>
      </c>
      <c r="AJ559" s="44">
        <v>1</v>
      </c>
      <c r="AK559" s="40" t="s">
        <v>597</v>
      </c>
      <c r="AN559" s="47">
        <v>2</v>
      </c>
      <c r="AO559" s="48" t="s">
        <v>628</v>
      </c>
      <c r="AP559" s="356"/>
      <c r="AQ559" s="356"/>
      <c r="AR559" s="44"/>
      <c r="AS559" s="44"/>
      <c r="AT559" s="356"/>
      <c r="AU559" s="54"/>
      <c r="AV559" s="356"/>
      <c r="AW559" s="356"/>
      <c r="AX559" s="44"/>
      <c r="AY559" s="44"/>
      <c r="AZ559" s="356"/>
      <c r="BA559" s="54"/>
      <c r="BB559" s="356"/>
      <c r="BC559" s="356"/>
      <c r="BD559" s="44"/>
      <c r="BE559" s="44"/>
      <c r="BF559" s="356"/>
      <c r="BG559" s="54"/>
      <c r="BH559" s="356"/>
      <c r="BI559" s="356"/>
      <c r="BJ559" s="44"/>
      <c r="BK559" s="44"/>
      <c r="BL559" s="356"/>
      <c r="BM559" s="356"/>
      <c r="BN559" s="356"/>
      <c r="BO559" s="356"/>
      <c r="BP559" s="44"/>
      <c r="BQ559" s="44"/>
      <c r="BR559" s="356"/>
      <c r="BS559" s="356"/>
      <c r="BT559" s="356"/>
      <c r="BU559" s="356"/>
      <c r="BV559" s="44"/>
      <c r="BW559" s="44"/>
      <c r="BX559" s="356"/>
      <c r="BY559" s="356"/>
      <c r="BZ559" s="356"/>
      <c r="CA559" s="356"/>
      <c r="CB559" s="44"/>
      <c r="CC559" s="44"/>
      <c r="CD559" s="44"/>
      <c r="CE559" s="44"/>
    </row>
    <row r="560" spans="1:83" x14ac:dyDescent="0.5">
      <c r="A560" s="259">
        <v>18055800</v>
      </c>
      <c r="B560" s="104">
        <v>18050448</v>
      </c>
      <c r="C560" s="105">
        <v>101</v>
      </c>
      <c r="D560" s="106" t="s">
        <v>184</v>
      </c>
      <c r="E560" s="107" t="s">
        <v>185</v>
      </c>
      <c r="F560" s="108">
        <v>127</v>
      </c>
      <c r="G560" s="211">
        <v>43256</v>
      </c>
      <c r="H560" s="164">
        <v>18185</v>
      </c>
      <c r="I560" s="127" t="s">
        <v>869</v>
      </c>
      <c r="J560" s="122">
        <v>43258</v>
      </c>
      <c r="K560" s="547" t="s">
        <v>60</v>
      </c>
      <c r="L560" s="548" t="s">
        <v>315</v>
      </c>
      <c r="M560" s="104" t="s">
        <v>51</v>
      </c>
      <c r="N560" s="260">
        <v>1184000</v>
      </c>
      <c r="O560" s="260">
        <v>82880</v>
      </c>
      <c r="P560" s="260">
        <f t="shared" si="86"/>
        <v>1266880</v>
      </c>
      <c r="Q560" s="311"/>
      <c r="R560" s="113"/>
      <c r="S560" s="114"/>
      <c r="T560" s="115"/>
      <c r="U560" s="550"/>
      <c r="V560" s="551"/>
      <c r="W560" s="552"/>
      <c r="X560" s="552"/>
      <c r="Y560" s="553"/>
      <c r="Z560" s="120"/>
      <c r="AA560" s="123">
        <v>18060198</v>
      </c>
      <c r="AB560" s="124">
        <v>1184000</v>
      </c>
      <c r="AC560" s="261">
        <f>AB560*7/100</f>
        <v>82880</v>
      </c>
      <c r="AD560" s="261">
        <f>AB560+AC560</f>
        <v>1266880</v>
      </c>
      <c r="AE560" s="126">
        <v>43309</v>
      </c>
      <c r="AF560" s="127" t="s">
        <v>869</v>
      </c>
      <c r="AG560" s="127"/>
      <c r="AH560" s="127"/>
      <c r="AI560" s="103" t="s">
        <v>1073</v>
      </c>
      <c r="AJ560" s="128">
        <v>1</v>
      </c>
      <c r="AK560" s="129" t="s">
        <v>761</v>
      </c>
      <c r="AL560" s="130" t="s">
        <v>1205</v>
      </c>
      <c r="AM560" s="130"/>
      <c r="AN560" s="131">
        <v>1</v>
      </c>
      <c r="AO560" s="132" t="s">
        <v>634</v>
      </c>
      <c r="AP560" s="361"/>
      <c r="AQ560" s="361"/>
      <c r="AR560" s="128"/>
      <c r="AS560" s="128"/>
      <c r="AT560" s="361"/>
      <c r="AU560" s="133"/>
      <c r="AV560" s="361"/>
      <c r="AW560" s="361"/>
      <c r="AX560" s="128"/>
      <c r="AY560" s="128"/>
      <c r="AZ560" s="361"/>
      <c r="BA560" s="133"/>
      <c r="BB560" s="361"/>
      <c r="BC560" s="361"/>
      <c r="BD560" s="128"/>
      <c r="BE560" s="128"/>
      <c r="BF560" s="361"/>
      <c r="BG560" s="133"/>
      <c r="BH560" s="361"/>
      <c r="BI560" s="361"/>
      <c r="BJ560" s="128"/>
      <c r="BK560" s="128"/>
      <c r="BL560" s="361"/>
      <c r="BM560" s="361"/>
      <c r="BN560" s="361"/>
      <c r="BO560" s="361"/>
      <c r="BP560" s="128"/>
      <c r="BQ560" s="128"/>
      <c r="BR560" s="361"/>
      <c r="BS560" s="361"/>
      <c r="BT560" s="361"/>
      <c r="BU560" s="361"/>
      <c r="BV560" s="128"/>
      <c r="BW560" s="128"/>
      <c r="BX560" s="361"/>
      <c r="BY560" s="361"/>
      <c r="BZ560" s="361"/>
      <c r="CA560" s="361"/>
      <c r="CB560" s="128"/>
      <c r="CC560" s="128"/>
      <c r="CD560" s="128"/>
      <c r="CE560" s="128"/>
    </row>
    <row r="561" spans="1:84" x14ac:dyDescent="0.5">
      <c r="A561" s="262"/>
      <c r="B561" s="135"/>
      <c r="C561" s="136"/>
      <c r="D561" s="137"/>
      <c r="E561" s="138"/>
      <c r="F561" s="139"/>
      <c r="G561" s="170">
        <v>43256</v>
      </c>
      <c r="H561" s="251">
        <v>18186</v>
      </c>
      <c r="I561" s="152"/>
      <c r="J561" s="179"/>
      <c r="K561" s="255"/>
      <c r="L561" s="300"/>
      <c r="M561" s="135"/>
      <c r="N561" s="253"/>
      <c r="O561" s="253"/>
      <c r="P561" s="253"/>
      <c r="Q561" s="143"/>
      <c r="R561" s="144"/>
      <c r="S561" s="145"/>
      <c r="T561" s="146"/>
      <c r="U561" s="529"/>
      <c r="V561" s="555"/>
      <c r="W561" s="556"/>
      <c r="X561" s="556"/>
      <c r="Y561" s="557"/>
      <c r="Z561" s="151"/>
      <c r="AA561" s="154"/>
      <c r="AB561" s="155"/>
      <c r="AC561" s="263"/>
      <c r="AD561" s="263"/>
      <c r="AE561" s="157"/>
      <c r="AF561" s="152"/>
      <c r="AG561" s="152"/>
      <c r="AH561" s="152"/>
      <c r="AI561" s="134"/>
      <c r="AJ561" s="158"/>
      <c r="AK561" s="159"/>
      <c r="AL561" s="160"/>
      <c r="AM561" s="160"/>
      <c r="AN561" s="161"/>
      <c r="AO561" s="162"/>
      <c r="AP561" s="458"/>
      <c r="AQ561" s="458"/>
      <c r="AR561" s="158"/>
      <c r="AS561" s="158"/>
      <c r="AT561" s="458"/>
      <c r="AU561" s="163"/>
      <c r="AV561" s="458"/>
      <c r="AW561" s="458"/>
      <c r="AX561" s="158"/>
      <c r="AY561" s="158"/>
      <c r="AZ561" s="458"/>
      <c r="BA561" s="163"/>
      <c r="BB561" s="458"/>
      <c r="BC561" s="458"/>
      <c r="BD561" s="158"/>
      <c r="BE561" s="158"/>
      <c r="BF561" s="458"/>
      <c r="BG561" s="163"/>
      <c r="BH561" s="458"/>
      <c r="BI561" s="458"/>
      <c r="BJ561" s="158"/>
      <c r="BK561" s="158"/>
      <c r="BL561" s="458"/>
      <c r="BM561" s="458"/>
      <c r="BN561" s="458"/>
      <c r="BO561" s="458"/>
      <c r="BP561" s="158"/>
      <c r="BQ561" s="158"/>
      <c r="BR561" s="458"/>
      <c r="BS561" s="458"/>
      <c r="BT561" s="458"/>
      <c r="BU561" s="458"/>
      <c r="BV561" s="158"/>
      <c r="BW561" s="158"/>
      <c r="BX561" s="458"/>
      <c r="BY561" s="458"/>
      <c r="BZ561" s="458"/>
      <c r="CA561" s="458"/>
      <c r="CB561" s="158"/>
      <c r="CC561" s="158"/>
      <c r="CD561" s="158"/>
      <c r="CE561" s="158"/>
    </row>
    <row r="562" spans="1:84" x14ac:dyDescent="0.5">
      <c r="A562" s="268"/>
      <c r="B562" s="181"/>
      <c r="C562" s="182"/>
      <c r="D562" s="183"/>
      <c r="E562" s="184"/>
      <c r="F562" s="185"/>
      <c r="G562" s="186">
        <v>43256</v>
      </c>
      <c r="H562" s="187">
        <v>18187</v>
      </c>
      <c r="I562" s="199"/>
      <c r="J562" s="186"/>
      <c r="K562" s="240"/>
      <c r="L562" s="558"/>
      <c r="M562" s="181"/>
      <c r="N562" s="237"/>
      <c r="O562" s="237"/>
      <c r="P562" s="237"/>
      <c r="Q562" s="190"/>
      <c r="R562" s="215"/>
      <c r="S562" s="216"/>
      <c r="T562" s="217"/>
      <c r="U562" s="544"/>
      <c r="V562" s="560"/>
      <c r="W562" s="561"/>
      <c r="X562" s="561"/>
      <c r="Y562" s="562"/>
      <c r="Z562" s="198"/>
      <c r="AA562" s="200"/>
      <c r="AB562" s="201"/>
      <c r="AC562" s="238"/>
      <c r="AD562" s="238"/>
      <c r="AE562" s="203"/>
      <c r="AF562" s="199"/>
      <c r="AG562" s="199"/>
      <c r="AH562" s="199"/>
      <c r="AI562" s="180"/>
      <c r="AJ562" s="204"/>
      <c r="AK562" s="205"/>
      <c r="AL562" s="206"/>
      <c r="AM562" s="206"/>
      <c r="AN562" s="207"/>
      <c r="AO562" s="208"/>
      <c r="AP562" s="365"/>
      <c r="AQ562" s="365"/>
      <c r="AR562" s="204"/>
      <c r="AS562" s="204"/>
      <c r="AT562" s="365"/>
      <c r="AU562" s="210"/>
      <c r="AV562" s="365"/>
      <c r="AW562" s="365"/>
      <c r="AX562" s="204"/>
      <c r="AY562" s="204"/>
      <c r="AZ562" s="365"/>
      <c r="BA562" s="210"/>
      <c r="BB562" s="365"/>
      <c r="BC562" s="365"/>
      <c r="BD562" s="204"/>
      <c r="BE562" s="204"/>
      <c r="BF562" s="365"/>
      <c r="BG562" s="210"/>
      <c r="BH562" s="365"/>
      <c r="BI562" s="365"/>
      <c r="BJ562" s="204"/>
      <c r="BK562" s="204"/>
      <c r="BL562" s="365"/>
      <c r="BM562" s="365"/>
      <c r="BN562" s="365"/>
      <c r="BO562" s="365"/>
      <c r="BP562" s="204"/>
      <c r="BQ562" s="204"/>
      <c r="BR562" s="365"/>
      <c r="BS562" s="365"/>
      <c r="BT562" s="365"/>
      <c r="BU562" s="365"/>
      <c r="BV562" s="204"/>
      <c r="BW562" s="204"/>
      <c r="BX562" s="365"/>
      <c r="BY562" s="365"/>
      <c r="BZ562" s="365"/>
      <c r="CA562" s="365"/>
      <c r="CB562" s="204"/>
      <c r="CC562" s="204"/>
      <c r="CD562" s="204"/>
      <c r="CE562" s="204"/>
    </row>
    <row r="563" spans="1:84" s="95" customFormat="1" x14ac:dyDescent="0.5">
      <c r="A563" s="65">
        <v>18055799</v>
      </c>
      <c r="B563" s="66">
        <v>18050427</v>
      </c>
      <c r="C563" s="312"/>
      <c r="D563" s="56"/>
      <c r="E563" s="314"/>
      <c r="F563" s="315"/>
      <c r="G563" s="316"/>
      <c r="H563" s="317"/>
      <c r="I563" s="835"/>
      <c r="J563" s="316"/>
      <c r="K563" s="86" t="s">
        <v>273</v>
      </c>
      <c r="L563" s="589" t="s">
        <v>40</v>
      </c>
      <c r="M563" s="66" t="s">
        <v>51</v>
      </c>
      <c r="N563" s="590">
        <v>9000</v>
      </c>
      <c r="O563" s="590">
        <v>630</v>
      </c>
      <c r="P563" s="590">
        <f t="shared" si="86"/>
        <v>9630</v>
      </c>
      <c r="Q563" s="74"/>
      <c r="R563" s="75"/>
      <c r="S563" s="76"/>
      <c r="T563" s="77"/>
      <c r="U563" s="591"/>
      <c r="V563" s="592"/>
      <c r="W563" s="593"/>
      <c r="X563" s="593"/>
      <c r="Y563" s="594"/>
      <c r="Z563" s="82"/>
      <c r="AA563" s="84"/>
      <c r="AB563" s="85"/>
      <c r="AC563" s="86"/>
      <c r="AD563" s="86"/>
      <c r="AE563" s="87"/>
      <c r="AF563" s="83"/>
      <c r="AG563" s="83"/>
      <c r="AH563" s="83"/>
      <c r="AI563" s="65"/>
      <c r="AJ563" s="88">
        <v>1</v>
      </c>
      <c r="AK563" s="84" t="s">
        <v>702</v>
      </c>
      <c r="AL563" s="90"/>
      <c r="AM563" s="90"/>
      <c r="AN563" s="91">
        <v>1</v>
      </c>
      <c r="AO563" s="92" t="s">
        <v>628</v>
      </c>
      <c r="AP563" s="356"/>
      <c r="AQ563" s="356"/>
      <c r="AR563" s="44"/>
      <c r="AS563" s="44"/>
      <c r="AT563" s="356"/>
      <c r="AU563" s="54"/>
      <c r="AV563" s="356"/>
      <c r="AW563" s="356"/>
      <c r="AX563" s="44"/>
      <c r="AY563" s="44"/>
      <c r="AZ563" s="356"/>
      <c r="BA563" s="54"/>
      <c r="BB563" s="356"/>
      <c r="BC563" s="356"/>
      <c r="BD563" s="44"/>
      <c r="BE563" s="44"/>
      <c r="BF563" s="356"/>
      <c r="BG563" s="54"/>
      <c r="BH563" s="356"/>
      <c r="BI563" s="356"/>
      <c r="BJ563" s="44"/>
      <c r="BK563" s="44"/>
      <c r="BL563" s="356"/>
      <c r="BM563" s="356"/>
      <c r="BN563" s="356"/>
      <c r="BO563" s="356"/>
      <c r="BP563" s="44"/>
      <c r="BQ563" s="44"/>
      <c r="BR563" s="356"/>
      <c r="BS563" s="356"/>
      <c r="BT563" s="356"/>
      <c r="BU563" s="356"/>
      <c r="BV563" s="44"/>
      <c r="BW563" s="44"/>
      <c r="BX563" s="356"/>
      <c r="BY563" s="356"/>
      <c r="BZ563" s="356"/>
      <c r="CA563" s="356"/>
      <c r="CB563" s="44"/>
      <c r="CC563" s="44"/>
      <c r="CD563" s="44"/>
      <c r="CE563" s="44"/>
    </row>
    <row r="564" spans="1:84" x14ac:dyDescent="0.5">
      <c r="A564" s="227">
        <v>18055798</v>
      </c>
      <c r="B564" s="22">
        <v>18050425</v>
      </c>
      <c r="C564" s="23">
        <v>100</v>
      </c>
      <c r="D564" s="24" t="s">
        <v>184</v>
      </c>
      <c r="E564" s="25" t="s">
        <v>185</v>
      </c>
      <c r="F564" s="26">
        <v>121</v>
      </c>
      <c r="G564" s="62">
        <v>43255</v>
      </c>
      <c r="H564" s="27">
        <v>18183</v>
      </c>
      <c r="I564" s="39" t="s">
        <v>869</v>
      </c>
      <c r="J564" s="62">
        <v>43291</v>
      </c>
      <c r="K564" s="42" t="s">
        <v>15</v>
      </c>
      <c r="L564" s="520" t="s">
        <v>316</v>
      </c>
      <c r="M564" s="22" t="s">
        <v>51</v>
      </c>
      <c r="N564" s="63">
        <v>120000</v>
      </c>
      <c r="O564" s="63">
        <v>8400</v>
      </c>
      <c r="P564" s="63">
        <f t="shared" si="86"/>
        <v>128400</v>
      </c>
      <c r="AA564" s="40">
        <v>18060190</v>
      </c>
      <c r="AB564" s="41">
        <v>120000</v>
      </c>
      <c r="AC564" s="64">
        <f t="shared" ref="AC564:AC578" si="91">AB564*7/100</f>
        <v>8400</v>
      </c>
      <c r="AD564" s="64">
        <f t="shared" ref="AD564:AD578" si="92">AB564+AC564</f>
        <v>128400</v>
      </c>
      <c r="AE564" s="53">
        <v>43300</v>
      </c>
      <c r="AF564" s="39" t="s">
        <v>869</v>
      </c>
      <c r="AI564" s="21" t="s">
        <v>1106</v>
      </c>
      <c r="AJ564" s="44">
        <v>1</v>
      </c>
      <c r="AK564" s="45" t="s">
        <v>771</v>
      </c>
      <c r="AM564" s="46" t="s">
        <v>1205</v>
      </c>
      <c r="AN564" s="47">
        <v>1</v>
      </c>
      <c r="AO564" s="48" t="s">
        <v>633</v>
      </c>
      <c r="AP564" s="356"/>
      <c r="AQ564" s="356"/>
      <c r="AR564" s="44"/>
      <c r="AS564" s="44"/>
      <c r="AT564" s="356"/>
      <c r="AU564" s="54"/>
      <c r="AV564" s="356"/>
      <c r="AW564" s="356"/>
      <c r="AX564" s="44"/>
      <c r="AY564" s="44"/>
      <c r="AZ564" s="356"/>
      <c r="BA564" s="54"/>
      <c r="BB564" s="356"/>
      <c r="BC564" s="356"/>
      <c r="BD564" s="44"/>
      <c r="BE564" s="44"/>
      <c r="BF564" s="356"/>
      <c r="BG564" s="54"/>
      <c r="BH564" s="356"/>
      <c r="BI564" s="356"/>
      <c r="BJ564" s="44"/>
      <c r="BK564" s="44"/>
      <c r="BL564" s="356"/>
      <c r="BM564" s="356"/>
      <c r="BN564" s="356"/>
      <c r="BO564" s="356"/>
      <c r="BP564" s="44"/>
      <c r="BQ564" s="44"/>
      <c r="BR564" s="356"/>
      <c r="BS564" s="356"/>
      <c r="BT564" s="356"/>
      <c r="BU564" s="356"/>
      <c r="BV564" s="44"/>
      <c r="BW564" s="44"/>
      <c r="BX564" s="356"/>
      <c r="BY564" s="356"/>
      <c r="BZ564" s="356"/>
      <c r="CA564" s="356"/>
      <c r="CB564" s="44"/>
      <c r="CC564" s="44"/>
      <c r="CD564" s="356"/>
      <c r="CE564" s="356"/>
    </row>
    <row r="565" spans="1:84" x14ac:dyDescent="0.5">
      <c r="A565" s="227">
        <v>18055797</v>
      </c>
      <c r="B565" s="22">
        <v>18050424</v>
      </c>
      <c r="C565" s="55"/>
      <c r="D565" s="56"/>
      <c r="E565" s="57"/>
      <c r="F565" s="58"/>
      <c r="G565" s="59"/>
      <c r="H565" s="60"/>
      <c r="I565" s="39" t="s">
        <v>869</v>
      </c>
      <c r="K565" s="42" t="s">
        <v>258</v>
      </c>
      <c r="L565" s="520" t="s">
        <v>317</v>
      </c>
      <c r="M565" s="22" t="s">
        <v>51</v>
      </c>
      <c r="N565" s="63">
        <v>5800</v>
      </c>
      <c r="O565" s="63">
        <v>406</v>
      </c>
      <c r="P565" s="63">
        <f t="shared" si="86"/>
        <v>6206</v>
      </c>
      <c r="AA565" s="40">
        <v>18050182</v>
      </c>
      <c r="AB565" s="41">
        <v>5800</v>
      </c>
      <c r="AC565" s="64">
        <f t="shared" si="91"/>
        <v>406</v>
      </c>
      <c r="AD565" s="64">
        <f t="shared" si="92"/>
        <v>6206</v>
      </c>
      <c r="AE565" s="53">
        <v>43280</v>
      </c>
      <c r="AF565" s="39" t="s">
        <v>869</v>
      </c>
      <c r="AI565" s="21" t="s">
        <v>1076</v>
      </c>
      <c r="AJ565" s="44">
        <v>1</v>
      </c>
      <c r="AK565" s="45" t="s">
        <v>703</v>
      </c>
      <c r="AN565" s="47">
        <v>1</v>
      </c>
      <c r="AO565" s="48" t="s">
        <v>628</v>
      </c>
      <c r="AP565" s="356"/>
      <c r="AQ565" s="356"/>
      <c r="AR565" s="44"/>
      <c r="AS565" s="44"/>
      <c r="AT565" s="356"/>
      <c r="AU565" s="54"/>
      <c r="AV565" s="356"/>
      <c r="AW565" s="356"/>
      <c r="AX565" s="44"/>
      <c r="AY565" s="44"/>
      <c r="AZ565" s="356"/>
      <c r="BA565" s="54"/>
      <c r="BB565" s="356"/>
      <c r="BC565" s="356"/>
      <c r="BD565" s="44"/>
      <c r="BE565" s="44"/>
      <c r="BF565" s="356"/>
      <c r="BG565" s="54"/>
      <c r="BH565" s="356"/>
      <c r="BI565" s="356"/>
      <c r="BJ565" s="44"/>
      <c r="BK565" s="44"/>
      <c r="BL565" s="356"/>
      <c r="BM565" s="356"/>
      <c r="BN565" s="356"/>
      <c r="BO565" s="356"/>
      <c r="BP565" s="44"/>
      <c r="BQ565" s="44"/>
      <c r="BR565" s="356"/>
      <c r="BS565" s="356"/>
      <c r="BT565" s="356"/>
      <c r="BU565" s="356"/>
      <c r="BV565" s="44"/>
      <c r="BW565" s="44"/>
      <c r="BX565" s="356"/>
      <c r="BY565" s="356"/>
      <c r="BZ565" s="356"/>
      <c r="CA565" s="356"/>
      <c r="CB565" s="44"/>
      <c r="CC565" s="44"/>
      <c r="CD565" s="356"/>
      <c r="CE565" s="356"/>
    </row>
    <row r="566" spans="1:84" x14ac:dyDescent="0.5">
      <c r="A566" s="227">
        <v>18055796</v>
      </c>
      <c r="B566" s="22">
        <v>18050421</v>
      </c>
      <c r="C566" s="23" t="s">
        <v>1363</v>
      </c>
      <c r="D566" s="24" t="s">
        <v>184</v>
      </c>
      <c r="E566" s="25" t="s">
        <v>185</v>
      </c>
      <c r="F566" s="26">
        <v>198</v>
      </c>
      <c r="G566" s="62">
        <v>43356</v>
      </c>
      <c r="H566" s="27">
        <v>18306</v>
      </c>
      <c r="I566" s="39" t="s">
        <v>869</v>
      </c>
      <c r="J566" s="62">
        <v>43357</v>
      </c>
      <c r="K566" s="42" t="s">
        <v>23</v>
      </c>
      <c r="L566" s="520" t="s">
        <v>318</v>
      </c>
      <c r="M566" s="22" t="s">
        <v>51</v>
      </c>
      <c r="N566" s="63">
        <v>360000</v>
      </c>
      <c r="O566" s="63">
        <v>25200</v>
      </c>
      <c r="P566" s="63">
        <f t="shared" si="86"/>
        <v>385200</v>
      </c>
      <c r="AA566" s="40">
        <v>18090325</v>
      </c>
      <c r="AB566" s="41">
        <v>360000</v>
      </c>
      <c r="AC566" s="64">
        <f t="shared" si="91"/>
        <v>25200</v>
      </c>
      <c r="AD566" s="64">
        <f t="shared" si="92"/>
        <v>385200</v>
      </c>
      <c r="AE566" s="53">
        <v>43350</v>
      </c>
      <c r="AF566" s="39" t="s">
        <v>869</v>
      </c>
      <c r="AI566" s="21" t="s">
        <v>1042</v>
      </c>
      <c r="AJ566" s="44">
        <v>1</v>
      </c>
      <c r="AK566" s="45" t="s">
        <v>741</v>
      </c>
      <c r="AM566" s="46" t="s">
        <v>1205</v>
      </c>
      <c r="AN566" s="47">
        <v>2</v>
      </c>
      <c r="AO566" s="48" t="s">
        <v>635</v>
      </c>
      <c r="AP566" s="356"/>
      <c r="AQ566" s="356"/>
      <c r="AR566" s="44"/>
      <c r="AS566" s="44"/>
      <c r="AT566" s="356"/>
      <c r="AU566" s="54"/>
      <c r="AV566" s="356"/>
      <c r="AW566" s="356"/>
      <c r="AX566" s="44"/>
      <c r="AY566" s="44"/>
      <c r="AZ566" s="356"/>
      <c r="BA566" s="54"/>
      <c r="BB566" s="356"/>
      <c r="BC566" s="356"/>
      <c r="BD566" s="44"/>
      <c r="BE566" s="44"/>
      <c r="BF566" s="356"/>
      <c r="BG566" s="54"/>
      <c r="BH566" s="356"/>
      <c r="BI566" s="356"/>
      <c r="BJ566" s="44"/>
      <c r="BK566" s="44"/>
      <c r="BL566" s="356"/>
      <c r="BM566" s="356"/>
      <c r="BN566" s="356"/>
      <c r="BO566" s="356"/>
      <c r="BP566" s="44"/>
      <c r="BQ566" s="44"/>
      <c r="BR566" s="356"/>
      <c r="BS566" s="356"/>
      <c r="BT566" s="356"/>
      <c r="BU566" s="356"/>
      <c r="BV566" s="44"/>
      <c r="BW566" s="44"/>
      <c r="BX566" s="356"/>
      <c r="BY566" s="356"/>
      <c r="BZ566" s="356"/>
      <c r="CA566" s="356"/>
      <c r="CB566" s="44"/>
      <c r="CC566" s="44"/>
      <c r="CD566" s="356"/>
      <c r="CE566" s="356"/>
    </row>
    <row r="567" spans="1:84" x14ac:dyDescent="0.5">
      <c r="A567" s="259">
        <v>18055795</v>
      </c>
      <c r="B567" s="104">
        <v>18050413</v>
      </c>
      <c r="C567" s="105" t="s">
        <v>1364</v>
      </c>
      <c r="D567" s="106" t="s">
        <v>184</v>
      </c>
      <c r="E567" s="107" t="s">
        <v>185</v>
      </c>
      <c r="F567" s="108">
        <v>113</v>
      </c>
      <c r="G567" s="211">
        <v>43241</v>
      </c>
      <c r="H567" s="164">
        <v>18167</v>
      </c>
      <c r="I567" s="127" t="s">
        <v>869</v>
      </c>
      <c r="J567" s="122">
        <v>43242</v>
      </c>
      <c r="K567" s="547" t="s">
        <v>319</v>
      </c>
      <c r="L567" s="548" t="s">
        <v>320</v>
      </c>
      <c r="M567" s="104" t="s">
        <v>52</v>
      </c>
      <c r="N567" s="260">
        <v>81308.41</v>
      </c>
      <c r="O567" s="260">
        <v>5691.59</v>
      </c>
      <c r="P567" s="260">
        <f t="shared" si="86"/>
        <v>87000</v>
      </c>
      <c r="Q567" s="311"/>
      <c r="R567" s="113"/>
      <c r="S567" s="114"/>
      <c r="T567" s="115"/>
      <c r="U567" s="550"/>
      <c r="V567" s="551"/>
      <c r="W567" s="552"/>
      <c r="X567" s="552">
        <v>167.77</v>
      </c>
      <c r="Y567" s="553"/>
      <c r="Z567" s="120"/>
      <c r="AA567" s="123">
        <v>18060189</v>
      </c>
      <c r="AB567" s="124">
        <v>81308.41</v>
      </c>
      <c r="AC567" s="261">
        <f t="shared" si="91"/>
        <v>5691.5887000000002</v>
      </c>
      <c r="AD567" s="261">
        <f t="shared" si="92"/>
        <v>86999.998699999996</v>
      </c>
      <c r="AE567" s="126">
        <v>43285</v>
      </c>
      <c r="AF567" s="127" t="s">
        <v>869</v>
      </c>
      <c r="AG567" s="127"/>
      <c r="AH567" s="127"/>
      <c r="AI567" s="103" t="s">
        <v>1098</v>
      </c>
      <c r="AJ567" s="128">
        <v>1</v>
      </c>
      <c r="AK567" s="129" t="s">
        <v>827</v>
      </c>
      <c r="AL567" s="130"/>
      <c r="AM567" s="130" t="s">
        <v>1205</v>
      </c>
      <c r="AN567" s="131">
        <v>2</v>
      </c>
      <c r="AO567" s="132" t="s">
        <v>634</v>
      </c>
      <c r="AP567" s="361"/>
      <c r="AQ567" s="361"/>
      <c r="AR567" s="128"/>
      <c r="AS567" s="128"/>
      <c r="AT567" s="361"/>
      <c r="AU567" s="133"/>
      <c r="AV567" s="361"/>
      <c r="AW567" s="361"/>
      <c r="AX567" s="128"/>
      <c r="AY567" s="128"/>
      <c r="AZ567" s="361"/>
      <c r="BA567" s="133"/>
      <c r="BB567" s="361"/>
      <c r="BC567" s="361"/>
      <c r="BD567" s="128"/>
      <c r="BE567" s="128"/>
      <c r="BF567" s="361"/>
      <c r="BG567" s="133"/>
      <c r="BH567" s="361"/>
      <c r="BI567" s="361"/>
      <c r="BJ567" s="128"/>
      <c r="BK567" s="128"/>
      <c r="BL567" s="361"/>
      <c r="BM567" s="361"/>
      <c r="BN567" s="361"/>
      <c r="BO567" s="361"/>
      <c r="BP567" s="128"/>
      <c r="BQ567" s="128"/>
      <c r="BR567" s="361"/>
      <c r="BS567" s="361"/>
      <c r="BT567" s="361"/>
      <c r="BU567" s="361"/>
      <c r="BV567" s="128"/>
      <c r="BW567" s="128"/>
      <c r="BX567" s="361"/>
      <c r="BY567" s="361"/>
      <c r="BZ567" s="361"/>
      <c r="CA567" s="361"/>
      <c r="CB567" s="128"/>
      <c r="CC567" s="128"/>
      <c r="CD567" s="361"/>
      <c r="CE567" s="361"/>
    </row>
    <row r="568" spans="1:84" x14ac:dyDescent="0.5">
      <c r="A568" s="262"/>
      <c r="B568" s="135"/>
      <c r="C568" s="136"/>
      <c r="D568" s="137"/>
      <c r="E568" s="138"/>
      <c r="F568" s="185"/>
      <c r="G568" s="179">
        <v>43241</v>
      </c>
      <c r="H568" s="140">
        <v>18168</v>
      </c>
      <c r="I568" s="152"/>
      <c r="J568" s="179"/>
      <c r="K568" s="255"/>
      <c r="L568" s="300"/>
      <c r="M568" s="135"/>
      <c r="N568" s="253"/>
      <c r="O568" s="253"/>
      <c r="P568" s="253"/>
      <c r="Q568" s="143"/>
      <c r="R568" s="144"/>
      <c r="S568" s="145"/>
      <c r="T568" s="146"/>
      <c r="U568" s="529"/>
      <c r="V568" s="555"/>
      <c r="W568" s="556"/>
      <c r="X568" s="556"/>
      <c r="Y568" s="557"/>
      <c r="Z568" s="151"/>
      <c r="AA568" s="154"/>
      <c r="AB568" s="155"/>
      <c r="AC568" s="263"/>
      <c r="AD568" s="263"/>
      <c r="AE568" s="157"/>
      <c r="AF568" s="152"/>
      <c r="AG568" s="152"/>
      <c r="AH568" s="152"/>
      <c r="AI568" s="134"/>
      <c r="AJ568" s="158"/>
      <c r="AK568" s="159"/>
      <c r="AL568" s="160"/>
      <c r="AM568" s="160"/>
      <c r="AN568" s="161"/>
      <c r="AO568" s="162"/>
      <c r="AP568" s="458"/>
      <c r="AQ568" s="458"/>
      <c r="AR568" s="158"/>
      <c r="AS568" s="158"/>
      <c r="AT568" s="458"/>
      <c r="AU568" s="163"/>
      <c r="AV568" s="458"/>
      <c r="AW568" s="458"/>
      <c r="AX568" s="158"/>
      <c r="AY568" s="158"/>
      <c r="AZ568" s="458"/>
      <c r="BA568" s="163"/>
      <c r="BB568" s="458"/>
      <c r="BC568" s="458"/>
      <c r="BD568" s="158"/>
      <c r="BE568" s="158"/>
      <c r="BF568" s="458"/>
      <c r="BG568" s="163"/>
      <c r="BH568" s="458"/>
      <c r="BI568" s="458"/>
      <c r="BJ568" s="158"/>
      <c r="BK568" s="158"/>
      <c r="BL568" s="458"/>
      <c r="BM568" s="458"/>
      <c r="BN568" s="458"/>
      <c r="BO568" s="458"/>
      <c r="BP568" s="158"/>
      <c r="BQ568" s="158"/>
      <c r="BR568" s="458"/>
      <c r="BS568" s="458"/>
      <c r="BT568" s="458"/>
      <c r="BU568" s="458"/>
      <c r="BV568" s="158"/>
      <c r="BW568" s="158"/>
      <c r="BX568" s="458"/>
      <c r="BY568" s="458"/>
      <c r="BZ568" s="458"/>
      <c r="CA568" s="458"/>
      <c r="CB568" s="158"/>
      <c r="CC568" s="158"/>
      <c r="CD568" s="458"/>
      <c r="CE568" s="458"/>
      <c r="CF568" s="300"/>
    </row>
    <row r="569" spans="1:84" x14ac:dyDescent="0.5">
      <c r="A569" s="259">
        <v>18055794</v>
      </c>
      <c r="B569" s="104">
        <v>18050400</v>
      </c>
      <c r="C569" s="105" t="s">
        <v>1365</v>
      </c>
      <c r="D569" s="106" t="s">
        <v>184</v>
      </c>
      <c r="E569" s="107" t="s">
        <v>185</v>
      </c>
      <c r="F569" s="108">
        <v>145</v>
      </c>
      <c r="G569" s="122">
        <v>43278</v>
      </c>
      <c r="H569" s="109">
        <v>18209</v>
      </c>
      <c r="I569" s="127" t="s">
        <v>869</v>
      </c>
      <c r="J569" s="122">
        <v>43278</v>
      </c>
      <c r="K569" s="547" t="s">
        <v>321</v>
      </c>
      <c r="L569" s="548" t="s">
        <v>322</v>
      </c>
      <c r="M569" s="104" t="s">
        <v>50</v>
      </c>
      <c r="N569" s="260">
        <v>400000</v>
      </c>
      <c r="O569" s="260">
        <v>28000</v>
      </c>
      <c r="P569" s="260">
        <f t="shared" si="86"/>
        <v>428000</v>
      </c>
      <c r="Q569" s="212"/>
      <c r="R569" s="165"/>
      <c r="S569" s="166"/>
      <c r="T569" s="167"/>
      <c r="U569" s="568"/>
      <c r="V569" s="551">
        <f>N569</f>
        <v>400000</v>
      </c>
      <c r="W569" s="552">
        <v>0.94</v>
      </c>
      <c r="X569" s="552">
        <f>V569*W569/100</f>
        <v>3760</v>
      </c>
      <c r="Y569" s="553">
        <v>0.2</v>
      </c>
      <c r="Z569" s="120">
        <f>V569*Y569/100</f>
        <v>800</v>
      </c>
      <c r="AA569" s="229">
        <v>18050170</v>
      </c>
      <c r="AB569" s="230">
        <v>120000</v>
      </c>
      <c r="AC569" s="234">
        <f t="shared" si="91"/>
        <v>8400</v>
      </c>
      <c r="AD569" s="234">
        <f t="shared" si="92"/>
        <v>128400</v>
      </c>
      <c r="AE569" s="221">
        <v>43235</v>
      </c>
      <c r="AF569" s="121" t="s">
        <v>869</v>
      </c>
      <c r="AG569" s="121"/>
      <c r="AH569" s="121"/>
      <c r="AI569" s="222" t="s">
        <v>980</v>
      </c>
      <c r="AJ569" s="128">
        <v>1</v>
      </c>
      <c r="AK569" s="129" t="s">
        <v>818</v>
      </c>
      <c r="AL569" s="130"/>
      <c r="AM569" s="130"/>
      <c r="AN569" s="131">
        <v>1</v>
      </c>
      <c r="AO569" s="132" t="s">
        <v>634</v>
      </c>
      <c r="AP569" s="361"/>
      <c r="AQ569" s="361"/>
      <c r="AR569" s="128"/>
      <c r="AS569" s="128"/>
      <c r="AT569" s="361"/>
      <c r="AU569" s="133"/>
      <c r="AV569" s="361"/>
      <c r="AW569" s="361"/>
      <c r="AX569" s="128"/>
      <c r="AY569" s="128"/>
      <c r="AZ569" s="361"/>
      <c r="BA569" s="133"/>
      <c r="BB569" s="361"/>
      <c r="BC569" s="361"/>
      <c r="BD569" s="128"/>
      <c r="BE569" s="128"/>
      <c r="BF569" s="361"/>
      <c r="BG569" s="133"/>
      <c r="BH569" s="361"/>
      <c r="BI569" s="361"/>
      <c r="BJ569" s="128"/>
      <c r="BK569" s="128"/>
      <c r="BL569" s="361"/>
      <c r="BM569" s="361"/>
      <c r="BN569" s="361"/>
      <c r="BO569" s="361"/>
      <c r="BP569" s="128"/>
      <c r="BQ569" s="128"/>
      <c r="BR569" s="361"/>
      <c r="BS569" s="361"/>
      <c r="BT569" s="361"/>
      <c r="BU569" s="361"/>
      <c r="BV569" s="128"/>
      <c r="BW569" s="128"/>
      <c r="BX569" s="361"/>
      <c r="BY569" s="361"/>
      <c r="BZ569" s="361"/>
      <c r="CA569" s="361"/>
      <c r="CB569" s="128"/>
      <c r="CC569" s="128"/>
      <c r="CD569" s="361"/>
      <c r="CE569" s="361"/>
    </row>
    <row r="570" spans="1:84" x14ac:dyDescent="0.5">
      <c r="A570" s="262"/>
      <c r="B570" s="135"/>
      <c r="C570" s="136"/>
      <c r="D570" s="137"/>
      <c r="E570" s="138"/>
      <c r="F570" s="139"/>
      <c r="G570" s="135"/>
      <c r="H570" s="140"/>
      <c r="I570" s="152"/>
      <c r="J570" s="179"/>
      <c r="K570" s="255"/>
      <c r="L570" s="300"/>
      <c r="M570" s="135"/>
      <c r="N570" s="253"/>
      <c r="O570" s="253"/>
      <c r="P570" s="253"/>
      <c r="Q570" s="213"/>
      <c r="R570" s="172"/>
      <c r="S570" s="173"/>
      <c r="T570" s="174"/>
      <c r="U570" s="570"/>
      <c r="V570" s="555"/>
      <c r="W570" s="556"/>
      <c r="X570" s="556"/>
      <c r="Y570" s="557"/>
      <c r="Z570" s="151"/>
      <c r="AA570" s="292">
        <v>18060237</v>
      </c>
      <c r="AB570" s="293">
        <v>240000</v>
      </c>
      <c r="AC570" s="532">
        <f t="shared" si="91"/>
        <v>16800</v>
      </c>
      <c r="AD570" s="532">
        <f t="shared" si="92"/>
        <v>256800</v>
      </c>
      <c r="AE570" s="295">
        <v>43278</v>
      </c>
      <c r="AF570" s="296" t="s">
        <v>869</v>
      </c>
      <c r="AG570" s="296"/>
      <c r="AH570" s="296"/>
      <c r="AI570" s="308" t="s">
        <v>1081</v>
      </c>
      <c r="AJ570" s="158"/>
      <c r="AK570" s="159"/>
      <c r="AL570" s="160"/>
      <c r="AM570" s="160"/>
      <c r="AN570" s="161"/>
      <c r="AO570" s="162"/>
      <c r="AP570" s="458"/>
      <c r="AQ570" s="458"/>
      <c r="AR570" s="158"/>
      <c r="AS570" s="158"/>
      <c r="AT570" s="458"/>
      <c r="AU570" s="163"/>
      <c r="AV570" s="458"/>
      <c r="AW570" s="458"/>
      <c r="AX570" s="158"/>
      <c r="AY570" s="158"/>
      <c r="AZ570" s="458"/>
      <c r="BA570" s="163"/>
      <c r="BB570" s="458"/>
      <c r="BC570" s="458"/>
      <c r="BD570" s="158"/>
      <c r="BE570" s="158"/>
      <c r="BF570" s="458"/>
      <c r="BG570" s="163"/>
      <c r="BH570" s="458"/>
      <c r="BI570" s="458"/>
      <c r="BJ570" s="158"/>
      <c r="BK570" s="158"/>
      <c r="BL570" s="458"/>
      <c r="BM570" s="458"/>
      <c r="BN570" s="458"/>
      <c r="BO570" s="458"/>
      <c r="BP570" s="158"/>
      <c r="BQ570" s="158"/>
      <c r="BR570" s="458"/>
      <c r="BS570" s="458"/>
      <c r="BT570" s="458"/>
      <c r="BU570" s="458"/>
      <c r="BV570" s="158"/>
      <c r="BW570" s="158"/>
      <c r="BX570" s="458"/>
      <c r="BY570" s="458"/>
      <c r="BZ570" s="458"/>
      <c r="CA570" s="458"/>
      <c r="CB570" s="158"/>
      <c r="CC570" s="158"/>
      <c r="CD570" s="458"/>
      <c r="CE570" s="458"/>
    </row>
    <row r="571" spans="1:84" x14ac:dyDescent="0.5">
      <c r="A571" s="268"/>
      <c r="B571" s="181"/>
      <c r="C571" s="182"/>
      <c r="D571" s="183"/>
      <c r="E571" s="184"/>
      <c r="F571" s="185"/>
      <c r="G571" s="181"/>
      <c r="H571" s="187"/>
      <c r="I571" s="199"/>
      <c r="J571" s="186"/>
      <c r="K571" s="240"/>
      <c r="L571" s="558"/>
      <c r="M571" s="181"/>
      <c r="N571" s="237"/>
      <c r="O571" s="237"/>
      <c r="P571" s="237"/>
      <c r="Q571" s="214"/>
      <c r="R571" s="191"/>
      <c r="S571" s="192"/>
      <c r="T571" s="193"/>
      <c r="U571" s="571"/>
      <c r="V571" s="560"/>
      <c r="W571" s="561"/>
      <c r="X571" s="561"/>
      <c r="Y571" s="562"/>
      <c r="Z571" s="198"/>
      <c r="AA571" s="200" t="s">
        <v>1177</v>
      </c>
      <c r="AB571" s="201">
        <v>40000</v>
      </c>
      <c r="AC571" s="238">
        <f t="shared" si="91"/>
        <v>2800</v>
      </c>
      <c r="AD571" s="238">
        <f t="shared" si="92"/>
        <v>42800</v>
      </c>
      <c r="AE571" s="203">
        <v>43418</v>
      </c>
      <c r="AF571" s="199" t="s">
        <v>869</v>
      </c>
      <c r="AG571" s="199"/>
      <c r="AH571" s="199"/>
      <c r="AI571" s="180" t="s">
        <v>1273</v>
      </c>
      <c r="AJ571" s="204"/>
      <c r="AK571" s="205"/>
      <c r="AL571" s="206"/>
      <c r="AM571" s="206"/>
      <c r="AN571" s="207"/>
      <c r="AO571" s="208"/>
      <c r="AP571" s="365"/>
      <c r="AQ571" s="365"/>
      <c r="AR571" s="204"/>
      <c r="AS571" s="204"/>
      <c r="AT571" s="365"/>
      <c r="AU571" s="210"/>
      <c r="AV571" s="365"/>
      <c r="AW571" s="365"/>
      <c r="AX571" s="204"/>
      <c r="AY571" s="204"/>
      <c r="AZ571" s="365"/>
      <c r="BA571" s="210"/>
      <c r="BB571" s="365"/>
      <c r="BC571" s="365"/>
      <c r="BD571" s="204"/>
      <c r="BE571" s="204"/>
      <c r="BF571" s="365"/>
      <c r="BG571" s="210"/>
      <c r="BH571" s="365"/>
      <c r="BI571" s="365"/>
      <c r="BJ571" s="204"/>
      <c r="BK571" s="204"/>
      <c r="BL571" s="365"/>
      <c r="BM571" s="365"/>
      <c r="BN571" s="365"/>
      <c r="BO571" s="365"/>
      <c r="BP571" s="204"/>
      <c r="BQ571" s="204"/>
      <c r="BR571" s="365"/>
      <c r="BS571" s="365"/>
      <c r="BT571" s="365"/>
      <c r="BU571" s="365"/>
      <c r="BV571" s="204"/>
      <c r="BW571" s="204"/>
      <c r="BX571" s="365"/>
      <c r="BY571" s="365"/>
      <c r="BZ571" s="365"/>
      <c r="CA571" s="365"/>
      <c r="CB571" s="204"/>
      <c r="CC571" s="204"/>
      <c r="CD571" s="365"/>
      <c r="CE571" s="365"/>
    </row>
    <row r="572" spans="1:84" x14ac:dyDescent="0.5">
      <c r="A572" s="227">
        <v>18055793</v>
      </c>
      <c r="B572" s="22">
        <v>18050398</v>
      </c>
      <c r="C572" s="23" t="s">
        <v>1366</v>
      </c>
      <c r="D572" s="24" t="s">
        <v>184</v>
      </c>
      <c r="E572" s="25" t="s">
        <v>185</v>
      </c>
      <c r="F572" s="26">
        <v>112</v>
      </c>
      <c r="G572" s="62">
        <v>43231</v>
      </c>
      <c r="H572" s="27">
        <v>18161</v>
      </c>
      <c r="I572" s="39" t="s">
        <v>869</v>
      </c>
      <c r="J572" s="62">
        <v>43231</v>
      </c>
      <c r="K572" s="42" t="s">
        <v>161</v>
      </c>
      <c r="L572" s="520" t="s">
        <v>323</v>
      </c>
      <c r="M572" s="22" t="s">
        <v>50</v>
      </c>
      <c r="N572" s="63">
        <v>15750</v>
      </c>
      <c r="O572" s="63">
        <v>1102.5</v>
      </c>
      <c r="P572" s="63">
        <f t="shared" si="86"/>
        <v>16852.5</v>
      </c>
      <c r="X572" s="518">
        <v>60</v>
      </c>
      <c r="AA572" s="40">
        <v>18060188</v>
      </c>
      <c r="AB572" s="41">
        <v>15750</v>
      </c>
      <c r="AC572" s="64">
        <f t="shared" si="91"/>
        <v>1102.5</v>
      </c>
      <c r="AD572" s="64">
        <f t="shared" si="92"/>
        <v>16852.5</v>
      </c>
      <c r="AE572" s="53">
        <v>43285</v>
      </c>
      <c r="AF572" s="39" t="s">
        <v>869</v>
      </c>
      <c r="AI572" s="21" t="s">
        <v>1049</v>
      </c>
      <c r="AJ572" s="44">
        <v>1</v>
      </c>
      <c r="AK572" s="45" t="s">
        <v>712</v>
      </c>
      <c r="AL572" s="46" t="s">
        <v>1205</v>
      </c>
      <c r="AN572" s="47">
        <v>2</v>
      </c>
      <c r="AO572" s="48" t="s">
        <v>636</v>
      </c>
      <c r="AP572" s="356"/>
      <c r="AQ572" s="356"/>
      <c r="AR572" s="44"/>
      <c r="AS572" s="44"/>
      <c r="AT572" s="356"/>
      <c r="AU572" s="54"/>
      <c r="AV572" s="356"/>
      <c r="AW572" s="356"/>
      <c r="AX572" s="44"/>
      <c r="AY572" s="44"/>
      <c r="AZ572" s="356"/>
      <c r="BA572" s="54"/>
      <c r="BB572" s="356"/>
      <c r="BC572" s="356"/>
      <c r="BD572" s="44"/>
      <c r="BE572" s="44"/>
      <c r="BF572" s="356"/>
      <c r="BG572" s="54"/>
      <c r="BH572" s="356"/>
      <c r="BI572" s="356"/>
      <c r="BJ572" s="44"/>
      <c r="BK572" s="44"/>
      <c r="BL572" s="356"/>
      <c r="BM572" s="356"/>
      <c r="BN572" s="356"/>
      <c r="BO572" s="356"/>
      <c r="BP572" s="44"/>
      <c r="BQ572" s="44"/>
      <c r="BR572" s="356"/>
      <c r="BS572" s="356"/>
      <c r="BT572" s="356"/>
      <c r="BU572" s="356"/>
      <c r="BV572" s="44"/>
      <c r="BW572" s="44"/>
      <c r="BX572" s="356"/>
      <c r="BY572" s="356"/>
      <c r="BZ572" s="356"/>
      <c r="CA572" s="356"/>
      <c r="CB572" s="44"/>
      <c r="CC572" s="44"/>
      <c r="CD572" s="356"/>
      <c r="CE572" s="356"/>
    </row>
    <row r="573" spans="1:84" x14ac:dyDescent="0.5">
      <c r="A573" s="227">
        <v>18055792</v>
      </c>
      <c r="B573" s="22">
        <v>18040385</v>
      </c>
      <c r="C573" s="55"/>
      <c r="D573" s="56"/>
      <c r="E573" s="57"/>
      <c r="F573" s="58"/>
      <c r="G573" s="59"/>
      <c r="H573" s="60"/>
      <c r="I573" s="269" t="s">
        <v>869</v>
      </c>
      <c r="J573" s="59"/>
      <c r="K573" s="42" t="s">
        <v>324</v>
      </c>
      <c r="L573" s="520" t="s">
        <v>325</v>
      </c>
      <c r="M573" s="22" t="s">
        <v>52</v>
      </c>
      <c r="N573" s="63">
        <v>1200</v>
      </c>
      <c r="O573" s="63">
        <v>84</v>
      </c>
      <c r="P573" s="63">
        <f t="shared" si="86"/>
        <v>1284</v>
      </c>
      <c r="X573" s="518">
        <v>12</v>
      </c>
      <c r="AA573" s="40">
        <v>18050163</v>
      </c>
      <c r="AB573" s="41">
        <v>1200</v>
      </c>
      <c r="AC573" s="64">
        <f t="shared" si="91"/>
        <v>84</v>
      </c>
      <c r="AD573" s="64">
        <f t="shared" si="92"/>
        <v>1284</v>
      </c>
      <c r="AE573" s="53">
        <v>43228</v>
      </c>
      <c r="AF573" s="39" t="s">
        <v>869</v>
      </c>
      <c r="AI573" s="21" t="s">
        <v>983</v>
      </c>
      <c r="AJ573" s="44">
        <v>1</v>
      </c>
      <c r="AK573" s="45" t="s">
        <v>548</v>
      </c>
      <c r="AN573" s="47">
        <v>1</v>
      </c>
      <c r="AO573" s="48" t="s">
        <v>628</v>
      </c>
      <c r="AP573" s="356"/>
      <c r="AQ573" s="356"/>
      <c r="AR573" s="44"/>
      <c r="AS573" s="44"/>
      <c r="AT573" s="356"/>
      <c r="AU573" s="54"/>
      <c r="AV573" s="356"/>
      <c r="AW573" s="356"/>
      <c r="AX573" s="44"/>
      <c r="AY573" s="44"/>
      <c r="AZ573" s="356"/>
      <c r="BA573" s="54"/>
      <c r="BB573" s="356"/>
      <c r="BC573" s="356"/>
      <c r="BD573" s="44"/>
      <c r="BE573" s="44"/>
      <c r="BF573" s="356"/>
      <c r="BG573" s="54"/>
      <c r="BH573" s="356"/>
      <c r="BI573" s="356"/>
      <c r="BJ573" s="44"/>
      <c r="BK573" s="44"/>
      <c r="BL573" s="356"/>
      <c r="BM573" s="356"/>
      <c r="BN573" s="356"/>
      <c r="BO573" s="356"/>
      <c r="BP573" s="44"/>
      <c r="BQ573" s="44"/>
      <c r="BR573" s="356"/>
      <c r="BS573" s="356"/>
      <c r="BT573" s="356"/>
      <c r="BU573" s="356"/>
      <c r="BV573" s="44"/>
      <c r="BW573" s="44"/>
      <c r="BX573" s="356"/>
      <c r="BY573" s="356"/>
      <c r="BZ573" s="356"/>
      <c r="CA573" s="356"/>
      <c r="CB573" s="44"/>
      <c r="CC573" s="44"/>
      <c r="CD573" s="356"/>
      <c r="CE573" s="356"/>
    </row>
    <row r="574" spans="1:84" x14ac:dyDescent="0.5">
      <c r="A574" s="259">
        <v>18045791</v>
      </c>
      <c r="B574" s="104">
        <v>18040369</v>
      </c>
      <c r="C574" s="105" t="s">
        <v>1367</v>
      </c>
      <c r="D574" s="106" t="s">
        <v>184</v>
      </c>
      <c r="E574" s="107" t="s">
        <v>185</v>
      </c>
      <c r="F574" s="108">
        <v>150</v>
      </c>
      <c r="G574" s="122">
        <v>43285</v>
      </c>
      <c r="H574" s="109">
        <v>18225</v>
      </c>
      <c r="I574" s="127" t="s">
        <v>869</v>
      </c>
      <c r="J574" s="122">
        <v>43286</v>
      </c>
      <c r="K574" s="547" t="s">
        <v>18</v>
      </c>
      <c r="L574" s="548" t="s">
        <v>326</v>
      </c>
      <c r="M574" s="104" t="s">
        <v>50</v>
      </c>
      <c r="N574" s="260">
        <v>79500</v>
      </c>
      <c r="O574" s="260">
        <v>5565</v>
      </c>
      <c r="P574" s="260">
        <f t="shared" si="86"/>
        <v>85065</v>
      </c>
      <c r="Q574" s="311"/>
      <c r="R574" s="113"/>
      <c r="S574" s="114"/>
      <c r="T574" s="115"/>
      <c r="U574" s="550">
        <v>3975</v>
      </c>
      <c r="V574" s="551"/>
      <c r="W574" s="552"/>
      <c r="X574" s="552">
        <v>378</v>
      </c>
      <c r="Y574" s="553"/>
      <c r="Z574" s="120"/>
      <c r="AA574" s="229">
        <v>18070241</v>
      </c>
      <c r="AB574" s="230">
        <v>23850</v>
      </c>
      <c r="AC574" s="233">
        <f t="shared" si="91"/>
        <v>1669.5</v>
      </c>
      <c r="AD574" s="233">
        <f t="shared" si="92"/>
        <v>25519.5</v>
      </c>
      <c r="AE574" s="221">
        <v>43285</v>
      </c>
      <c r="AF574" s="121" t="s">
        <v>869</v>
      </c>
      <c r="AG574" s="121"/>
      <c r="AH574" s="121"/>
      <c r="AI574" s="222" t="s">
        <v>1102</v>
      </c>
      <c r="AJ574" s="128">
        <v>1</v>
      </c>
      <c r="AK574" s="129" t="s">
        <v>652</v>
      </c>
      <c r="AL574" s="130"/>
      <c r="AM574" s="130" t="s">
        <v>1205</v>
      </c>
      <c r="AN574" s="131">
        <v>2</v>
      </c>
      <c r="AO574" s="132" t="s">
        <v>634</v>
      </c>
      <c r="AP574" s="361"/>
      <c r="AQ574" s="361"/>
      <c r="AR574" s="128"/>
      <c r="AS574" s="128"/>
      <c r="AT574" s="361"/>
      <c r="AU574" s="133"/>
      <c r="AV574" s="361"/>
      <c r="AW574" s="361"/>
      <c r="AX574" s="128"/>
      <c r="AY574" s="128"/>
      <c r="AZ574" s="361"/>
      <c r="BA574" s="133"/>
      <c r="BB574" s="361"/>
      <c r="BC574" s="361"/>
      <c r="BD574" s="128"/>
      <c r="BE574" s="128"/>
      <c r="BF574" s="361"/>
      <c r="BG574" s="133"/>
      <c r="BH574" s="361"/>
      <c r="BI574" s="361"/>
      <c r="BJ574" s="128"/>
      <c r="BK574" s="128"/>
      <c r="BL574" s="361"/>
      <c r="BM574" s="361"/>
      <c r="BN574" s="361"/>
      <c r="BO574" s="361"/>
      <c r="BP574" s="128"/>
      <c r="BQ574" s="128"/>
      <c r="BR574" s="361"/>
      <c r="BS574" s="361"/>
      <c r="BT574" s="361"/>
      <c r="BU574" s="361"/>
      <c r="BV574" s="128"/>
      <c r="BW574" s="128"/>
      <c r="BX574" s="361"/>
      <c r="BY574" s="361"/>
      <c r="BZ574" s="361"/>
      <c r="CA574" s="361"/>
      <c r="CB574" s="128"/>
      <c r="CC574" s="128"/>
      <c r="CD574" s="361"/>
      <c r="CE574" s="361"/>
    </row>
    <row r="575" spans="1:84" x14ac:dyDescent="0.5">
      <c r="A575" s="262"/>
      <c r="B575" s="135"/>
      <c r="C575" s="136"/>
      <c r="D575" s="137"/>
      <c r="E575" s="138"/>
      <c r="F575" s="139"/>
      <c r="G575" s="179">
        <v>43285</v>
      </c>
      <c r="H575" s="140">
        <v>18226</v>
      </c>
      <c r="I575" s="152"/>
      <c r="J575" s="179"/>
      <c r="K575" s="255"/>
      <c r="L575" s="300"/>
      <c r="M575" s="135"/>
      <c r="N575" s="253"/>
      <c r="O575" s="253"/>
      <c r="P575" s="253"/>
      <c r="Q575" s="143"/>
      <c r="R575" s="144"/>
      <c r="S575" s="145"/>
      <c r="T575" s="146"/>
      <c r="U575" s="529"/>
      <c r="V575" s="555"/>
      <c r="W575" s="556"/>
      <c r="X575" s="556"/>
      <c r="Y575" s="557"/>
      <c r="Z575" s="151"/>
      <c r="AA575" s="154">
        <v>18070242</v>
      </c>
      <c r="AB575" s="155">
        <v>55650</v>
      </c>
      <c r="AC575" s="253">
        <f t="shared" si="91"/>
        <v>3895.5</v>
      </c>
      <c r="AD575" s="253">
        <f t="shared" si="92"/>
        <v>59545.5</v>
      </c>
      <c r="AE575" s="157">
        <v>43285</v>
      </c>
      <c r="AF575" s="152" t="s">
        <v>869</v>
      </c>
      <c r="AG575" s="152"/>
      <c r="AH575" s="152"/>
      <c r="AI575" s="134" t="s">
        <v>1103</v>
      </c>
      <c r="AJ575" s="158"/>
      <c r="AK575" s="159"/>
      <c r="AL575" s="160"/>
      <c r="AM575" s="160"/>
      <c r="AN575" s="161"/>
      <c r="AO575" s="162"/>
      <c r="AP575" s="458"/>
      <c r="AQ575" s="458"/>
      <c r="AR575" s="158"/>
      <c r="AS575" s="158"/>
      <c r="AT575" s="458"/>
      <c r="AU575" s="163"/>
      <c r="AV575" s="458"/>
      <c r="AW575" s="458"/>
      <c r="AX575" s="158"/>
      <c r="AY575" s="158"/>
      <c r="AZ575" s="458"/>
      <c r="BA575" s="163"/>
      <c r="BB575" s="458"/>
      <c r="BC575" s="458"/>
      <c r="BD575" s="158"/>
      <c r="BE575" s="158"/>
      <c r="BF575" s="458"/>
      <c r="BG575" s="163"/>
      <c r="BH575" s="458"/>
      <c r="BI575" s="458"/>
      <c r="BJ575" s="158"/>
      <c r="BK575" s="158"/>
      <c r="BL575" s="458"/>
      <c r="BM575" s="458"/>
      <c r="BN575" s="458"/>
      <c r="BO575" s="458"/>
      <c r="BP575" s="158"/>
      <c r="BQ575" s="158"/>
      <c r="BR575" s="458"/>
      <c r="BS575" s="458"/>
      <c r="BT575" s="458"/>
      <c r="BU575" s="458"/>
      <c r="BV575" s="158"/>
      <c r="BW575" s="158"/>
      <c r="BX575" s="458"/>
      <c r="BY575" s="458"/>
      <c r="BZ575" s="458"/>
      <c r="CA575" s="458"/>
      <c r="CB575" s="158"/>
      <c r="CC575" s="158"/>
      <c r="CD575" s="458"/>
      <c r="CE575" s="458"/>
    </row>
    <row r="576" spans="1:84" x14ac:dyDescent="0.5">
      <c r="A576" s="259">
        <v>18045790</v>
      </c>
      <c r="B576" s="104">
        <v>18040370</v>
      </c>
      <c r="C576" s="105" t="s">
        <v>1368</v>
      </c>
      <c r="D576" s="106" t="s">
        <v>184</v>
      </c>
      <c r="E576" s="107" t="s">
        <v>185</v>
      </c>
      <c r="F576" s="108">
        <v>193</v>
      </c>
      <c r="G576" s="122">
        <v>43353</v>
      </c>
      <c r="H576" s="109">
        <v>18299</v>
      </c>
      <c r="I576" s="127" t="s">
        <v>869</v>
      </c>
      <c r="J576" s="122">
        <v>43354</v>
      </c>
      <c r="K576" s="547" t="s">
        <v>18</v>
      </c>
      <c r="L576" s="548" t="s">
        <v>327</v>
      </c>
      <c r="M576" s="104" t="s">
        <v>50</v>
      </c>
      <c r="N576" s="260">
        <v>39750</v>
      </c>
      <c r="O576" s="260">
        <v>2782.5</v>
      </c>
      <c r="P576" s="260">
        <f t="shared" si="86"/>
        <v>42532.5</v>
      </c>
      <c r="Q576" s="311"/>
      <c r="R576" s="113"/>
      <c r="S576" s="114"/>
      <c r="T576" s="115"/>
      <c r="U576" s="550">
        <v>1987.5</v>
      </c>
      <c r="V576" s="551"/>
      <c r="W576" s="552"/>
      <c r="X576" s="552">
        <v>189</v>
      </c>
      <c r="Y576" s="553"/>
      <c r="Z576" s="120"/>
      <c r="AA576" s="229">
        <v>18090330</v>
      </c>
      <c r="AB576" s="230">
        <v>27825</v>
      </c>
      <c r="AC576" s="234">
        <f t="shared" si="91"/>
        <v>1947.75</v>
      </c>
      <c r="AD576" s="234">
        <f t="shared" si="92"/>
        <v>29772.75</v>
      </c>
      <c r="AE576" s="221">
        <v>43353</v>
      </c>
      <c r="AF576" s="121" t="s">
        <v>869</v>
      </c>
      <c r="AG576" s="121"/>
      <c r="AH576" s="121"/>
      <c r="AI576" s="222" t="s">
        <v>1047</v>
      </c>
      <c r="AJ576" s="128">
        <v>1</v>
      </c>
      <c r="AK576" s="129" t="s">
        <v>652</v>
      </c>
      <c r="AL576" s="130"/>
      <c r="AM576" s="130" t="s">
        <v>1205</v>
      </c>
      <c r="AN576" s="131">
        <v>1</v>
      </c>
      <c r="AO576" s="132" t="s">
        <v>634</v>
      </c>
      <c r="AP576" s="361"/>
      <c r="AQ576" s="361"/>
      <c r="AR576" s="128"/>
      <c r="AS576" s="128"/>
      <c r="AT576" s="361"/>
      <c r="AU576" s="133"/>
      <c r="AV576" s="361"/>
      <c r="AW576" s="361"/>
      <c r="AX576" s="128"/>
      <c r="AY576" s="128"/>
      <c r="AZ576" s="361"/>
      <c r="BA576" s="133"/>
      <c r="BB576" s="361"/>
      <c r="BC576" s="361"/>
      <c r="BD576" s="128"/>
      <c r="BE576" s="128"/>
      <c r="BF576" s="361"/>
      <c r="BG576" s="133"/>
      <c r="BH576" s="361"/>
      <c r="BI576" s="361"/>
      <c r="BJ576" s="128"/>
      <c r="BK576" s="128"/>
      <c r="BL576" s="361"/>
      <c r="BM576" s="361"/>
      <c r="BN576" s="361"/>
      <c r="BO576" s="361"/>
      <c r="BP576" s="128"/>
      <c r="BQ576" s="128"/>
      <c r="BR576" s="361"/>
      <c r="BS576" s="361"/>
      <c r="BT576" s="361"/>
      <c r="BU576" s="361"/>
      <c r="BV576" s="128"/>
      <c r="BW576" s="128"/>
      <c r="BX576" s="361"/>
      <c r="BY576" s="361"/>
      <c r="BZ576" s="361"/>
      <c r="CA576" s="361"/>
      <c r="CB576" s="128"/>
      <c r="CC576" s="128"/>
      <c r="CD576" s="361"/>
      <c r="CE576" s="361"/>
    </row>
    <row r="577" spans="1:84" x14ac:dyDescent="0.5">
      <c r="A577" s="268"/>
      <c r="B577" s="181"/>
      <c r="C577" s="182"/>
      <c r="D577" s="183"/>
      <c r="E577" s="184"/>
      <c r="F577" s="185"/>
      <c r="G577" s="186"/>
      <c r="H577" s="187"/>
      <c r="I577" s="199"/>
      <c r="J577" s="186"/>
      <c r="K577" s="240"/>
      <c r="L577" s="558"/>
      <c r="M577" s="181"/>
      <c r="N577" s="237"/>
      <c r="O577" s="237"/>
      <c r="P577" s="237"/>
      <c r="Q577" s="190"/>
      <c r="R577" s="215"/>
      <c r="S577" s="216"/>
      <c r="T577" s="217"/>
      <c r="U577" s="544"/>
      <c r="V577" s="560"/>
      <c r="W577" s="561"/>
      <c r="X577" s="561"/>
      <c r="Y577" s="562"/>
      <c r="Z577" s="198"/>
      <c r="AA577" s="200">
        <v>18090336</v>
      </c>
      <c r="AB577" s="201">
        <v>11925</v>
      </c>
      <c r="AC577" s="238">
        <f t="shared" si="91"/>
        <v>834.75</v>
      </c>
      <c r="AD577" s="238">
        <f t="shared" si="92"/>
        <v>12759.75</v>
      </c>
      <c r="AE577" s="203">
        <v>43353</v>
      </c>
      <c r="AF577" s="199" t="s">
        <v>869</v>
      </c>
      <c r="AG577" s="199"/>
      <c r="AH577" s="199"/>
      <c r="AI577" s="180" t="s">
        <v>1048</v>
      </c>
      <c r="AJ577" s="204"/>
      <c r="AK577" s="205"/>
      <c r="AL577" s="206"/>
      <c r="AM577" s="206"/>
      <c r="AN577" s="207"/>
      <c r="AO577" s="208"/>
      <c r="AP577" s="365"/>
      <c r="AQ577" s="365"/>
      <c r="AR577" s="204"/>
      <c r="AS577" s="204"/>
      <c r="AT577" s="365"/>
      <c r="AU577" s="210"/>
      <c r="AV577" s="365"/>
      <c r="AW577" s="365"/>
      <c r="AX577" s="204"/>
      <c r="AY577" s="204"/>
      <c r="AZ577" s="365"/>
      <c r="BA577" s="210"/>
      <c r="BB577" s="365"/>
      <c r="BC577" s="365"/>
      <c r="BD577" s="204"/>
      <c r="BE577" s="204"/>
      <c r="BF577" s="365"/>
      <c r="BG577" s="210"/>
      <c r="BH577" s="365"/>
      <c r="BI577" s="365"/>
      <c r="BJ577" s="204"/>
      <c r="BK577" s="204"/>
      <c r="BL577" s="365"/>
      <c r="BM577" s="365"/>
      <c r="BN577" s="365"/>
      <c r="BO577" s="365"/>
      <c r="BP577" s="204"/>
      <c r="BQ577" s="204"/>
      <c r="BR577" s="365"/>
      <c r="BS577" s="365"/>
      <c r="BT577" s="365"/>
      <c r="BU577" s="365"/>
      <c r="BV577" s="204"/>
      <c r="BW577" s="204"/>
      <c r="BX577" s="365"/>
      <c r="BY577" s="365"/>
      <c r="BZ577" s="365"/>
      <c r="CA577" s="365"/>
      <c r="CB577" s="204"/>
      <c r="CC577" s="204"/>
      <c r="CD577" s="365"/>
      <c r="CE577" s="365"/>
    </row>
    <row r="578" spans="1:84" x14ac:dyDescent="0.5">
      <c r="A578" s="227">
        <v>18045789</v>
      </c>
      <c r="B578" s="22">
        <v>18040320</v>
      </c>
      <c r="C578" s="55"/>
      <c r="D578" s="56"/>
      <c r="E578" s="57"/>
      <c r="F578" s="58"/>
      <c r="G578" s="59"/>
      <c r="H578" s="60"/>
      <c r="I578" s="269" t="s">
        <v>869</v>
      </c>
      <c r="J578" s="59"/>
      <c r="K578" s="42" t="s">
        <v>16</v>
      </c>
      <c r="L578" s="520" t="s">
        <v>328</v>
      </c>
      <c r="M578" s="22" t="s">
        <v>50</v>
      </c>
      <c r="N578" s="63">
        <v>9000</v>
      </c>
      <c r="O578" s="63">
        <f>N578*7/100</f>
        <v>630</v>
      </c>
      <c r="P578" s="63">
        <f>N578+O578</f>
        <v>9630</v>
      </c>
      <c r="AA578" s="40">
        <v>18040161</v>
      </c>
      <c r="AB578" s="41">
        <v>9000</v>
      </c>
      <c r="AC578" s="64">
        <f t="shared" si="91"/>
        <v>630</v>
      </c>
      <c r="AD578" s="64">
        <f t="shared" si="92"/>
        <v>9630</v>
      </c>
      <c r="AE578" s="53">
        <v>43220</v>
      </c>
      <c r="AF578" s="39" t="s">
        <v>869</v>
      </c>
      <c r="AI578" s="21" t="s">
        <v>999</v>
      </c>
      <c r="AJ578" s="44">
        <v>1</v>
      </c>
      <c r="AP578" s="44">
        <v>2</v>
      </c>
      <c r="AV578" s="44">
        <v>3</v>
      </c>
      <c r="BB578" s="44">
        <v>4</v>
      </c>
      <c r="BH578" s="44">
        <v>5</v>
      </c>
      <c r="BN578" s="44">
        <v>6</v>
      </c>
      <c r="BT578" s="44">
        <v>7</v>
      </c>
      <c r="BZ578" s="44">
        <v>8</v>
      </c>
    </row>
    <row r="579" spans="1:84" x14ac:dyDescent="0.5">
      <c r="A579" s="227">
        <v>18045788</v>
      </c>
      <c r="B579" s="22">
        <v>18040371</v>
      </c>
      <c r="C579" s="23" t="s">
        <v>1369</v>
      </c>
      <c r="D579" s="24" t="s">
        <v>184</v>
      </c>
      <c r="E579" s="25" t="s">
        <v>185</v>
      </c>
      <c r="F579" s="26">
        <v>134</v>
      </c>
      <c r="G579" s="62">
        <v>43262</v>
      </c>
      <c r="H579" s="27">
        <v>18192</v>
      </c>
      <c r="I579" s="39" t="s">
        <v>869</v>
      </c>
      <c r="J579" s="62">
        <v>43262</v>
      </c>
      <c r="K579" s="42" t="s">
        <v>329</v>
      </c>
      <c r="L579" s="520" t="s">
        <v>330</v>
      </c>
      <c r="M579" s="22" t="s">
        <v>52</v>
      </c>
      <c r="N579" s="63">
        <v>127102.8</v>
      </c>
      <c r="O579" s="63">
        <v>8897.2000000000007</v>
      </c>
      <c r="P579" s="63">
        <f>SUM(N579:O579)</f>
        <v>136000</v>
      </c>
      <c r="U579" s="516">
        <v>6351.14</v>
      </c>
      <c r="X579" s="518">
        <v>374.31</v>
      </c>
      <c r="AA579" s="40">
        <v>18050169</v>
      </c>
      <c r="AB579" s="41">
        <v>127102.81</v>
      </c>
      <c r="AC579" s="64">
        <f t="shared" ref="AC579:AC591" si="93">AB579*7/100</f>
        <v>8897.1966999999986</v>
      </c>
      <c r="AD579" s="64">
        <f t="shared" ref="AD579:AD591" si="94">AB579+AC579</f>
        <v>136000.0067</v>
      </c>
      <c r="AE579" s="53">
        <v>43234</v>
      </c>
      <c r="AF579" s="39" t="s">
        <v>869</v>
      </c>
      <c r="AI579" s="21" t="s">
        <v>954</v>
      </c>
      <c r="AJ579" s="44">
        <v>1</v>
      </c>
      <c r="AK579" s="45" t="s">
        <v>810</v>
      </c>
      <c r="AM579" s="46" t="s">
        <v>1205</v>
      </c>
      <c r="AN579" s="47">
        <v>1</v>
      </c>
      <c r="AO579" s="48" t="s">
        <v>636</v>
      </c>
      <c r="AP579" s="356"/>
      <c r="AQ579" s="356"/>
      <c r="AR579" s="44"/>
      <c r="AS579" s="44"/>
      <c r="AT579" s="356"/>
      <c r="AU579" s="54"/>
      <c r="AV579" s="356"/>
      <c r="AW579" s="356"/>
      <c r="AX579" s="44"/>
      <c r="AY579" s="44"/>
      <c r="AZ579" s="356"/>
      <c r="BA579" s="54"/>
      <c r="BB579" s="356"/>
      <c r="BC579" s="356"/>
      <c r="BD579" s="44"/>
      <c r="BE579" s="44"/>
      <c r="BF579" s="356"/>
      <c r="BG579" s="54"/>
      <c r="BH579" s="356"/>
      <c r="BI579" s="356"/>
      <c r="BJ579" s="44"/>
      <c r="BK579" s="44"/>
      <c r="BL579" s="356"/>
      <c r="BM579" s="356"/>
      <c r="BN579" s="356"/>
      <c r="BO579" s="356"/>
      <c r="BP579" s="44"/>
      <c r="BQ579" s="44"/>
      <c r="BR579" s="356"/>
      <c r="BS579" s="356"/>
      <c r="BT579" s="356"/>
      <c r="BU579" s="356"/>
      <c r="BV579" s="44"/>
      <c r="BW579" s="44"/>
      <c r="BX579" s="356"/>
      <c r="BY579" s="356"/>
      <c r="BZ579" s="356"/>
      <c r="CA579" s="356"/>
      <c r="CB579" s="44"/>
      <c r="CC579" s="44"/>
      <c r="CD579" s="356"/>
      <c r="CE579" s="356"/>
    </row>
    <row r="580" spans="1:84" x14ac:dyDescent="0.5">
      <c r="A580" s="227">
        <v>18045787</v>
      </c>
      <c r="B580" s="22">
        <v>18010020</v>
      </c>
      <c r="C580" s="23" t="s">
        <v>1370</v>
      </c>
      <c r="D580" s="24" t="s">
        <v>184</v>
      </c>
      <c r="E580" s="25" t="s">
        <v>185</v>
      </c>
      <c r="F580" s="26">
        <v>141</v>
      </c>
      <c r="G580" s="62">
        <v>43281</v>
      </c>
      <c r="H580" s="27">
        <v>18215</v>
      </c>
      <c r="I580" s="39" t="s">
        <v>869</v>
      </c>
      <c r="J580" s="22" t="s">
        <v>332</v>
      </c>
      <c r="K580" s="42" t="s">
        <v>91</v>
      </c>
      <c r="L580" s="520" t="s">
        <v>331</v>
      </c>
      <c r="M580" s="22" t="s">
        <v>52</v>
      </c>
      <c r="N580" s="63">
        <v>83177.570000000007</v>
      </c>
      <c r="O580" s="63">
        <v>5822.43</v>
      </c>
      <c r="P580" s="63">
        <f>SUM(N580:O580)</f>
        <v>89000</v>
      </c>
      <c r="U580" s="516">
        <v>4158.87</v>
      </c>
      <c r="X580" s="518">
        <v>205.44</v>
      </c>
      <c r="AA580" s="40">
        <v>18050175</v>
      </c>
      <c r="AB580" s="41">
        <v>83177.570000000007</v>
      </c>
      <c r="AC580" s="64">
        <f t="shared" si="93"/>
        <v>5822.4299000000001</v>
      </c>
      <c r="AD580" s="64">
        <f t="shared" si="94"/>
        <v>88999.99990000001</v>
      </c>
      <c r="AE580" s="53">
        <v>43243</v>
      </c>
      <c r="AF580" s="39" t="s">
        <v>869</v>
      </c>
      <c r="AI580" s="21" t="s">
        <v>952</v>
      </c>
      <c r="AJ580" s="44">
        <v>1</v>
      </c>
      <c r="AK580" s="45" t="s">
        <v>657</v>
      </c>
      <c r="AM580" s="46" t="s">
        <v>1205</v>
      </c>
      <c r="AN580" s="47">
        <v>1</v>
      </c>
      <c r="AO580" s="48" t="s">
        <v>634</v>
      </c>
      <c r="AP580" s="44">
        <v>2</v>
      </c>
      <c r="AQ580" s="40" t="s">
        <v>658</v>
      </c>
      <c r="AS580" s="47" t="s">
        <v>1205</v>
      </c>
      <c r="AT580" s="47">
        <v>1</v>
      </c>
      <c r="AU580" s="49" t="s">
        <v>634</v>
      </c>
      <c r="AV580" s="356"/>
      <c r="AW580" s="356"/>
      <c r="AX580" s="44"/>
      <c r="AY580" s="44"/>
      <c r="AZ580" s="356"/>
      <c r="BA580" s="54"/>
      <c r="BB580" s="356"/>
      <c r="BC580" s="356"/>
      <c r="BD580" s="44"/>
      <c r="BE580" s="44"/>
      <c r="BF580" s="356"/>
      <c r="BG580" s="54"/>
      <c r="BH580" s="356"/>
      <c r="BI580" s="356"/>
      <c r="BJ580" s="44"/>
      <c r="BK580" s="44"/>
      <c r="BL580" s="356"/>
      <c r="BM580" s="356"/>
      <c r="BN580" s="356"/>
      <c r="BO580" s="356"/>
      <c r="BP580" s="44"/>
      <c r="BQ580" s="44"/>
      <c r="BR580" s="356"/>
      <c r="BS580" s="356"/>
      <c r="BT580" s="356"/>
      <c r="BU580" s="356"/>
      <c r="BV580" s="44"/>
      <c r="BW580" s="44"/>
      <c r="BX580" s="356"/>
      <c r="BY580" s="356"/>
      <c r="BZ580" s="356"/>
      <c r="CA580" s="356"/>
      <c r="CB580" s="44"/>
      <c r="CC580" s="44"/>
      <c r="CD580" s="356"/>
      <c r="CE580" s="356"/>
    </row>
    <row r="581" spans="1:84" x14ac:dyDescent="0.5">
      <c r="A581" s="227">
        <v>18045786</v>
      </c>
      <c r="B581" s="22" t="s">
        <v>333</v>
      </c>
      <c r="C581" s="23" t="s">
        <v>1371</v>
      </c>
      <c r="D581" s="24" t="s">
        <v>184</v>
      </c>
      <c r="E581" s="25" t="s">
        <v>185</v>
      </c>
      <c r="F581" s="26">
        <v>117</v>
      </c>
      <c r="G581" s="62">
        <v>43246</v>
      </c>
      <c r="H581" s="27">
        <v>18172</v>
      </c>
      <c r="I581" s="39" t="s">
        <v>869</v>
      </c>
      <c r="J581" s="62">
        <v>43248</v>
      </c>
      <c r="K581" s="42" t="s">
        <v>334</v>
      </c>
      <c r="L581" s="520" t="s">
        <v>335</v>
      </c>
      <c r="M581" s="22" t="s">
        <v>52</v>
      </c>
      <c r="N581" s="63">
        <v>42056.08</v>
      </c>
      <c r="O581" s="63">
        <v>2943.93</v>
      </c>
      <c r="P581" s="63">
        <f>SUM(N581:O581)</f>
        <v>45000.01</v>
      </c>
      <c r="U581" s="516">
        <v>2102.8000000000002</v>
      </c>
      <c r="X581" s="518">
        <v>111.86</v>
      </c>
      <c r="AA581" s="40">
        <v>18050174</v>
      </c>
      <c r="AB581" s="41">
        <v>42056.08</v>
      </c>
      <c r="AC581" s="64">
        <f t="shared" si="93"/>
        <v>2943.9256</v>
      </c>
      <c r="AD581" s="64">
        <f t="shared" si="94"/>
        <v>45000.005600000004</v>
      </c>
      <c r="AE581" s="53">
        <v>43243</v>
      </c>
      <c r="AF581" s="39" t="s">
        <v>869</v>
      </c>
      <c r="AI581" s="21" t="s">
        <v>978</v>
      </c>
      <c r="AJ581" s="44">
        <v>1</v>
      </c>
      <c r="AK581" s="45" t="s">
        <v>740</v>
      </c>
      <c r="AM581" s="46" t="s">
        <v>1205</v>
      </c>
      <c r="AN581" s="47">
        <v>1</v>
      </c>
      <c r="AO581" s="48" t="s">
        <v>634</v>
      </c>
      <c r="AP581" s="356"/>
      <c r="AQ581" s="356"/>
      <c r="AR581" s="44"/>
      <c r="AS581" s="44"/>
      <c r="AT581" s="356"/>
      <c r="AU581" s="54"/>
      <c r="AV581" s="356"/>
      <c r="AW581" s="356"/>
      <c r="AX581" s="44"/>
      <c r="AY581" s="44"/>
      <c r="AZ581" s="356"/>
      <c r="BA581" s="54"/>
      <c r="BB581" s="356"/>
      <c r="BC581" s="356"/>
      <c r="BD581" s="44"/>
      <c r="BE581" s="44"/>
      <c r="BF581" s="356"/>
      <c r="BG581" s="54"/>
      <c r="BH581" s="356"/>
      <c r="BI581" s="356"/>
      <c r="BJ581" s="44"/>
      <c r="BK581" s="44"/>
      <c r="BL581" s="356"/>
      <c r="BM581" s="356"/>
      <c r="BN581" s="356"/>
      <c r="BO581" s="356"/>
      <c r="BP581" s="44"/>
      <c r="BQ581" s="44"/>
      <c r="BR581" s="356"/>
      <c r="BS581" s="356"/>
      <c r="BT581" s="356"/>
      <c r="BU581" s="356"/>
      <c r="BV581" s="44"/>
      <c r="BW581" s="44"/>
      <c r="BX581" s="356"/>
      <c r="BY581" s="356"/>
      <c r="BZ581" s="356"/>
      <c r="CA581" s="356"/>
      <c r="CB581" s="44"/>
      <c r="CC581" s="44"/>
      <c r="CD581" s="356"/>
      <c r="CE581" s="356"/>
    </row>
    <row r="582" spans="1:84" x14ac:dyDescent="0.5">
      <c r="A582" s="227">
        <v>18045785</v>
      </c>
      <c r="B582" s="22">
        <v>18040366</v>
      </c>
      <c r="C582" s="55"/>
      <c r="D582" s="56"/>
      <c r="E582" s="57"/>
      <c r="F582" s="58"/>
      <c r="G582" s="59"/>
      <c r="H582" s="60"/>
      <c r="I582" s="39" t="s">
        <v>869</v>
      </c>
      <c r="K582" s="42" t="s">
        <v>336</v>
      </c>
      <c r="L582" s="520" t="s">
        <v>337</v>
      </c>
      <c r="M582" s="22" t="s">
        <v>338</v>
      </c>
      <c r="N582" s="63">
        <v>27000</v>
      </c>
      <c r="O582" s="63">
        <f>N582*7/100</f>
        <v>1890</v>
      </c>
      <c r="P582" s="63">
        <f>N582+O582</f>
        <v>28890</v>
      </c>
      <c r="AA582" s="40">
        <v>18040158</v>
      </c>
      <c r="AB582" s="41">
        <v>27000</v>
      </c>
      <c r="AC582" s="64">
        <f t="shared" si="93"/>
        <v>1890</v>
      </c>
      <c r="AD582" s="64">
        <f t="shared" si="94"/>
        <v>28890</v>
      </c>
      <c r="AE582" s="53">
        <v>43220</v>
      </c>
      <c r="AF582" s="39" t="s">
        <v>869</v>
      </c>
      <c r="AI582" s="21" t="s">
        <v>994</v>
      </c>
      <c r="AJ582" s="44">
        <v>1</v>
      </c>
      <c r="AP582" s="44">
        <v>2</v>
      </c>
      <c r="AV582" s="44">
        <v>3</v>
      </c>
      <c r="BB582" s="44">
        <v>4</v>
      </c>
      <c r="BH582" s="44">
        <v>5</v>
      </c>
      <c r="BN582" s="44">
        <v>6</v>
      </c>
      <c r="BT582" s="44">
        <v>7</v>
      </c>
      <c r="BZ582" s="44">
        <v>8</v>
      </c>
    </row>
    <row r="583" spans="1:84" x14ac:dyDescent="0.5">
      <c r="A583" s="227">
        <v>18045784</v>
      </c>
      <c r="B583" s="22">
        <v>18040368</v>
      </c>
      <c r="C583" s="23" t="s">
        <v>1372</v>
      </c>
      <c r="D583" s="24" t="s">
        <v>184</v>
      </c>
      <c r="E583" s="25" t="s">
        <v>185</v>
      </c>
      <c r="F583" s="26">
        <v>108</v>
      </c>
      <c r="G583" s="62">
        <v>43230</v>
      </c>
      <c r="H583" s="27">
        <v>18160</v>
      </c>
      <c r="I583" s="39" t="s">
        <v>869</v>
      </c>
      <c r="J583" s="62">
        <v>43231</v>
      </c>
      <c r="K583" s="42" t="s">
        <v>15</v>
      </c>
      <c r="L583" s="520" t="s">
        <v>339</v>
      </c>
      <c r="M583" s="22" t="s">
        <v>51</v>
      </c>
      <c r="N583" s="63">
        <v>93100</v>
      </c>
      <c r="O583" s="63">
        <v>6517</v>
      </c>
      <c r="P583" s="63">
        <f t="shared" ref="P583:P599" si="95">SUM(N583:O583)</f>
        <v>99617</v>
      </c>
      <c r="AA583" s="40">
        <v>18050168</v>
      </c>
      <c r="AB583" s="41">
        <v>93100</v>
      </c>
      <c r="AC583" s="64">
        <f t="shared" si="93"/>
        <v>6517</v>
      </c>
      <c r="AD583" s="64">
        <f t="shared" si="94"/>
        <v>99617</v>
      </c>
      <c r="AE583" s="53">
        <v>43276</v>
      </c>
      <c r="AF583" s="39" t="s">
        <v>869</v>
      </c>
      <c r="AI583" s="21" t="s">
        <v>992</v>
      </c>
      <c r="AJ583" s="44">
        <v>1</v>
      </c>
      <c r="AK583" s="45" t="s">
        <v>799</v>
      </c>
      <c r="AM583" s="46" t="s">
        <v>1205</v>
      </c>
      <c r="AN583" s="47">
        <v>1</v>
      </c>
      <c r="AO583" s="48" t="s">
        <v>633</v>
      </c>
      <c r="AP583" s="44">
        <v>2</v>
      </c>
      <c r="AQ583" s="40" t="s">
        <v>825</v>
      </c>
      <c r="AT583" s="47">
        <v>1</v>
      </c>
      <c r="AU583" s="59"/>
      <c r="AV583" s="356"/>
      <c r="AW583" s="356"/>
      <c r="AX583" s="44"/>
      <c r="AY583" s="44"/>
      <c r="AZ583" s="356"/>
      <c r="BA583" s="54"/>
      <c r="BB583" s="356"/>
      <c r="BC583" s="356"/>
      <c r="BD583" s="44"/>
      <c r="BE583" s="44"/>
      <c r="BF583" s="356"/>
      <c r="BG583" s="54"/>
      <c r="BH583" s="356"/>
      <c r="BI583" s="356"/>
      <c r="BJ583" s="44"/>
      <c r="BK583" s="44"/>
      <c r="BL583" s="356"/>
      <c r="BM583" s="356"/>
      <c r="BN583" s="356"/>
      <c r="BO583" s="356"/>
      <c r="BP583" s="44"/>
      <c r="BQ583" s="44"/>
      <c r="BR583" s="356"/>
      <c r="BS583" s="356"/>
      <c r="BT583" s="356"/>
      <c r="BU583" s="356"/>
      <c r="BV583" s="44"/>
      <c r="BW583" s="44"/>
      <c r="BX583" s="356"/>
      <c r="BY583" s="356"/>
      <c r="BZ583" s="356"/>
      <c r="CA583" s="356"/>
      <c r="CB583" s="44"/>
      <c r="CC583" s="44"/>
      <c r="CD583" s="356"/>
      <c r="CE583" s="356"/>
    </row>
    <row r="584" spans="1:84" x14ac:dyDescent="0.5">
      <c r="A584" s="227">
        <v>18045783</v>
      </c>
      <c r="B584" s="22">
        <v>18040367</v>
      </c>
      <c r="C584" s="23" t="s">
        <v>1373</v>
      </c>
      <c r="D584" s="24" t="s">
        <v>184</v>
      </c>
      <c r="E584" s="25" t="s">
        <v>185</v>
      </c>
      <c r="F584" s="26">
        <v>106</v>
      </c>
      <c r="G584" s="62">
        <v>43224</v>
      </c>
      <c r="H584" s="27">
        <v>18158</v>
      </c>
      <c r="I584" s="39" t="s">
        <v>869</v>
      </c>
      <c r="J584" s="62">
        <v>43224</v>
      </c>
      <c r="K584" s="42" t="s">
        <v>15</v>
      </c>
      <c r="L584" s="520" t="s">
        <v>2</v>
      </c>
      <c r="M584" s="22" t="s">
        <v>51</v>
      </c>
      <c r="N584" s="63">
        <v>204000</v>
      </c>
      <c r="O584" s="63">
        <v>14280</v>
      </c>
      <c r="P584" s="63">
        <f t="shared" si="95"/>
        <v>218280</v>
      </c>
      <c r="AA584" s="40">
        <v>18050167</v>
      </c>
      <c r="AB584" s="41">
        <v>204000</v>
      </c>
      <c r="AC584" s="63">
        <f t="shared" si="93"/>
        <v>14280</v>
      </c>
      <c r="AD584" s="63">
        <f t="shared" si="94"/>
        <v>218280</v>
      </c>
      <c r="AE584" s="53">
        <v>43273</v>
      </c>
      <c r="AF584" s="39" t="s">
        <v>869</v>
      </c>
      <c r="AI584" s="21" t="s">
        <v>992</v>
      </c>
      <c r="AJ584" s="44">
        <v>1</v>
      </c>
      <c r="AK584" s="45" t="s">
        <v>824</v>
      </c>
      <c r="AM584" s="46" t="s">
        <v>1205</v>
      </c>
      <c r="AN584" s="47">
        <v>1</v>
      </c>
      <c r="AO584" s="48" t="s">
        <v>633</v>
      </c>
      <c r="AP584" s="356"/>
      <c r="AQ584" s="356"/>
      <c r="AR584" s="44"/>
      <c r="AS584" s="44"/>
      <c r="AT584" s="356"/>
      <c r="AU584" s="54"/>
      <c r="AV584" s="356"/>
      <c r="AW584" s="356"/>
      <c r="AX584" s="44"/>
      <c r="AY584" s="44"/>
      <c r="AZ584" s="356"/>
      <c r="BA584" s="54"/>
      <c r="BB584" s="356"/>
      <c r="BC584" s="356"/>
      <c r="BD584" s="44"/>
      <c r="BE584" s="44"/>
      <c r="BF584" s="356"/>
      <c r="BG584" s="54"/>
      <c r="BH584" s="356"/>
      <c r="BI584" s="356"/>
      <c r="BJ584" s="44"/>
      <c r="BK584" s="44"/>
      <c r="BL584" s="356"/>
      <c r="BM584" s="356"/>
      <c r="BN584" s="356"/>
      <c r="BO584" s="356"/>
      <c r="BP584" s="44"/>
      <c r="BQ584" s="44"/>
      <c r="BR584" s="356"/>
      <c r="BS584" s="356"/>
      <c r="BT584" s="356"/>
      <c r="BU584" s="356"/>
      <c r="BV584" s="44"/>
      <c r="BW584" s="44"/>
      <c r="BX584" s="356"/>
      <c r="BY584" s="356"/>
      <c r="BZ584" s="356"/>
      <c r="CA584" s="356"/>
      <c r="CB584" s="44"/>
      <c r="CC584" s="44"/>
      <c r="CD584" s="356"/>
      <c r="CE584" s="356"/>
    </row>
    <row r="585" spans="1:84" x14ac:dyDescent="0.5">
      <c r="A585" s="227">
        <v>18045782</v>
      </c>
      <c r="B585" s="22">
        <v>18040359</v>
      </c>
      <c r="C585" s="23" t="s">
        <v>1374</v>
      </c>
      <c r="D585" s="24" t="s">
        <v>184</v>
      </c>
      <c r="E585" s="25" t="s">
        <v>185</v>
      </c>
      <c r="F585" s="26">
        <v>101</v>
      </c>
      <c r="G585" s="62">
        <v>43222</v>
      </c>
      <c r="H585" s="27">
        <v>18146</v>
      </c>
      <c r="I585" s="39" t="s">
        <v>869</v>
      </c>
      <c r="J585" s="62">
        <v>43222</v>
      </c>
      <c r="K585" s="42" t="s">
        <v>19</v>
      </c>
      <c r="L585" s="520" t="s">
        <v>340</v>
      </c>
      <c r="M585" s="22" t="s">
        <v>51</v>
      </c>
      <c r="N585" s="63">
        <v>55040</v>
      </c>
      <c r="O585" s="63">
        <v>3852.8</v>
      </c>
      <c r="P585" s="63">
        <f t="shared" si="95"/>
        <v>58892.800000000003</v>
      </c>
      <c r="AA585" s="40">
        <v>18050165</v>
      </c>
      <c r="AB585" s="41">
        <v>55040</v>
      </c>
      <c r="AC585" s="64">
        <f t="shared" si="93"/>
        <v>3852.8</v>
      </c>
      <c r="AD585" s="64">
        <f t="shared" si="94"/>
        <v>58892.800000000003</v>
      </c>
      <c r="AE585" s="53">
        <v>43258</v>
      </c>
      <c r="AF585" s="39" t="s">
        <v>869</v>
      </c>
      <c r="AI585" s="21" t="s">
        <v>947</v>
      </c>
      <c r="AJ585" s="44">
        <v>1</v>
      </c>
      <c r="AK585" s="45" t="s">
        <v>819</v>
      </c>
      <c r="AM585" s="46" t="s">
        <v>1205</v>
      </c>
      <c r="AN585" s="47">
        <v>2</v>
      </c>
      <c r="AO585" s="48" t="s">
        <v>633</v>
      </c>
      <c r="AP585" s="44">
        <v>2</v>
      </c>
      <c r="AQ585" s="40" t="s">
        <v>820</v>
      </c>
      <c r="AS585" s="47" t="s">
        <v>1205</v>
      </c>
      <c r="AT585" s="47">
        <v>3</v>
      </c>
      <c r="AU585" s="49" t="s">
        <v>633</v>
      </c>
      <c r="AV585" s="356"/>
      <c r="AW585" s="356"/>
      <c r="AX585" s="44"/>
      <c r="AY585" s="44"/>
      <c r="AZ585" s="356"/>
      <c r="BA585" s="54"/>
      <c r="BB585" s="356"/>
      <c r="BC585" s="356"/>
      <c r="BD585" s="44"/>
      <c r="BE585" s="44"/>
      <c r="BF585" s="356"/>
      <c r="BG585" s="54"/>
      <c r="BH585" s="356"/>
      <c r="BI585" s="356"/>
      <c r="BJ585" s="44"/>
      <c r="BK585" s="44"/>
      <c r="BL585" s="356"/>
      <c r="BM585" s="356"/>
      <c r="BN585" s="356"/>
      <c r="BO585" s="356"/>
      <c r="BP585" s="44"/>
      <c r="BQ585" s="44"/>
      <c r="BR585" s="356"/>
      <c r="BS585" s="356"/>
      <c r="BT585" s="356"/>
      <c r="BU585" s="356"/>
      <c r="BV585" s="44"/>
      <c r="BW585" s="44"/>
      <c r="BX585" s="356"/>
      <c r="BY585" s="356"/>
      <c r="BZ585" s="356"/>
      <c r="CA585" s="356"/>
      <c r="CB585" s="44"/>
      <c r="CC585" s="44"/>
      <c r="CD585" s="356"/>
      <c r="CE585" s="356"/>
    </row>
    <row r="586" spans="1:84" x14ac:dyDescent="0.5">
      <c r="A586" s="259">
        <v>18045781</v>
      </c>
      <c r="B586" s="104">
        <v>18040355</v>
      </c>
      <c r="C586" s="105" t="s">
        <v>1375</v>
      </c>
      <c r="D586" s="106" t="s">
        <v>184</v>
      </c>
      <c r="E586" s="107" t="s">
        <v>185</v>
      </c>
      <c r="F586" s="108" t="s">
        <v>1363</v>
      </c>
      <c r="G586" s="122">
        <v>43216</v>
      </c>
      <c r="H586" s="109">
        <v>18144</v>
      </c>
      <c r="I586" s="127" t="s">
        <v>869</v>
      </c>
      <c r="J586" s="122">
        <v>43216</v>
      </c>
      <c r="K586" s="547" t="s">
        <v>372</v>
      </c>
      <c r="L586" s="547" t="s">
        <v>341</v>
      </c>
      <c r="M586" s="104" t="s">
        <v>50</v>
      </c>
      <c r="N586" s="260">
        <v>35775</v>
      </c>
      <c r="O586" s="260">
        <v>2504.25</v>
      </c>
      <c r="P586" s="260">
        <f t="shared" si="95"/>
        <v>38279.25</v>
      </c>
      <c r="Q586" s="311"/>
      <c r="R586" s="113"/>
      <c r="S586" s="114"/>
      <c r="T586" s="115"/>
      <c r="U586" s="550">
        <v>1789</v>
      </c>
      <c r="V586" s="551"/>
      <c r="W586" s="552"/>
      <c r="X586" s="552">
        <v>129</v>
      </c>
      <c r="Y586" s="553"/>
      <c r="Z586" s="120"/>
      <c r="AA586" s="229">
        <v>18040157</v>
      </c>
      <c r="AB586" s="230">
        <v>25042.5</v>
      </c>
      <c r="AC586" s="233">
        <f t="shared" si="93"/>
        <v>1752.9749999999999</v>
      </c>
      <c r="AD586" s="233">
        <f t="shared" si="94"/>
        <v>26795.474999999999</v>
      </c>
      <c r="AE586" s="221">
        <v>43214</v>
      </c>
      <c r="AF586" s="121" t="s">
        <v>869</v>
      </c>
      <c r="AG586" s="121"/>
      <c r="AH586" s="121"/>
      <c r="AI586" s="222" t="s">
        <v>996</v>
      </c>
      <c r="AJ586" s="128">
        <v>1</v>
      </c>
      <c r="AK586" s="129" t="s">
        <v>652</v>
      </c>
      <c r="AL586" s="130"/>
      <c r="AM586" s="130" t="s">
        <v>1205</v>
      </c>
      <c r="AN586" s="131">
        <v>1</v>
      </c>
      <c r="AO586" s="132" t="s">
        <v>634</v>
      </c>
      <c r="AP586" s="361"/>
      <c r="AQ586" s="361"/>
      <c r="AR586" s="128"/>
      <c r="AS586" s="128"/>
      <c r="AT586" s="361"/>
      <c r="AU586" s="133"/>
      <c r="AV586" s="361"/>
      <c r="AW586" s="361"/>
      <c r="AX586" s="128"/>
      <c r="AY586" s="128"/>
      <c r="AZ586" s="361"/>
      <c r="BA586" s="133"/>
      <c r="BB586" s="361"/>
      <c r="BC586" s="361"/>
      <c r="BD586" s="128"/>
      <c r="BE586" s="128"/>
      <c r="BF586" s="361"/>
      <c r="BG586" s="133"/>
      <c r="BH586" s="361"/>
      <c r="BI586" s="361"/>
      <c r="BJ586" s="128"/>
      <c r="BK586" s="128"/>
      <c r="BL586" s="361"/>
      <c r="BM586" s="361"/>
      <c r="BN586" s="361"/>
      <c r="BO586" s="361"/>
      <c r="BP586" s="128"/>
      <c r="BQ586" s="128"/>
      <c r="BR586" s="361"/>
      <c r="BS586" s="361"/>
      <c r="BT586" s="361"/>
      <c r="BU586" s="361"/>
      <c r="BV586" s="128"/>
      <c r="BW586" s="128"/>
      <c r="BX586" s="361"/>
      <c r="BY586" s="361"/>
      <c r="BZ586" s="361"/>
      <c r="CA586" s="361"/>
      <c r="CB586" s="128"/>
      <c r="CC586" s="128"/>
      <c r="CD586" s="361"/>
      <c r="CE586" s="361"/>
    </row>
    <row r="587" spans="1:84" x14ac:dyDescent="0.5">
      <c r="A587" s="268"/>
      <c r="B587" s="181"/>
      <c r="C587" s="182"/>
      <c r="D587" s="183"/>
      <c r="E587" s="184"/>
      <c r="F587" s="185"/>
      <c r="G587" s="181"/>
      <c r="H587" s="187"/>
      <c r="I587" s="199"/>
      <c r="J587" s="186"/>
      <c r="K587" s="240"/>
      <c r="L587" s="558"/>
      <c r="M587" s="181"/>
      <c r="N587" s="237"/>
      <c r="O587" s="237"/>
      <c r="P587" s="237"/>
      <c r="Q587" s="190"/>
      <c r="R587" s="215"/>
      <c r="S587" s="216"/>
      <c r="T587" s="217"/>
      <c r="U587" s="544"/>
      <c r="V587" s="560"/>
      <c r="W587" s="561"/>
      <c r="X587" s="561"/>
      <c r="Y587" s="562"/>
      <c r="Z587" s="198"/>
      <c r="AA587" s="200">
        <v>18040156</v>
      </c>
      <c r="AB587" s="201">
        <v>10732.5</v>
      </c>
      <c r="AC587" s="237">
        <f t="shared" si="93"/>
        <v>751.27499999999998</v>
      </c>
      <c r="AD587" s="237">
        <f t="shared" si="94"/>
        <v>11483.775</v>
      </c>
      <c r="AE587" s="203">
        <v>43214</v>
      </c>
      <c r="AF587" s="199" t="s">
        <v>869</v>
      </c>
      <c r="AG587" s="199"/>
      <c r="AH587" s="199"/>
      <c r="AI587" s="180" t="s">
        <v>998</v>
      </c>
      <c r="AJ587" s="204"/>
      <c r="AK587" s="205"/>
      <c r="AL587" s="206"/>
      <c r="AM587" s="206"/>
      <c r="AN587" s="207"/>
      <c r="AO587" s="208"/>
      <c r="AP587" s="365"/>
      <c r="AQ587" s="365"/>
      <c r="AR587" s="204"/>
      <c r="AS587" s="204"/>
      <c r="AT587" s="365"/>
      <c r="AU587" s="210"/>
      <c r="AV587" s="365"/>
      <c r="AW587" s="365"/>
      <c r="AX587" s="204"/>
      <c r="AY587" s="204"/>
      <c r="AZ587" s="365"/>
      <c r="BA587" s="210"/>
      <c r="BB587" s="365"/>
      <c r="BC587" s="365"/>
      <c r="BD587" s="204"/>
      <c r="BE587" s="204"/>
      <c r="BF587" s="365"/>
      <c r="BG587" s="210"/>
      <c r="BH587" s="365"/>
      <c r="BI587" s="365"/>
      <c r="BJ587" s="204"/>
      <c r="BK587" s="204"/>
      <c r="BL587" s="365"/>
      <c r="BM587" s="365"/>
      <c r="BN587" s="365"/>
      <c r="BO587" s="365"/>
      <c r="BP587" s="204"/>
      <c r="BQ587" s="204"/>
      <c r="BR587" s="365"/>
      <c r="BS587" s="365"/>
      <c r="BT587" s="365"/>
      <c r="BU587" s="365"/>
      <c r="BV587" s="204"/>
      <c r="BW587" s="204"/>
      <c r="BX587" s="365"/>
      <c r="BY587" s="365"/>
      <c r="BZ587" s="365"/>
      <c r="CA587" s="365"/>
      <c r="CB587" s="204"/>
      <c r="CC587" s="204"/>
      <c r="CD587" s="365"/>
      <c r="CE587" s="365"/>
    </row>
    <row r="588" spans="1:84" x14ac:dyDescent="0.5">
      <c r="A588" s="259">
        <v>18045780</v>
      </c>
      <c r="B588" s="104" t="s">
        <v>363</v>
      </c>
      <c r="C588" s="105" t="s">
        <v>1376</v>
      </c>
      <c r="D588" s="106" t="s">
        <v>184</v>
      </c>
      <c r="E588" s="107" t="s">
        <v>185</v>
      </c>
      <c r="F588" s="108">
        <v>114</v>
      </c>
      <c r="G588" s="211">
        <v>43222</v>
      </c>
      <c r="H588" s="164">
        <v>18149</v>
      </c>
      <c r="I588" s="248" t="s">
        <v>869</v>
      </c>
      <c r="J588" s="122">
        <v>43223</v>
      </c>
      <c r="K588" s="547" t="s">
        <v>373</v>
      </c>
      <c r="L588" s="548" t="s">
        <v>342</v>
      </c>
      <c r="M588" s="104" t="s">
        <v>52</v>
      </c>
      <c r="N588" s="260">
        <v>478080</v>
      </c>
      <c r="O588" s="260">
        <v>33465.599999999999</v>
      </c>
      <c r="P588" s="260">
        <f t="shared" si="95"/>
        <v>511545.59999999998</v>
      </c>
      <c r="Q588" s="311">
        <v>35000</v>
      </c>
      <c r="R588" s="113" t="s">
        <v>567</v>
      </c>
      <c r="S588" s="114">
        <f>N588-Q588</f>
        <v>443080</v>
      </c>
      <c r="T588" s="115">
        <v>4</v>
      </c>
      <c r="U588" s="550">
        <f>S588*T588/100</f>
        <v>17723.2</v>
      </c>
      <c r="V588" s="551">
        <f>S588-U588</f>
        <v>425356.79999999999</v>
      </c>
      <c r="W588" s="552">
        <v>0.25</v>
      </c>
      <c r="X588" s="552">
        <f>V588*W588/100</f>
        <v>1063.3920000000001</v>
      </c>
      <c r="Y588" s="553">
        <v>0.2</v>
      </c>
      <c r="Z588" s="120">
        <f>V588*Y588/100</f>
        <v>850.71360000000004</v>
      </c>
      <c r="AA588" s="123">
        <v>18070240</v>
      </c>
      <c r="AB588" s="124">
        <v>248400</v>
      </c>
      <c r="AC588" s="260">
        <f t="shared" si="93"/>
        <v>17388</v>
      </c>
      <c r="AD588" s="260">
        <f t="shared" si="94"/>
        <v>265788</v>
      </c>
      <c r="AE588" s="126">
        <v>43345</v>
      </c>
      <c r="AF588" s="127" t="s">
        <v>869</v>
      </c>
      <c r="AG588" s="127"/>
      <c r="AH588" s="127"/>
      <c r="AI588" s="103" t="s">
        <v>1045</v>
      </c>
      <c r="AJ588" s="128">
        <v>1</v>
      </c>
      <c r="AK588" s="129" t="s">
        <v>593</v>
      </c>
      <c r="AL588" s="130"/>
      <c r="AM588" s="130" t="s">
        <v>1205</v>
      </c>
      <c r="AN588" s="131">
        <v>4</v>
      </c>
      <c r="AO588" s="132" t="s">
        <v>634</v>
      </c>
      <c r="AP588" s="1084">
        <v>2</v>
      </c>
      <c r="AQ588" s="1085" t="s">
        <v>608</v>
      </c>
      <c r="AR588" s="1086" t="s">
        <v>1205</v>
      </c>
      <c r="AS588" s="1086"/>
      <c r="AT588" s="1086">
        <v>8</v>
      </c>
      <c r="AU588" s="1087" t="s">
        <v>636</v>
      </c>
      <c r="AV588" s="128">
        <v>3</v>
      </c>
      <c r="AW588" s="123" t="s">
        <v>607</v>
      </c>
      <c r="AX588" s="131"/>
      <c r="AY588" s="131" t="s">
        <v>1205</v>
      </c>
      <c r="AZ588" s="131">
        <v>1</v>
      </c>
      <c r="BA588" s="169" t="s">
        <v>636</v>
      </c>
      <c r="BB588" s="361"/>
      <c r="BC588" s="361"/>
      <c r="BD588" s="128"/>
      <c r="BE588" s="128"/>
      <c r="BF588" s="361"/>
      <c r="BG588" s="133"/>
      <c r="BH588" s="361"/>
      <c r="BI588" s="361"/>
      <c r="BJ588" s="128"/>
      <c r="BK588" s="128"/>
      <c r="BL588" s="361"/>
      <c r="BM588" s="361"/>
      <c r="BN588" s="361"/>
      <c r="BO588" s="361"/>
      <c r="BP588" s="128"/>
      <c r="BQ588" s="128"/>
      <c r="BR588" s="361"/>
      <c r="BS588" s="361"/>
      <c r="BT588" s="361"/>
      <c r="BU588" s="361"/>
      <c r="BV588" s="128"/>
      <c r="BW588" s="128"/>
      <c r="BX588" s="361"/>
      <c r="BY588" s="361"/>
      <c r="BZ588" s="361"/>
      <c r="CA588" s="361"/>
      <c r="CB588" s="128"/>
      <c r="CC588" s="128"/>
      <c r="CD588" s="361"/>
      <c r="CE588" s="361"/>
      <c r="CF588" s="51" t="s">
        <v>1540</v>
      </c>
    </row>
    <row r="589" spans="1:84" x14ac:dyDescent="0.5">
      <c r="A589" s="262"/>
      <c r="B589" s="135"/>
      <c r="C589" s="136"/>
      <c r="D589" s="137"/>
      <c r="E589" s="138"/>
      <c r="F589" s="139"/>
      <c r="G589" s="170">
        <v>43222</v>
      </c>
      <c r="H589" s="251">
        <v>18150</v>
      </c>
      <c r="I589" s="252"/>
      <c r="J589" s="179">
        <v>43243</v>
      </c>
      <c r="K589" s="255"/>
      <c r="L589" s="300"/>
      <c r="M589" s="135"/>
      <c r="N589" s="253"/>
      <c r="O589" s="253"/>
      <c r="P589" s="253"/>
      <c r="Q589" s="143"/>
      <c r="R589" s="144"/>
      <c r="S589" s="145"/>
      <c r="T589" s="146"/>
      <c r="U589" s="529"/>
      <c r="V589" s="555"/>
      <c r="W589" s="556"/>
      <c r="X589" s="556"/>
      <c r="Y589" s="557"/>
      <c r="Z589" s="151"/>
      <c r="AA589" s="154"/>
      <c r="AB589" s="155"/>
      <c r="AC589" s="253"/>
      <c r="AD589" s="253"/>
      <c r="AE589" s="157"/>
      <c r="AF589" s="152"/>
      <c r="AG589" s="152"/>
      <c r="AH589" s="152"/>
      <c r="AI589" s="134"/>
      <c r="AJ589" s="158"/>
      <c r="AK589" s="159"/>
      <c r="AL589" s="160"/>
      <c r="AM589" s="160"/>
      <c r="AN589" s="161"/>
      <c r="AO589" s="162"/>
      <c r="AP589" s="158"/>
      <c r="AQ589" s="154"/>
      <c r="AR589" s="161"/>
      <c r="AS589" s="161"/>
      <c r="AT589" s="161"/>
      <c r="AU589" s="177"/>
      <c r="AV589" s="158"/>
      <c r="AW589" s="154"/>
      <c r="AX589" s="161"/>
      <c r="AY589" s="161"/>
      <c r="AZ589" s="161"/>
      <c r="BA589" s="177"/>
      <c r="BB589" s="458"/>
      <c r="BC589" s="458"/>
      <c r="BD589" s="158"/>
      <c r="BE589" s="158"/>
      <c r="BF589" s="458"/>
      <c r="BG589" s="163"/>
      <c r="BH589" s="458"/>
      <c r="BI589" s="458"/>
      <c r="BJ589" s="158"/>
      <c r="BK589" s="158"/>
      <c r="BL589" s="458"/>
      <c r="BM589" s="458"/>
      <c r="BN589" s="458"/>
      <c r="BO589" s="458"/>
      <c r="BP589" s="158"/>
      <c r="BQ589" s="158"/>
      <c r="BR589" s="458"/>
      <c r="BS589" s="458"/>
      <c r="BT589" s="458"/>
      <c r="BU589" s="458"/>
      <c r="BV589" s="158"/>
      <c r="BW589" s="158"/>
      <c r="BX589" s="458"/>
      <c r="BY589" s="458"/>
      <c r="BZ589" s="458"/>
      <c r="CA589" s="458"/>
      <c r="CB589" s="158"/>
      <c r="CC589" s="158"/>
      <c r="CD589" s="458"/>
      <c r="CE589" s="458"/>
    </row>
    <row r="590" spans="1:84" x14ac:dyDescent="0.5">
      <c r="A590" s="268"/>
      <c r="B590" s="181"/>
      <c r="C590" s="182"/>
      <c r="D590" s="183"/>
      <c r="E590" s="184"/>
      <c r="F590" s="185"/>
      <c r="G590" s="186">
        <v>43242</v>
      </c>
      <c r="H590" s="187">
        <v>18169</v>
      </c>
      <c r="I590" s="257"/>
      <c r="J590" s="181"/>
      <c r="K590" s="240"/>
      <c r="L590" s="558"/>
      <c r="M590" s="181"/>
      <c r="N590" s="237"/>
      <c r="O590" s="237"/>
      <c r="P590" s="237"/>
      <c r="Q590" s="190"/>
      <c r="R590" s="215"/>
      <c r="S590" s="216"/>
      <c r="T590" s="217"/>
      <c r="U590" s="544"/>
      <c r="V590" s="560"/>
      <c r="W590" s="561"/>
      <c r="X590" s="561"/>
      <c r="Y590" s="562"/>
      <c r="Z590" s="198"/>
      <c r="AA590" s="200"/>
      <c r="AB590" s="201"/>
      <c r="AC590" s="237"/>
      <c r="AD590" s="237"/>
      <c r="AE590" s="203"/>
      <c r="AF590" s="199"/>
      <c r="AG590" s="199"/>
      <c r="AH590" s="199"/>
      <c r="AI590" s="180"/>
      <c r="AJ590" s="204"/>
      <c r="AK590" s="205"/>
      <c r="AL590" s="206"/>
      <c r="AM590" s="206"/>
      <c r="AN590" s="207"/>
      <c r="AO590" s="208"/>
      <c r="AP590" s="204"/>
      <c r="AQ590" s="200"/>
      <c r="AR590" s="207"/>
      <c r="AS590" s="207"/>
      <c r="AT590" s="207"/>
      <c r="AU590" s="209"/>
      <c r="AV590" s="204"/>
      <c r="AW590" s="200"/>
      <c r="AX590" s="207"/>
      <c r="AY590" s="207"/>
      <c r="AZ590" s="207"/>
      <c r="BA590" s="209"/>
      <c r="BB590" s="365"/>
      <c r="BC590" s="365"/>
      <c r="BD590" s="204"/>
      <c r="BE590" s="204"/>
      <c r="BF590" s="365"/>
      <c r="BG590" s="210"/>
      <c r="BH590" s="365"/>
      <c r="BI590" s="365"/>
      <c r="BJ590" s="204"/>
      <c r="BK590" s="204"/>
      <c r="BL590" s="365"/>
      <c r="BM590" s="365"/>
      <c r="BN590" s="365"/>
      <c r="BO590" s="365"/>
      <c r="BP590" s="204"/>
      <c r="BQ590" s="204"/>
      <c r="BR590" s="365"/>
      <c r="BS590" s="365"/>
      <c r="BT590" s="365"/>
      <c r="BU590" s="365"/>
      <c r="BV590" s="204"/>
      <c r="BW590" s="204"/>
      <c r="BX590" s="365"/>
      <c r="BY590" s="365"/>
      <c r="BZ590" s="365"/>
      <c r="CA590" s="365"/>
      <c r="CB590" s="204"/>
      <c r="CC590" s="204"/>
      <c r="CD590" s="365"/>
      <c r="CE590" s="365"/>
    </row>
    <row r="591" spans="1:84" x14ac:dyDescent="0.5">
      <c r="A591" s="227">
        <v>18045779</v>
      </c>
      <c r="B591" s="22">
        <v>18040357</v>
      </c>
      <c r="C591" s="55"/>
      <c r="D591" s="56"/>
      <c r="E591" s="57"/>
      <c r="F591" s="58"/>
      <c r="G591" s="59"/>
      <c r="H591" s="60"/>
      <c r="I591" s="269" t="s">
        <v>869</v>
      </c>
      <c r="J591" s="59"/>
      <c r="K591" s="42" t="s">
        <v>374</v>
      </c>
      <c r="L591" s="520" t="s">
        <v>40</v>
      </c>
      <c r="M591" s="22" t="s">
        <v>51</v>
      </c>
      <c r="N591" s="63">
        <v>9000</v>
      </c>
      <c r="O591" s="63">
        <v>630</v>
      </c>
      <c r="P591" s="63">
        <f t="shared" si="95"/>
        <v>9630</v>
      </c>
      <c r="AA591" s="40">
        <v>18060212</v>
      </c>
      <c r="AB591" s="41">
        <v>9000</v>
      </c>
      <c r="AC591" s="63">
        <f t="shared" si="93"/>
        <v>630</v>
      </c>
      <c r="AD591" s="63">
        <f t="shared" si="94"/>
        <v>9630</v>
      </c>
      <c r="AE591" s="53">
        <v>43296</v>
      </c>
      <c r="AF591" s="39" t="s">
        <v>869</v>
      </c>
      <c r="AI591" s="21" t="s">
        <v>1075</v>
      </c>
      <c r="AJ591" s="44">
        <v>1</v>
      </c>
      <c r="AK591" s="45" t="s">
        <v>702</v>
      </c>
      <c r="AN591" s="47">
        <v>1</v>
      </c>
      <c r="AO591" s="48" t="s">
        <v>628</v>
      </c>
      <c r="AP591" s="356"/>
      <c r="AQ591" s="356"/>
      <c r="AR591" s="44"/>
      <c r="AS591" s="44"/>
      <c r="AT591" s="356"/>
      <c r="AU591" s="54"/>
      <c r="AV591" s="356"/>
      <c r="AW591" s="356"/>
      <c r="AX591" s="44"/>
      <c r="AY591" s="44"/>
      <c r="AZ591" s="356"/>
      <c r="BA591" s="54"/>
      <c r="BB591" s="356"/>
      <c r="BC591" s="356"/>
      <c r="BD591" s="44"/>
      <c r="BE591" s="44"/>
      <c r="BF591" s="356"/>
      <c r="BG591" s="54"/>
      <c r="BH591" s="356"/>
      <c r="BI591" s="356"/>
      <c r="BJ591" s="44"/>
      <c r="BK591" s="44"/>
      <c r="BL591" s="356"/>
      <c r="BM591" s="356"/>
      <c r="BN591" s="356"/>
      <c r="BO591" s="356"/>
      <c r="BP591" s="44"/>
      <c r="BQ591" s="44"/>
      <c r="BR591" s="356"/>
      <c r="BS591" s="356"/>
      <c r="BT591" s="356"/>
      <c r="BU591" s="356"/>
      <c r="BV591" s="44"/>
      <c r="BW591" s="44"/>
      <c r="BX591" s="356"/>
      <c r="BY591" s="356"/>
      <c r="BZ591" s="356"/>
      <c r="CA591" s="356"/>
      <c r="CB591" s="44"/>
      <c r="CC591" s="44"/>
      <c r="CD591" s="356"/>
      <c r="CE591" s="356"/>
    </row>
    <row r="592" spans="1:84" x14ac:dyDescent="0.5">
      <c r="A592" s="227">
        <v>18045778</v>
      </c>
      <c r="B592" s="22" t="s">
        <v>389</v>
      </c>
      <c r="C592" s="23" t="s">
        <v>1377</v>
      </c>
      <c r="D592" s="24" t="s">
        <v>184</v>
      </c>
      <c r="E592" s="25" t="s">
        <v>185</v>
      </c>
      <c r="F592" s="26">
        <v>128</v>
      </c>
      <c r="G592" s="62">
        <v>43256</v>
      </c>
      <c r="H592" s="27">
        <v>18184</v>
      </c>
      <c r="I592" s="39" t="s">
        <v>869</v>
      </c>
      <c r="J592" s="62">
        <v>43257</v>
      </c>
      <c r="K592" s="42" t="s">
        <v>375</v>
      </c>
      <c r="L592" s="520" t="s">
        <v>343</v>
      </c>
      <c r="M592" s="22" t="s">
        <v>50</v>
      </c>
      <c r="N592" s="63">
        <v>139692</v>
      </c>
      <c r="O592" s="63">
        <v>9778.44</v>
      </c>
      <c r="P592" s="63">
        <f t="shared" si="95"/>
        <v>149470.44</v>
      </c>
      <c r="X592" s="518">
        <v>419</v>
      </c>
      <c r="AA592" s="40">
        <v>18060192</v>
      </c>
      <c r="AB592" s="41">
        <v>139692</v>
      </c>
      <c r="AC592" s="64">
        <f t="shared" ref="AC592:AC598" si="96">AB592*7/100</f>
        <v>9778.44</v>
      </c>
      <c r="AD592" s="64">
        <f t="shared" ref="AD592:AD598" si="97">AB592+AC592</f>
        <v>149470.44</v>
      </c>
      <c r="AE592" s="53">
        <v>43256</v>
      </c>
      <c r="AF592" s="39" t="s">
        <v>869</v>
      </c>
      <c r="AI592" s="21" t="s">
        <v>970</v>
      </c>
      <c r="AJ592" s="44">
        <v>1</v>
      </c>
      <c r="AK592" s="45" t="s">
        <v>804</v>
      </c>
      <c r="AM592" s="46" t="s">
        <v>1205</v>
      </c>
      <c r="AN592" s="47">
        <v>1</v>
      </c>
      <c r="AO592" s="48" t="s">
        <v>634</v>
      </c>
      <c r="AP592" s="44">
        <v>2</v>
      </c>
      <c r="AQ592" s="40" t="s">
        <v>650</v>
      </c>
      <c r="AS592" s="47" t="s">
        <v>1205</v>
      </c>
      <c r="AT592" s="47">
        <v>2</v>
      </c>
      <c r="AU592" s="49" t="s">
        <v>634</v>
      </c>
      <c r="AV592" s="356"/>
      <c r="AW592" s="356"/>
      <c r="AX592" s="44"/>
      <c r="AY592" s="44"/>
      <c r="AZ592" s="356"/>
      <c r="BA592" s="54"/>
      <c r="BB592" s="356"/>
      <c r="BC592" s="356"/>
      <c r="BD592" s="44"/>
      <c r="BE592" s="44"/>
      <c r="BF592" s="356"/>
      <c r="BG592" s="54"/>
      <c r="BH592" s="356"/>
      <c r="BI592" s="356"/>
      <c r="BJ592" s="44"/>
      <c r="BK592" s="44"/>
      <c r="BL592" s="356"/>
      <c r="BM592" s="356"/>
      <c r="BN592" s="356"/>
      <c r="BO592" s="356"/>
      <c r="BP592" s="44"/>
      <c r="BQ592" s="44"/>
      <c r="BR592" s="356"/>
      <c r="BS592" s="356"/>
      <c r="BT592" s="356"/>
      <c r="BU592" s="356"/>
      <c r="BV592" s="44"/>
      <c r="BW592" s="44"/>
      <c r="BX592" s="356"/>
      <c r="BY592" s="356"/>
      <c r="BZ592" s="356"/>
      <c r="CA592" s="356"/>
      <c r="CB592" s="44"/>
      <c r="CC592" s="44"/>
      <c r="CD592" s="356"/>
      <c r="CE592" s="356"/>
    </row>
    <row r="593" spans="1:83" x14ac:dyDescent="0.5">
      <c r="A593" s="227">
        <v>18045777</v>
      </c>
      <c r="B593" s="22">
        <v>18040345</v>
      </c>
      <c r="C593" s="55"/>
      <c r="D593" s="56"/>
      <c r="E593" s="57"/>
      <c r="F593" s="58"/>
      <c r="G593" s="59"/>
      <c r="H593" s="60"/>
      <c r="I593" s="269"/>
      <c r="J593" s="59"/>
      <c r="K593" s="42" t="s">
        <v>376</v>
      </c>
      <c r="L593" s="520" t="s">
        <v>344</v>
      </c>
      <c r="M593" s="22" t="s">
        <v>51</v>
      </c>
      <c r="N593" s="63">
        <v>42200</v>
      </c>
      <c r="O593" s="63">
        <v>2954</v>
      </c>
      <c r="P593" s="63">
        <f t="shared" si="95"/>
        <v>45154</v>
      </c>
      <c r="AA593" s="40">
        <v>18040154</v>
      </c>
      <c r="AB593" s="41">
        <v>42200</v>
      </c>
      <c r="AC593" s="64">
        <f t="shared" si="96"/>
        <v>2954</v>
      </c>
      <c r="AD593" s="64">
        <f t="shared" si="97"/>
        <v>45154</v>
      </c>
      <c r="AE593" s="53">
        <v>43240</v>
      </c>
      <c r="AF593" s="39" t="s">
        <v>869</v>
      </c>
      <c r="AI593" s="21" t="s">
        <v>963</v>
      </c>
      <c r="AJ593" s="44">
        <v>1</v>
      </c>
      <c r="AK593" s="45" t="s">
        <v>704</v>
      </c>
      <c r="AN593" s="47">
        <v>1</v>
      </c>
      <c r="AO593" s="48" t="s">
        <v>628</v>
      </c>
      <c r="AP593" s="44">
        <v>2</v>
      </c>
      <c r="AQ593" s="40" t="s">
        <v>705</v>
      </c>
      <c r="AT593" s="47">
        <v>1</v>
      </c>
      <c r="AU593" s="49" t="s">
        <v>628</v>
      </c>
      <c r="AV593" s="44">
        <v>3</v>
      </c>
      <c r="AW593" s="40" t="s">
        <v>704</v>
      </c>
      <c r="AZ593" s="47">
        <v>1</v>
      </c>
      <c r="BA593" s="59"/>
      <c r="BB593" s="356"/>
      <c r="BC593" s="356"/>
      <c r="BD593" s="44"/>
      <c r="BE593" s="44"/>
      <c r="BF593" s="356"/>
      <c r="BG593" s="54"/>
      <c r="BH593" s="356"/>
      <c r="BI593" s="356"/>
      <c r="BJ593" s="44"/>
      <c r="BK593" s="44"/>
      <c r="BL593" s="356"/>
      <c r="BM593" s="356"/>
      <c r="BN593" s="356"/>
      <c r="BO593" s="356"/>
      <c r="BP593" s="44"/>
      <c r="BQ593" s="44"/>
      <c r="BR593" s="356"/>
      <c r="BS593" s="356"/>
      <c r="BT593" s="356"/>
      <c r="BU593" s="356"/>
      <c r="BV593" s="44"/>
      <c r="BW593" s="44"/>
      <c r="BX593" s="356"/>
      <c r="BY593" s="356"/>
      <c r="BZ593" s="356"/>
      <c r="CA593" s="356"/>
      <c r="CB593" s="44"/>
      <c r="CC593" s="44"/>
      <c r="CD593" s="356"/>
      <c r="CE593" s="356"/>
    </row>
    <row r="594" spans="1:83" x14ac:dyDescent="0.5">
      <c r="A594" s="227">
        <v>18045776</v>
      </c>
      <c r="B594" s="22" t="s">
        <v>390</v>
      </c>
      <c r="C594" s="23" t="s">
        <v>1378</v>
      </c>
      <c r="D594" s="24" t="s">
        <v>184</v>
      </c>
      <c r="E594" s="25" t="s">
        <v>185</v>
      </c>
      <c r="F594" s="26">
        <v>122</v>
      </c>
      <c r="G594" s="62">
        <v>43251</v>
      </c>
      <c r="H594" s="27">
        <v>18175</v>
      </c>
      <c r="I594" s="39" t="s">
        <v>869</v>
      </c>
      <c r="J594" s="62">
        <v>43252</v>
      </c>
      <c r="K594" s="42" t="s">
        <v>377</v>
      </c>
      <c r="L594" s="520" t="s">
        <v>345</v>
      </c>
      <c r="M594" s="22" t="s">
        <v>52</v>
      </c>
      <c r="N594" s="63">
        <v>15887.86</v>
      </c>
      <c r="O594" s="63">
        <v>1112.1500000000001</v>
      </c>
      <c r="P594" s="63">
        <f t="shared" si="95"/>
        <v>17000.010000000002</v>
      </c>
      <c r="U594" s="516">
        <v>584.39</v>
      </c>
      <c r="X594" s="518">
        <v>27.75</v>
      </c>
      <c r="AA594" s="40">
        <v>18050162</v>
      </c>
      <c r="AB594" s="41">
        <v>15887.86</v>
      </c>
      <c r="AC594" s="64">
        <f t="shared" si="96"/>
        <v>1112.1502</v>
      </c>
      <c r="AD594" s="64">
        <f t="shared" si="97"/>
        <v>17000.010200000001</v>
      </c>
      <c r="AE594" s="53">
        <v>43220</v>
      </c>
      <c r="AF594" s="39" t="s">
        <v>869</v>
      </c>
      <c r="AI594" s="21" t="s">
        <v>973</v>
      </c>
      <c r="AJ594" s="44">
        <v>1</v>
      </c>
      <c r="AK594" s="45" t="s">
        <v>801</v>
      </c>
      <c r="AM594" s="46" t="s">
        <v>1205</v>
      </c>
      <c r="AN594" s="47">
        <v>1</v>
      </c>
      <c r="AO594" s="48" t="s">
        <v>634</v>
      </c>
      <c r="AP594" s="356"/>
      <c r="AQ594" s="356"/>
      <c r="AR594" s="44"/>
      <c r="AS594" s="44"/>
      <c r="AT594" s="356"/>
      <c r="AU594" s="54"/>
      <c r="AV594" s="356"/>
      <c r="AW594" s="356"/>
      <c r="AX594" s="44"/>
      <c r="AY594" s="44"/>
      <c r="AZ594" s="356"/>
      <c r="BA594" s="54"/>
      <c r="BB594" s="356"/>
      <c r="BC594" s="356"/>
      <c r="BD594" s="44"/>
      <c r="BE594" s="44"/>
      <c r="BF594" s="356"/>
      <c r="BG594" s="54"/>
      <c r="BH594" s="356"/>
      <c r="BI594" s="356"/>
      <c r="BJ594" s="44"/>
      <c r="BK594" s="44"/>
      <c r="BL594" s="356"/>
      <c r="BM594" s="356"/>
      <c r="BN594" s="356"/>
      <c r="BO594" s="356"/>
      <c r="BP594" s="44"/>
      <c r="BQ594" s="44"/>
      <c r="BR594" s="356"/>
      <c r="BS594" s="356"/>
      <c r="BT594" s="356"/>
      <c r="BU594" s="356"/>
      <c r="BV594" s="44"/>
      <c r="BW594" s="44"/>
      <c r="BX594" s="356"/>
      <c r="BY594" s="356"/>
      <c r="BZ594" s="356"/>
      <c r="CA594" s="356"/>
      <c r="CB594" s="44"/>
      <c r="CC594" s="44"/>
      <c r="CD594" s="356"/>
      <c r="CE594" s="356"/>
    </row>
    <row r="595" spans="1:83" x14ac:dyDescent="0.5">
      <c r="A595" s="227">
        <v>18045775</v>
      </c>
      <c r="B595" s="22">
        <v>18040340</v>
      </c>
      <c r="C595" s="55"/>
      <c r="D595" s="56"/>
      <c r="E595" s="57"/>
      <c r="F595" s="58"/>
      <c r="G595" s="59"/>
      <c r="H595" s="60"/>
      <c r="K595" s="42" t="s">
        <v>21</v>
      </c>
      <c r="L595" s="520" t="s">
        <v>346</v>
      </c>
      <c r="M595" s="22" t="s">
        <v>51</v>
      </c>
      <c r="N595" s="63">
        <v>224600</v>
      </c>
      <c r="O595" s="63">
        <v>15722</v>
      </c>
      <c r="P595" s="63">
        <f t="shared" si="95"/>
        <v>240322</v>
      </c>
      <c r="AA595" s="40">
        <v>18060204</v>
      </c>
      <c r="AB595" s="41">
        <v>224600</v>
      </c>
      <c r="AC595" s="64">
        <f t="shared" si="96"/>
        <v>15722</v>
      </c>
      <c r="AD595" s="64">
        <f t="shared" si="97"/>
        <v>240322</v>
      </c>
      <c r="AE595" s="53">
        <v>43294</v>
      </c>
      <c r="AF595" s="39" t="s">
        <v>869</v>
      </c>
      <c r="AI595" s="21" t="s">
        <v>1029</v>
      </c>
      <c r="AJ595" s="44">
        <v>1</v>
      </c>
      <c r="AK595" s="45" t="s">
        <v>706</v>
      </c>
      <c r="AN595" s="47">
        <v>1</v>
      </c>
      <c r="AO595" s="48" t="s">
        <v>628</v>
      </c>
      <c r="AP595" s="356"/>
      <c r="AQ595" s="356"/>
      <c r="AR595" s="44"/>
      <c r="AS595" s="44"/>
      <c r="AT595" s="356"/>
      <c r="AU595" s="54"/>
      <c r="AV595" s="356"/>
      <c r="AW595" s="356"/>
      <c r="AX595" s="44"/>
      <c r="AY595" s="44"/>
      <c r="AZ595" s="356"/>
      <c r="BA595" s="54"/>
      <c r="BB595" s="356"/>
      <c r="BC595" s="356"/>
      <c r="BD595" s="44"/>
      <c r="BE595" s="44"/>
      <c r="BF595" s="356"/>
      <c r="BG595" s="54"/>
      <c r="BH595" s="356"/>
      <c r="BI595" s="356"/>
      <c r="BJ595" s="44"/>
      <c r="BK595" s="44"/>
      <c r="BL595" s="356"/>
      <c r="BM595" s="356"/>
      <c r="BN595" s="356"/>
      <c r="BO595" s="356"/>
      <c r="BP595" s="44"/>
      <c r="BQ595" s="44"/>
      <c r="BR595" s="356"/>
      <c r="BS595" s="356"/>
      <c r="BT595" s="356"/>
      <c r="BU595" s="356"/>
      <c r="BV595" s="44"/>
      <c r="BW595" s="44"/>
      <c r="BX595" s="356"/>
      <c r="BY595" s="356"/>
      <c r="BZ595" s="356"/>
      <c r="CA595" s="356"/>
      <c r="CB595" s="44"/>
      <c r="CC595" s="44"/>
      <c r="CD595" s="356"/>
      <c r="CE595" s="356"/>
    </row>
    <row r="596" spans="1:83" x14ac:dyDescent="0.5">
      <c r="A596" s="227">
        <v>18045774</v>
      </c>
      <c r="B596" s="22">
        <v>18040330</v>
      </c>
      <c r="C596" s="23" t="s">
        <v>1379</v>
      </c>
      <c r="D596" s="24" t="s">
        <v>184</v>
      </c>
      <c r="E596" s="25" t="s">
        <v>185</v>
      </c>
      <c r="F596" s="26" t="s">
        <v>1367</v>
      </c>
      <c r="G596" s="62">
        <v>43201</v>
      </c>
      <c r="H596" s="27">
        <v>18138</v>
      </c>
      <c r="I596" s="39" t="s">
        <v>869</v>
      </c>
      <c r="J596" s="62">
        <v>43201</v>
      </c>
      <c r="K596" s="42" t="s">
        <v>378</v>
      </c>
      <c r="L596" s="520" t="s">
        <v>347</v>
      </c>
      <c r="M596" s="22" t="s">
        <v>52</v>
      </c>
      <c r="N596" s="63">
        <v>10800</v>
      </c>
      <c r="O596" s="63">
        <v>756</v>
      </c>
      <c r="P596" s="63">
        <f t="shared" si="95"/>
        <v>11556</v>
      </c>
      <c r="X596" s="518">
        <v>24.84</v>
      </c>
      <c r="AA596" s="40">
        <v>18040145</v>
      </c>
      <c r="AB596" s="41">
        <v>10800</v>
      </c>
      <c r="AC596" s="64">
        <f t="shared" si="96"/>
        <v>756</v>
      </c>
      <c r="AD596" s="64">
        <f t="shared" si="97"/>
        <v>11556</v>
      </c>
      <c r="AE596" s="53">
        <v>43240</v>
      </c>
      <c r="AF596" s="39" t="s">
        <v>869</v>
      </c>
      <c r="AI596" s="21" t="s">
        <v>979</v>
      </c>
      <c r="AJ596" s="44">
        <v>1</v>
      </c>
      <c r="AK596" s="45" t="s">
        <v>829</v>
      </c>
      <c r="AM596" s="46" t="s">
        <v>1205</v>
      </c>
      <c r="AN596" s="47">
        <v>1</v>
      </c>
      <c r="AO596" s="48" t="s">
        <v>634</v>
      </c>
      <c r="AP596" s="356"/>
      <c r="AQ596" s="356"/>
      <c r="AR596" s="44"/>
      <c r="AS596" s="44"/>
      <c r="AT596" s="356"/>
      <c r="AU596" s="54"/>
      <c r="AV596" s="356"/>
      <c r="AW596" s="356"/>
      <c r="AX596" s="44"/>
      <c r="AY596" s="44"/>
      <c r="AZ596" s="356"/>
      <c r="BA596" s="54"/>
      <c r="BB596" s="356"/>
      <c r="BC596" s="356"/>
      <c r="BD596" s="44"/>
      <c r="BE596" s="44"/>
      <c r="BF596" s="356"/>
      <c r="BG596" s="54"/>
      <c r="BH596" s="356"/>
      <c r="BI596" s="356"/>
      <c r="BJ596" s="44"/>
      <c r="BK596" s="44"/>
      <c r="BL596" s="356"/>
      <c r="BM596" s="356"/>
      <c r="BN596" s="356"/>
      <c r="BO596" s="356"/>
      <c r="BP596" s="44"/>
      <c r="BQ596" s="44"/>
      <c r="BR596" s="356"/>
      <c r="BS596" s="356"/>
      <c r="BT596" s="356"/>
      <c r="BU596" s="356"/>
      <c r="BV596" s="44"/>
      <c r="BW596" s="44"/>
      <c r="BX596" s="356"/>
      <c r="BY596" s="356"/>
      <c r="BZ596" s="356"/>
      <c r="CA596" s="356"/>
      <c r="CB596" s="44"/>
      <c r="CC596" s="44"/>
      <c r="CD596" s="356"/>
      <c r="CE596" s="356"/>
    </row>
    <row r="597" spans="1:83" x14ac:dyDescent="0.5">
      <c r="A597" s="259">
        <v>18045773</v>
      </c>
      <c r="B597" s="104">
        <v>18040337</v>
      </c>
      <c r="C597" s="242"/>
      <c r="D597" s="243"/>
      <c r="E597" s="244"/>
      <c r="F597" s="245"/>
      <c r="G597" s="246"/>
      <c r="H597" s="247"/>
      <c r="I597" s="306"/>
      <c r="J597" s="246"/>
      <c r="K597" s="547" t="s">
        <v>379</v>
      </c>
      <c r="L597" s="548" t="s">
        <v>348</v>
      </c>
      <c r="M597" s="104" t="s">
        <v>51</v>
      </c>
      <c r="N597" s="260">
        <v>18000</v>
      </c>
      <c r="O597" s="260">
        <v>1260</v>
      </c>
      <c r="P597" s="260">
        <f t="shared" si="95"/>
        <v>19260</v>
      </c>
      <c r="Q597" s="311"/>
      <c r="R597" s="113"/>
      <c r="S597" s="114"/>
      <c r="T597" s="115"/>
      <c r="U597" s="550"/>
      <c r="V597" s="551"/>
      <c r="W597" s="552"/>
      <c r="X597" s="552"/>
      <c r="Y597" s="553"/>
      <c r="Z597" s="120"/>
      <c r="AA597" s="771">
        <v>18060213</v>
      </c>
      <c r="AB597" s="819">
        <v>18000</v>
      </c>
      <c r="AC597" s="820">
        <f t="shared" si="96"/>
        <v>1260</v>
      </c>
      <c r="AD597" s="821">
        <f t="shared" si="97"/>
        <v>19260</v>
      </c>
      <c r="AE597" s="822">
        <v>43296</v>
      </c>
      <c r="AF597" s="775"/>
      <c r="AG597" s="775"/>
      <c r="AH597" s="775" t="s">
        <v>869</v>
      </c>
      <c r="AI597" s="103"/>
      <c r="AJ597" s="128">
        <v>1</v>
      </c>
      <c r="AK597" s="129" t="s">
        <v>707</v>
      </c>
      <c r="AL597" s="130"/>
      <c r="AM597" s="130"/>
      <c r="AN597" s="131">
        <v>1</v>
      </c>
      <c r="AO597" s="132" t="s">
        <v>628</v>
      </c>
      <c r="AP597" s="361"/>
      <c r="AQ597" s="361"/>
      <c r="AR597" s="128"/>
      <c r="AS597" s="128"/>
      <c r="AT597" s="361"/>
      <c r="AU597" s="133"/>
      <c r="AV597" s="361"/>
      <c r="AW597" s="361"/>
      <c r="AX597" s="128"/>
      <c r="AY597" s="128"/>
      <c r="AZ597" s="361"/>
      <c r="BA597" s="133"/>
      <c r="BB597" s="361"/>
      <c r="BC597" s="361"/>
      <c r="BD597" s="128"/>
      <c r="BE597" s="128"/>
      <c r="BF597" s="361"/>
      <c r="BG597" s="133"/>
      <c r="BH597" s="361"/>
      <c r="BI597" s="361"/>
      <c r="BJ597" s="128"/>
      <c r="BK597" s="128"/>
      <c r="BL597" s="361"/>
      <c r="BM597" s="361"/>
      <c r="BN597" s="361"/>
      <c r="BO597" s="361"/>
      <c r="BP597" s="128"/>
      <c r="BQ597" s="128"/>
      <c r="BR597" s="361"/>
      <c r="BS597" s="361"/>
      <c r="BT597" s="361"/>
      <c r="BU597" s="361"/>
      <c r="BV597" s="128"/>
      <c r="BW597" s="128"/>
      <c r="BX597" s="361"/>
      <c r="BY597" s="361"/>
      <c r="BZ597" s="361"/>
      <c r="CA597" s="361"/>
      <c r="CB597" s="128"/>
      <c r="CC597" s="128"/>
      <c r="CD597" s="361"/>
      <c r="CE597" s="361"/>
    </row>
    <row r="598" spans="1:83" x14ac:dyDescent="0.5">
      <c r="A598" s="268"/>
      <c r="B598" s="181"/>
      <c r="C598" s="285"/>
      <c r="D598" s="286"/>
      <c r="E598" s="287"/>
      <c r="F598" s="288"/>
      <c r="G598" s="289"/>
      <c r="H598" s="290"/>
      <c r="I598" s="832"/>
      <c r="J598" s="289"/>
      <c r="K598" s="240"/>
      <c r="L598" s="558"/>
      <c r="M598" s="181"/>
      <c r="N598" s="237"/>
      <c r="O598" s="237"/>
      <c r="P598" s="237"/>
      <c r="Q598" s="190"/>
      <c r="R598" s="215"/>
      <c r="S598" s="216"/>
      <c r="T598" s="217"/>
      <c r="U598" s="544"/>
      <c r="V598" s="560"/>
      <c r="W598" s="561"/>
      <c r="X598" s="561"/>
      <c r="Y598" s="562"/>
      <c r="Z598" s="198"/>
      <c r="AA598" s="200" t="s">
        <v>1875</v>
      </c>
      <c r="AB598" s="201">
        <v>18000</v>
      </c>
      <c r="AC598" s="237">
        <f t="shared" si="96"/>
        <v>1260</v>
      </c>
      <c r="AD598" s="202">
        <f t="shared" si="97"/>
        <v>19260</v>
      </c>
      <c r="AE598" s="203">
        <v>43553</v>
      </c>
      <c r="AF598" s="199" t="s">
        <v>869</v>
      </c>
      <c r="AG598" s="199"/>
      <c r="AH598" s="199"/>
      <c r="AI598" s="180" t="s">
        <v>2728</v>
      </c>
      <c r="AJ598" s="204"/>
      <c r="AK598" s="205"/>
      <c r="AL598" s="206"/>
      <c r="AM598" s="206"/>
      <c r="AN598" s="207"/>
      <c r="AO598" s="208"/>
      <c r="AP598" s="365"/>
      <c r="AQ598" s="365"/>
      <c r="AR598" s="204"/>
      <c r="AS598" s="204"/>
      <c r="AT598" s="365"/>
      <c r="AU598" s="210"/>
      <c r="AV598" s="365"/>
      <c r="AW598" s="365"/>
      <c r="AX598" s="204"/>
      <c r="AY598" s="204"/>
      <c r="AZ598" s="365"/>
      <c r="BA598" s="210"/>
      <c r="BB598" s="365"/>
      <c r="BC598" s="365"/>
      <c r="BD598" s="204"/>
      <c r="BE598" s="204"/>
      <c r="BF598" s="365"/>
      <c r="BG598" s="210"/>
      <c r="BH598" s="365"/>
      <c r="BI598" s="365"/>
      <c r="BJ598" s="204"/>
      <c r="BK598" s="204"/>
      <c r="BL598" s="365"/>
      <c r="BM598" s="365"/>
      <c r="BN598" s="365"/>
      <c r="BO598" s="365"/>
      <c r="BP598" s="204"/>
      <c r="BQ598" s="204"/>
      <c r="BR598" s="365"/>
      <c r="BS598" s="365"/>
      <c r="BT598" s="365"/>
      <c r="BU598" s="365"/>
      <c r="BV598" s="204"/>
      <c r="BW598" s="204"/>
      <c r="BX598" s="365"/>
      <c r="BY598" s="365"/>
      <c r="BZ598" s="365"/>
      <c r="CA598" s="365"/>
      <c r="CB598" s="204"/>
      <c r="CC598" s="204"/>
      <c r="CD598" s="365"/>
      <c r="CE598" s="365"/>
    </row>
    <row r="599" spans="1:83" s="95" customFormat="1" x14ac:dyDescent="0.5">
      <c r="A599" s="65">
        <v>18045772</v>
      </c>
      <c r="B599" s="66">
        <v>18040336</v>
      </c>
      <c r="C599" s="312"/>
      <c r="D599" s="56"/>
      <c r="E599" s="314"/>
      <c r="F599" s="315"/>
      <c r="G599" s="316"/>
      <c r="H599" s="317"/>
      <c r="I599" s="835"/>
      <c r="J599" s="316"/>
      <c r="K599" s="86" t="s">
        <v>379</v>
      </c>
      <c r="L599" s="589" t="s">
        <v>349</v>
      </c>
      <c r="M599" s="66" t="s">
        <v>51</v>
      </c>
      <c r="N599" s="590">
        <v>85000</v>
      </c>
      <c r="O599" s="590">
        <v>5950</v>
      </c>
      <c r="P599" s="590">
        <f t="shared" si="95"/>
        <v>90950</v>
      </c>
      <c r="Q599" s="74"/>
      <c r="R599" s="75"/>
      <c r="S599" s="76"/>
      <c r="T599" s="77"/>
      <c r="U599" s="591"/>
      <c r="V599" s="592"/>
      <c r="W599" s="593"/>
      <c r="X599" s="593"/>
      <c r="Y599" s="594"/>
      <c r="Z599" s="82"/>
      <c r="AA599" s="84"/>
      <c r="AB599" s="85"/>
      <c r="AC599" s="86"/>
      <c r="AD599" s="86"/>
      <c r="AE599" s="87"/>
      <c r="AF599" s="83"/>
      <c r="AG599" s="83"/>
      <c r="AH599" s="83"/>
      <c r="AI599" s="65"/>
      <c r="AJ599" s="44">
        <v>1</v>
      </c>
      <c r="AK599" s="45" t="s">
        <v>708</v>
      </c>
      <c r="AL599" s="46"/>
      <c r="AM599" s="46"/>
      <c r="AN599" s="47">
        <v>1</v>
      </c>
      <c r="AO599" s="48" t="s">
        <v>628</v>
      </c>
      <c r="AP599" s="44">
        <v>2</v>
      </c>
      <c r="AQ599" s="40" t="s">
        <v>708</v>
      </c>
      <c r="AR599" s="47"/>
      <c r="AS599" s="47"/>
      <c r="AT599" s="47">
        <v>1</v>
      </c>
      <c r="AU599" s="49" t="s">
        <v>628</v>
      </c>
      <c r="AV599" s="356"/>
      <c r="AW599" s="356"/>
      <c r="AX599" s="44"/>
      <c r="AY599" s="44"/>
      <c r="AZ599" s="356"/>
      <c r="BA599" s="54"/>
      <c r="BB599" s="356"/>
      <c r="BC599" s="356"/>
      <c r="BD599" s="44"/>
      <c r="BE599" s="44"/>
      <c r="BF599" s="356"/>
      <c r="BG599" s="54"/>
      <c r="BH599" s="356"/>
      <c r="BI599" s="356"/>
      <c r="BJ599" s="44"/>
      <c r="BK599" s="44"/>
      <c r="BL599" s="356"/>
      <c r="BM599" s="356"/>
      <c r="BN599" s="356"/>
      <c r="BO599" s="356"/>
      <c r="BP599" s="44"/>
      <c r="BQ599" s="44"/>
      <c r="BR599" s="356"/>
      <c r="BS599" s="356"/>
      <c r="BT599" s="356"/>
      <c r="BU599" s="356"/>
      <c r="BV599" s="44"/>
      <c r="BW599" s="44"/>
      <c r="BX599" s="356"/>
      <c r="BY599" s="356"/>
      <c r="BZ599" s="356"/>
      <c r="CA599" s="356"/>
      <c r="CB599" s="44"/>
      <c r="CC599" s="44"/>
      <c r="CD599" s="356"/>
      <c r="CE599" s="356"/>
    </row>
    <row r="600" spans="1:83" x14ac:dyDescent="0.5">
      <c r="A600" s="259">
        <v>18045771</v>
      </c>
      <c r="B600" s="104">
        <v>18040334</v>
      </c>
      <c r="C600" s="105" t="s">
        <v>1380</v>
      </c>
      <c r="D600" s="106" t="s">
        <v>184</v>
      </c>
      <c r="E600" s="107" t="s">
        <v>185</v>
      </c>
      <c r="F600" s="108">
        <v>109</v>
      </c>
      <c r="G600" s="122">
        <v>43234</v>
      </c>
      <c r="H600" s="109">
        <v>18162</v>
      </c>
      <c r="I600" s="127" t="s">
        <v>869</v>
      </c>
      <c r="J600" s="122">
        <v>43235</v>
      </c>
      <c r="K600" s="547" t="s">
        <v>380</v>
      </c>
      <c r="L600" s="548" t="s">
        <v>350</v>
      </c>
      <c r="M600" s="104" t="s">
        <v>52</v>
      </c>
      <c r="N600" s="260">
        <v>88785.05</v>
      </c>
      <c r="O600" s="260">
        <v>6214.95</v>
      </c>
      <c r="P600" s="260">
        <f t="shared" ref="P600:P611" si="98">SUM(N600:O600)</f>
        <v>95000</v>
      </c>
      <c r="Q600" s="311"/>
      <c r="R600" s="113"/>
      <c r="S600" s="114"/>
      <c r="T600" s="115"/>
      <c r="U600" s="550">
        <v>4439.25</v>
      </c>
      <c r="V600" s="551"/>
      <c r="W600" s="552"/>
      <c r="X600" s="552">
        <v>219.29</v>
      </c>
      <c r="Y600" s="553"/>
      <c r="Z600" s="120"/>
      <c r="AA600" s="229">
        <v>18050171</v>
      </c>
      <c r="AB600" s="230">
        <v>62149.54</v>
      </c>
      <c r="AC600" s="234">
        <f t="shared" ref="AC600:AC608" si="99">AB600*7/100</f>
        <v>4350.4678000000004</v>
      </c>
      <c r="AD600" s="234">
        <f t="shared" ref="AD600:AD609" si="100">AB600+AC600</f>
        <v>66500.007800000007</v>
      </c>
      <c r="AE600" s="221">
        <v>43235</v>
      </c>
      <c r="AF600" s="121" t="s">
        <v>869</v>
      </c>
      <c r="AG600" s="121"/>
      <c r="AH600" s="121"/>
      <c r="AI600" s="222" t="s">
        <v>981</v>
      </c>
      <c r="AJ600" s="128">
        <v>1</v>
      </c>
      <c r="AK600" s="129" t="s">
        <v>593</v>
      </c>
      <c r="AL600" s="130"/>
      <c r="AM600" s="130" t="s">
        <v>1205</v>
      </c>
      <c r="AN600" s="131">
        <v>4</v>
      </c>
      <c r="AO600" s="132" t="s">
        <v>634</v>
      </c>
      <c r="AP600" s="361"/>
      <c r="AQ600" s="361"/>
      <c r="AR600" s="128"/>
      <c r="AS600" s="128"/>
      <c r="AT600" s="361"/>
      <c r="AU600" s="133"/>
      <c r="AV600" s="361"/>
      <c r="AW600" s="361"/>
      <c r="AX600" s="128"/>
      <c r="AY600" s="128"/>
      <c r="AZ600" s="361"/>
      <c r="BA600" s="133"/>
      <c r="BB600" s="361"/>
      <c r="BC600" s="361"/>
      <c r="BD600" s="128"/>
      <c r="BE600" s="128"/>
      <c r="BF600" s="361"/>
      <c r="BG600" s="133"/>
      <c r="BH600" s="361"/>
      <c r="BI600" s="361"/>
      <c r="BJ600" s="128"/>
      <c r="BK600" s="128"/>
      <c r="BL600" s="361"/>
      <c r="BM600" s="361"/>
      <c r="BN600" s="361"/>
      <c r="BO600" s="361"/>
      <c r="BP600" s="128"/>
      <c r="BQ600" s="128"/>
      <c r="BR600" s="361"/>
      <c r="BS600" s="361"/>
      <c r="BT600" s="361"/>
      <c r="BU600" s="361"/>
      <c r="BV600" s="128"/>
      <c r="BW600" s="128"/>
      <c r="BX600" s="361"/>
      <c r="BY600" s="361"/>
      <c r="BZ600" s="361"/>
      <c r="CA600" s="361"/>
      <c r="CB600" s="128"/>
      <c r="CC600" s="128"/>
      <c r="CD600" s="128"/>
      <c r="CE600" s="128"/>
    </row>
    <row r="601" spans="1:83" x14ac:dyDescent="0.5">
      <c r="A601" s="268"/>
      <c r="B601" s="181"/>
      <c r="C601" s="182"/>
      <c r="D601" s="183"/>
      <c r="E601" s="184"/>
      <c r="F601" s="185"/>
      <c r="G601" s="186">
        <v>43234</v>
      </c>
      <c r="H601" s="187">
        <v>18163</v>
      </c>
      <c r="I601" s="199"/>
      <c r="J601" s="186"/>
      <c r="K601" s="240"/>
      <c r="L601" s="240"/>
      <c r="M601" s="181"/>
      <c r="N601" s="237"/>
      <c r="O601" s="237"/>
      <c r="P601" s="237"/>
      <c r="Q601" s="190"/>
      <c r="R601" s="215"/>
      <c r="S601" s="216"/>
      <c r="T601" s="217"/>
      <c r="U601" s="544"/>
      <c r="V601" s="560"/>
      <c r="W601" s="561"/>
      <c r="X601" s="561"/>
      <c r="Y601" s="562"/>
      <c r="Z601" s="198"/>
      <c r="AA601" s="200">
        <v>18050172</v>
      </c>
      <c r="AB601" s="201">
        <v>26635.52</v>
      </c>
      <c r="AC601" s="238">
        <f t="shared" si="99"/>
        <v>1864.4864000000002</v>
      </c>
      <c r="AD601" s="238">
        <f t="shared" si="100"/>
        <v>28500.006400000002</v>
      </c>
      <c r="AE601" s="203">
        <v>43235</v>
      </c>
      <c r="AF601" s="199" t="s">
        <v>869</v>
      </c>
      <c r="AG601" s="199"/>
      <c r="AH601" s="199"/>
      <c r="AI601" s="180" t="s">
        <v>982</v>
      </c>
      <c r="AJ601" s="204"/>
      <c r="AK601" s="205"/>
      <c r="AL601" s="206"/>
      <c r="AM601" s="206"/>
      <c r="AN601" s="207"/>
      <c r="AO601" s="208"/>
      <c r="AP601" s="365"/>
      <c r="AQ601" s="365"/>
      <c r="AR601" s="204"/>
      <c r="AS601" s="204"/>
      <c r="AT601" s="365"/>
      <c r="AU601" s="210"/>
      <c r="AV601" s="365"/>
      <c r="AW601" s="365"/>
      <c r="AX601" s="204"/>
      <c r="AY601" s="204"/>
      <c r="AZ601" s="365"/>
      <c r="BA601" s="210"/>
      <c r="BB601" s="365"/>
      <c r="BC601" s="365"/>
      <c r="BD601" s="204"/>
      <c r="BE601" s="204"/>
      <c r="BF601" s="365"/>
      <c r="BG601" s="210"/>
      <c r="BH601" s="365"/>
      <c r="BI601" s="365"/>
      <c r="BJ601" s="204"/>
      <c r="BK601" s="204"/>
      <c r="BL601" s="365"/>
      <c r="BM601" s="365"/>
      <c r="BN601" s="365"/>
      <c r="BO601" s="365"/>
      <c r="BP601" s="204"/>
      <c r="BQ601" s="204"/>
      <c r="BR601" s="365"/>
      <c r="BS601" s="365"/>
      <c r="BT601" s="365"/>
      <c r="BU601" s="365"/>
      <c r="BV601" s="204"/>
      <c r="BW601" s="204"/>
      <c r="BX601" s="365"/>
      <c r="BY601" s="365"/>
      <c r="BZ601" s="365"/>
      <c r="CA601" s="365"/>
      <c r="CB601" s="204"/>
      <c r="CC601" s="204"/>
      <c r="CD601" s="204"/>
      <c r="CE601" s="204"/>
    </row>
    <row r="602" spans="1:83" x14ac:dyDescent="0.5">
      <c r="A602" s="259">
        <v>18045770</v>
      </c>
      <c r="B602" s="104" t="s">
        <v>391</v>
      </c>
      <c r="C602" s="105" t="s">
        <v>1381</v>
      </c>
      <c r="D602" s="106" t="s">
        <v>184</v>
      </c>
      <c r="E602" s="107" t="s">
        <v>185</v>
      </c>
      <c r="F602" s="108">
        <v>104</v>
      </c>
      <c r="G602" s="122">
        <v>43222</v>
      </c>
      <c r="H602" s="109">
        <v>18147</v>
      </c>
      <c r="I602" s="127" t="s">
        <v>869</v>
      </c>
      <c r="J602" s="122">
        <v>43223</v>
      </c>
      <c r="K602" s="547" t="s">
        <v>380</v>
      </c>
      <c r="L602" s="548" t="s">
        <v>351</v>
      </c>
      <c r="M602" s="104" t="s">
        <v>52</v>
      </c>
      <c r="N602" s="260">
        <v>88785.05</v>
      </c>
      <c r="O602" s="260">
        <v>6214.95</v>
      </c>
      <c r="P602" s="260">
        <f t="shared" si="98"/>
        <v>95000</v>
      </c>
      <c r="Q602" s="311"/>
      <c r="R602" s="113"/>
      <c r="S602" s="114"/>
      <c r="T602" s="115"/>
      <c r="U602" s="550">
        <v>4439.25</v>
      </c>
      <c r="V602" s="551"/>
      <c r="W602" s="552"/>
      <c r="X602" s="552">
        <v>219.29</v>
      </c>
      <c r="Y602" s="553"/>
      <c r="Z602" s="120"/>
      <c r="AA602" s="229">
        <v>18040148</v>
      </c>
      <c r="AB602" s="230">
        <v>26635.52</v>
      </c>
      <c r="AC602" s="234">
        <f t="shared" si="99"/>
        <v>1864.4864000000002</v>
      </c>
      <c r="AD602" s="234">
        <f t="shared" si="100"/>
        <v>28500.006400000002</v>
      </c>
      <c r="AE602" s="221">
        <v>43210</v>
      </c>
      <c r="AF602" s="121" t="s">
        <v>869</v>
      </c>
      <c r="AG602" s="121"/>
      <c r="AH602" s="121"/>
      <c r="AI602" s="222" t="s">
        <v>990</v>
      </c>
      <c r="AJ602" s="128">
        <v>1</v>
      </c>
      <c r="AK602" s="129" t="s">
        <v>593</v>
      </c>
      <c r="AL602" s="130"/>
      <c r="AM602" s="130" t="s">
        <v>1205</v>
      </c>
      <c r="AN602" s="131">
        <v>4</v>
      </c>
      <c r="AO602" s="132" t="s">
        <v>634</v>
      </c>
      <c r="AP602" s="361"/>
      <c r="AQ602" s="361"/>
      <c r="AR602" s="128"/>
      <c r="AS602" s="128"/>
      <c r="AT602" s="361"/>
      <c r="AU602" s="133"/>
      <c r="AV602" s="361"/>
      <c r="AW602" s="361"/>
      <c r="AX602" s="128"/>
      <c r="AY602" s="128"/>
      <c r="AZ602" s="361"/>
      <c r="BA602" s="133"/>
      <c r="BB602" s="361"/>
      <c r="BC602" s="361"/>
      <c r="BD602" s="128"/>
      <c r="BE602" s="128"/>
      <c r="BF602" s="361"/>
      <c r="BG602" s="133"/>
      <c r="BH602" s="361"/>
      <c r="BI602" s="361"/>
      <c r="BJ602" s="128"/>
      <c r="BK602" s="128"/>
      <c r="BL602" s="361"/>
      <c r="BM602" s="361"/>
      <c r="BN602" s="361"/>
      <c r="BO602" s="361"/>
      <c r="BP602" s="128"/>
      <c r="BQ602" s="128"/>
      <c r="BR602" s="361"/>
      <c r="BS602" s="361"/>
      <c r="BT602" s="361"/>
      <c r="BU602" s="361"/>
      <c r="BV602" s="128"/>
      <c r="BW602" s="128"/>
      <c r="BX602" s="361"/>
      <c r="BY602" s="361"/>
      <c r="BZ602" s="361"/>
      <c r="CA602" s="361"/>
      <c r="CB602" s="128"/>
      <c r="CC602" s="128"/>
      <c r="CD602" s="361"/>
      <c r="CE602" s="361"/>
    </row>
    <row r="603" spans="1:83" x14ac:dyDescent="0.5">
      <c r="A603" s="268"/>
      <c r="B603" s="181"/>
      <c r="C603" s="182"/>
      <c r="D603" s="183"/>
      <c r="E603" s="184"/>
      <c r="F603" s="185"/>
      <c r="G603" s="186">
        <v>43222</v>
      </c>
      <c r="H603" s="187">
        <v>18148</v>
      </c>
      <c r="I603" s="199"/>
      <c r="J603" s="186"/>
      <c r="K603" s="240"/>
      <c r="L603" s="558"/>
      <c r="M603" s="181"/>
      <c r="N603" s="237"/>
      <c r="O603" s="237"/>
      <c r="P603" s="237"/>
      <c r="Q603" s="190"/>
      <c r="R603" s="215"/>
      <c r="S603" s="216"/>
      <c r="T603" s="217"/>
      <c r="U603" s="544"/>
      <c r="V603" s="560"/>
      <c r="W603" s="561"/>
      <c r="X603" s="561"/>
      <c r="Y603" s="562"/>
      <c r="Z603" s="198"/>
      <c r="AA603" s="200">
        <v>18040149</v>
      </c>
      <c r="AB603" s="201">
        <v>62149.54</v>
      </c>
      <c r="AC603" s="238">
        <f t="shared" si="99"/>
        <v>4350.4678000000004</v>
      </c>
      <c r="AD603" s="238">
        <f t="shared" si="100"/>
        <v>66500.007800000007</v>
      </c>
      <c r="AE603" s="203">
        <v>43210</v>
      </c>
      <c r="AF603" s="199" t="s">
        <v>869</v>
      </c>
      <c r="AG603" s="199"/>
      <c r="AH603" s="199"/>
      <c r="AI603" s="180" t="s">
        <v>991</v>
      </c>
      <c r="AJ603" s="204"/>
      <c r="AK603" s="205"/>
      <c r="AL603" s="206"/>
      <c r="AM603" s="206"/>
      <c r="AN603" s="207"/>
      <c r="AO603" s="208"/>
      <c r="AP603" s="365"/>
      <c r="AQ603" s="365"/>
      <c r="AR603" s="204"/>
      <c r="AS603" s="204"/>
      <c r="AT603" s="365"/>
      <c r="AU603" s="210"/>
      <c r="AV603" s="365"/>
      <c r="AW603" s="365"/>
      <c r="AX603" s="204"/>
      <c r="AY603" s="204"/>
      <c r="AZ603" s="365"/>
      <c r="BA603" s="210"/>
      <c r="BB603" s="365"/>
      <c r="BC603" s="365"/>
      <c r="BD603" s="204"/>
      <c r="BE603" s="204"/>
      <c r="BF603" s="365"/>
      <c r="BG603" s="210"/>
      <c r="BH603" s="365"/>
      <c r="BI603" s="365"/>
      <c r="BJ603" s="204"/>
      <c r="BK603" s="204"/>
      <c r="BL603" s="365"/>
      <c r="BM603" s="365"/>
      <c r="BN603" s="365"/>
      <c r="BO603" s="365"/>
      <c r="BP603" s="204"/>
      <c r="BQ603" s="204"/>
      <c r="BR603" s="365"/>
      <c r="BS603" s="365"/>
      <c r="BT603" s="365"/>
      <c r="BU603" s="365"/>
      <c r="BV603" s="204"/>
      <c r="BW603" s="204"/>
      <c r="BX603" s="365"/>
      <c r="BY603" s="365"/>
      <c r="BZ603" s="365"/>
      <c r="CA603" s="365"/>
      <c r="CB603" s="204"/>
      <c r="CC603" s="204"/>
      <c r="CD603" s="365"/>
      <c r="CE603" s="365"/>
    </row>
    <row r="604" spans="1:83" x14ac:dyDescent="0.5">
      <c r="A604" s="259">
        <v>18045769</v>
      </c>
      <c r="B604" s="104">
        <v>18040335</v>
      </c>
      <c r="C604" s="105" t="s">
        <v>1382</v>
      </c>
      <c r="D604" s="106" t="s">
        <v>184</v>
      </c>
      <c r="E604" s="107" t="s">
        <v>185</v>
      </c>
      <c r="F604" s="108" t="s">
        <v>1365</v>
      </c>
      <c r="G604" s="104"/>
      <c r="H604" s="109"/>
      <c r="I604" s="127" t="s">
        <v>869</v>
      </c>
      <c r="J604" s="122">
        <v>43210</v>
      </c>
      <c r="K604" s="547" t="s">
        <v>380</v>
      </c>
      <c r="L604" s="548" t="s">
        <v>352</v>
      </c>
      <c r="M604" s="104" t="s">
        <v>52</v>
      </c>
      <c r="N604" s="260">
        <v>88785.05</v>
      </c>
      <c r="O604" s="260">
        <v>6214.95</v>
      </c>
      <c r="P604" s="260">
        <f t="shared" si="98"/>
        <v>95000</v>
      </c>
      <c r="Q604" s="311"/>
      <c r="R604" s="113"/>
      <c r="S604" s="114"/>
      <c r="T604" s="115"/>
      <c r="U604" s="550">
        <v>4439.25</v>
      </c>
      <c r="V604" s="551"/>
      <c r="W604" s="552"/>
      <c r="X604" s="552">
        <v>219.29</v>
      </c>
      <c r="Y604" s="553"/>
      <c r="Z604" s="120"/>
      <c r="AA604" s="229">
        <v>18040138</v>
      </c>
      <c r="AB604" s="230">
        <v>62149.54</v>
      </c>
      <c r="AC604" s="233">
        <f t="shared" si="99"/>
        <v>4350.4678000000004</v>
      </c>
      <c r="AD604" s="233">
        <f t="shared" si="100"/>
        <v>66500.007800000007</v>
      </c>
      <c r="AE604" s="221">
        <v>43201</v>
      </c>
      <c r="AF604" s="121" t="s">
        <v>869</v>
      </c>
      <c r="AG604" s="121"/>
      <c r="AH604" s="121"/>
      <c r="AI604" s="222" t="s">
        <v>1001</v>
      </c>
      <c r="AJ604" s="128">
        <v>1</v>
      </c>
      <c r="AK604" s="129" t="s">
        <v>593</v>
      </c>
      <c r="AL604" s="130"/>
      <c r="AM604" s="130" t="s">
        <v>1205</v>
      </c>
      <c r="AN604" s="131">
        <v>4</v>
      </c>
      <c r="AO604" s="132" t="s">
        <v>634</v>
      </c>
      <c r="AP604" s="361"/>
      <c r="AQ604" s="361"/>
      <c r="AR604" s="128"/>
      <c r="AS604" s="128"/>
      <c r="AT604" s="361"/>
      <c r="AU604" s="133"/>
      <c r="AV604" s="361"/>
      <c r="AW604" s="361"/>
      <c r="AX604" s="128"/>
      <c r="AY604" s="128"/>
      <c r="AZ604" s="361"/>
      <c r="BA604" s="133"/>
      <c r="BB604" s="361"/>
      <c r="BC604" s="361"/>
      <c r="BD604" s="128"/>
      <c r="BE604" s="128"/>
      <c r="BF604" s="361"/>
      <c r="BG604" s="133"/>
      <c r="BH604" s="361"/>
      <c r="BI604" s="361"/>
      <c r="BJ604" s="128"/>
      <c r="BK604" s="128"/>
      <c r="BL604" s="361"/>
      <c r="BM604" s="361"/>
      <c r="BN604" s="361"/>
      <c r="BO604" s="361"/>
      <c r="BP604" s="128"/>
      <c r="BQ604" s="128"/>
      <c r="BR604" s="361"/>
      <c r="BS604" s="361"/>
      <c r="BT604" s="361"/>
      <c r="BU604" s="361"/>
      <c r="BV604" s="128"/>
      <c r="BW604" s="128"/>
      <c r="BX604" s="361"/>
      <c r="BY604" s="361"/>
      <c r="BZ604" s="361"/>
      <c r="CA604" s="361"/>
      <c r="CB604" s="128"/>
      <c r="CC604" s="128"/>
      <c r="CD604" s="361"/>
      <c r="CE604" s="361"/>
    </row>
    <row r="605" spans="1:83" x14ac:dyDescent="0.5">
      <c r="A605" s="268"/>
      <c r="B605" s="181"/>
      <c r="C605" s="182"/>
      <c r="D605" s="183"/>
      <c r="E605" s="184"/>
      <c r="F605" s="185"/>
      <c r="G605" s="181"/>
      <c r="H605" s="187"/>
      <c r="I605" s="199"/>
      <c r="J605" s="186"/>
      <c r="K605" s="240"/>
      <c r="L605" s="558"/>
      <c r="M605" s="181"/>
      <c r="N605" s="237"/>
      <c r="O605" s="237"/>
      <c r="P605" s="237"/>
      <c r="Q605" s="190"/>
      <c r="R605" s="215"/>
      <c r="S605" s="216"/>
      <c r="T605" s="217"/>
      <c r="U605" s="544"/>
      <c r="V605" s="560"/>
      <c r="W605" s="561"/>
      <c r="X605" s="561"/>
      <c r="Y605" s="562"/>
      <c r="Z605" s="198"/>
      <c r="AA605" s="200">
        <v>18040137</v>
      </c>
      <c r="AB605" s="201">
        <v>26635.52</v>
      </c>
      <c r="AC605" s="237">
        <f t="shared" si="99"/>
        <v>1864.4864000000002</v>
      </c>
      <c r="AD605" s="237">
        <f t="shared" si="100"/>
        <v>28500.006400000002</v>
      </c>
      <c r="AE605" s="203">
        <v>43201</v>
      </c>
      <c r="AF605" s="199" t="s">
        <v>869</v>
      </c>
      <c r="AG605" s="199"/>
      <c r="AH605" s="199"/>
      <c r="AI605" s="180" t="s">
        <v>1008</v>
      </c>
      <c r="AJ605" s="204"/>
      <c r="AK605" s="205"/>
      <c r="AL605" s="206"/>
      <c r="AM605" s="206"/>
      <c r="AN605" s="207"/>
      <c r="AO605" s="208"/>
      <c r="AP605" s="365"/>
      <c r="AQ605" s="365"/>
      <c r="AR605" s="204"/>
      <c r="AS605" s="204"/>
      <c r="AT605" s="365"/>
      <c r="AU605" s="210"/>
      <c r="AV605" s="365"/>
      <c r="AW605" s="365"/>
      <c r="AX605" s="204"/>
      <c r="AY605" s="204"/>
      <c r="AZ605" s="365"/>
      <c r="BA605" s="210"/>
      <c r="BB605" s="365"/>
      <c r="BC605" s="365"/>
      <c r="BD605" s="204"/>
      <c r="BE605" s="204"/>
      <c r="BF605" s="365"/>
      <c r="BG605" s="210"/>
      <c r="BH605" s="365"/>
      <c r="BI605" s="365"/>
      <c r="BJ605" s="204"/>
      <c r="BK605" s="204"/>
      <c r="BL605" s="365"/>
      <c r="BM605" s="365"/>
      <c r="BN605" s="365"/>
      <c r="BO605" s="365"/>
      <c r="BP605" s="204"/>
      <c r="BQ605" s="204"/>
      <c r="BR605" s="365"/>
      <c r="BS605" s="365"/>
      <c r="BT605" s="365"/>
      <c r="BU605" s="365"/>
      <c r="BV605" s="204"/>
      <c r="BW605" s="204"/>
      <c r="BX605" s="365"/>
      <c r="BY605" s="365"/>
      <c r="BZ605" s="365"/>
      <c r="CA605" s="365"/>
      <c r="CB605" s="204"/>
      <c r="CC605" s="204"/>
      <c r="CD605" s="365"/>
      <c r="CE605" s="365"/>
    </row>
    <row r="606" spans="1:83" x14ac:dyDescent="0.5">
      <c r="A606" s="227">
        <v>18045768</v>
      </c>
      <c r="B606" s="22">
        <v>18040332</v>
      </c>
      <c r="C606" s="23" t="s">
        <v>1383</v>
      </c>
      <c r="D606" s="24" t="s">
        <v>184</v>
      </c>
      <c r="E606" s="25" t="s">
        <v>185</v>
      </c>
      <c r="F606" s="26" t="s">
        <v>1366</v>
      </c>
      <c r="I606" s="39" t="s">
        <v>869</v>
      </c>
      <c r="J606" s="62">
        <v>43208</v>
      </c>
      <c r="K606" s="42" t="s">
        <v>381</v>
      </c>
      <c r="L606" s="520" t="s">
        <v>353</v>
      </c>
      <c r="M606" s="22" t="s">
        <v>51</v>
      </c>
      <c r="N606" s="63">
        <v>27900</v>
      </c>
      <c r="O606" s="63">
        <v>1953</v>
      </c>
      <c r="P606" s="63">
        <f t="shared" si="98"/>
        <v>29853</v>
      </c>
      <c r="AA606" s="40">
        <v>18040143</v>
      </c>
      <c r="AB606" s="41">
        <v>27900</v>
      </c>
      <c r="AC606" s="63">
        <f t="shared" si="99"/>
        <v>1953</v>
      </c>
      <c r="AD606" s="63">
        <f t="shared" si="100"/>
        <v>29853</v>
      </c>
      <c r="AE606" s="53">
        <v>43207</v>
      </c>
      <c r="AF606" s="39" t="s">
        <v>869</v>
      </c>
      <c r="AI606" s="21" t="s">
        <v>1009</v>
      </c>
      <c r="AJ606" s="44">
        <v>1</v>
      </c>
      <c r="AK606" s="45" t="s">
        <v>830</v>
      </c>
      <c r="AL606" s="46" t="s">
        <v>1205</v>
      </c>
      <c r="AN606" s="47">
        <v>1</v>
      </c>
      <c r="AO606" s="48" t="s">
        <v>634</v>
      </c>
      <c r="AP606" s="356"/>
      <c r="AQ606" s="356"/>
      <c r="AR606" s="44"/>
      <c r="AS606" s="44"/>
      <c r="AT606" s="356"/>
      <c r="AU606" s="54"/>
      <c r="AV606" s="356"/>
      <c r="AW606" s="356"/>
      <c r="AX606" s="44"/>
      <c r="AY606" s="44"/>
      <c r="AZ606" s="356"/>
      <c r="BA606" s="54"/>
      <c r="BB606" s="356"/>
      <c r="BC606" s="356"/>
      <c r="BD606" s="44"/>
      <c r="BE606" s="44"/>
      <c r="BF606" s="356"/>
      <c r="BG606" s="54"/>
      <c r="BH606" s="356"/>
      <c r="BI606" s="356"/>
      <c r="BJ606" s="44"/>
      <c r="BK606" s="44"/>
      <c r="BL606" s="356"/>
      <c r="BM606" s="356"/>
      <c r="BN606" s="356"/>
      <c r="BO606" s="356"/>
      <c r="BP606" s="44"/>
      <c r="BQ606" s="44"/>
      <c r="BR606" s="356"/>
      <c r="BS606" s="356"/>
      <c r="BT606" s="356"/>
      <c r="BU606" s="356"/>
      <c r="BV606" s="44"/>
      <c r="BW606" s="44"/>
      <c r="BX606" s="356"/>
      <c r="BY606" s="356"/>
      <c r="BZ606" s="356"/>
      <c r="CA606" s="356"/>
      <c r="CB606" s="44"/>
      <c r="CC606" s="44"/>
      <c r="CD606" s="356"/>
      <c r="CE606" s="356"/>
    </row>
    <row r="607" spans="1:83" x14ac:dyDescent="0.5">
      <c r="A607" s="259">
        <v>18045767</v>
      </c>
      <c r="B607" s="104">
        <v>18040329</v>
      </c>
      <c r="C607" s="105" t="s">
        <v>1384</v>
      </c>
      <c r="D607" s="106" t="s">
        <v>184</v>
      </c>
      <c r="E607" s="107" t="s">
        <v>185</v>
      </c>
      <c r="F607" s="108">
        <v>173</v>
      </c>
      <c r="G607" s="211">
        <v>43311</v>
      </c>
      <c r="H607" s="164">
        <v>18257</v>
      </c>
      <c r="I607" s="127" t="s">
        <v>869</v>
      </c>
      <c r="J607" s="122">
        <v>43312</v>
      </c>
      <c r="K607" s="547" t="s">
        <v>382</v>
      </c>
      <c r="L607" s="548" t="s">
        <v>354</v>
      </c>
      <c r="M607" s="104" t="s">
        <v>51</v>
      </c>
      <c r="N607" s="260">
        <v>1495327.1</v>
      </c>
      <c r="O607" s="260">
        <v>104672.9</v>
      </c>
      <c r="P607" s="260">
        <f t="shared" si="98"/>
        <v>1600000</v>
      </c>
      <c r="Q607" s="311"/>
      <c r="R607" s="113"/>
      <c r="S607" s="114"/>
      <c r="T607" s="115"/>
      <c r="U607" s="550"/>
      <c r="V607" s="551"/>
      <c r="W607" s="552"/>
      <c r="X607" s="552"/>
      <c r="Y607" s="553"/>
      <c r="Z607" s="120"/>
      <c r="AA607" s="229">
        <v>18080298</v>
      </c>
      <c r="AB607" s="230">
        <v>1345794.39</v>
      </c>
      <c r="AC607" s="233">
        <f t="shared" si="99"/>
        <v>94205.607299999989</v>
      </c>
      <c r="AD607" s="233">
        <f t="shared" si="100"/>
        <v>1439999.9972999999</v>
      </c>
      <c r="AE607" s="221">
        <v>43318</v>
      </c>
      <c r="AF607" s="121" t="s">
        <v>869</v>
      </c>
      <c r="AG607" s="121"/>
      <c r="AH607" s="121"/>
      <c r="AI607" s="222" t="s">
        <v>1055</v>
      </c>
      <c r="AJ607" s="128">
        <v>1</v>
      </c>
      <c r="AK607" s="129" t="s">
        <v>794</v>
      </c>
      <c r="AL607" s="130"/>
      <c r="AM607" s="130" t="s">
        <v>1205</v>
      </c>
      <c r="AN607" s="131">
        <v>1</v>
      </c>
      <c r="AO607" s="132" t="s">
        <v>634</v>
      </c>
      <c r="AP607" s="361"/>
      <c r="AQ607" s="361"/>
      <c r="AR607" s="128"/>
      <c r="AS607" s="128"/>
      <c r="AT607" s="361"/>
      <c r="AU607" s="133"/>
      <c r="AV607" s="361"/>
      <c r="AW607" s="361"/>
      <c r="AX607" s="128"/>
      <c r="AY607" s="128"/>
      <c r="AZ607" s="361"/>
      <c r="BA607" s="133"/>
      <c r="BB607" s="361"/>
      <c r="BC607" s="361"/>
      <c r="BD607" s="128"/>
      <c r="BE607" s="128"/>
      <c r="BF607" s="361"/>
      <c r="BG607" s="133"/>
      <c r="BH607" s="361"/>
      <c r="BI607" s="361"/>
      <c r="BJ607" s="128"/>
      <c r="BK607" s="128"/>
      <c r="BL607" s="361"/>
      <c r="BM607" s="361"/>
      <c r="BN607" s="361"/>
      <c r="BO607" s="361"/>
      <c r="BP607" s="128"/>
      <c r="BQ607" s="128"/>
      <c r="BR607" s="361"/>
      <c r="BS607" s="361"/>
      <c r="BT607" s="361"/>
      <c r="BU607" s="361"/>
      <c r="BV607" s="128"/>
      <c r="BW607" s="128"/>
      <c r="BX607" s="361"/>
      <c r="BY607" s="361"/>
      <c r="BZ607" s="361"/>
      <c r="CA607" s="361"/>
      <c r="CB607" s="128"/>
      <c r="CC607" s="128"/>
      <c r="CD607" s="361"/>
      <c r="CE607" s="361"/>
    </row>
    <row r="608" spans="1:83" x14ac:dyDescent="0.5">
      <c r="A608" s="262"/>
      <c r="B608" s="135"/>
      <c r="C608" s="136"/>
      <c r="D608" s="137"/>
      <c r="E608" s="138"/>
      <c r="F608" s="139"/>
      <c r="G608" s="179">
        <v>43311</v>
      </c>
      <c r="H608" s="140">
        <v>18258</v>
      </c>
      <c r="I608" s="152"/>
      <c r="J608" s="179"/>
      <c r="K608" s="255"/>
      <c r="L608" s="255"/>
      <c r="M608" s="135"/>
      <c r="N608" s="253"/>
      <c r="O608" s="253"/>
      <c r="P608" s="253"/>
      <c r="Q608" s="143"/>
      <c r="R608" s="144"/>
      <c r="S608" s="145"/>
      <c r="T608" s="146"/>
      <c r="U608" s="529"/>
      <c r="V608" s="555"/>
      <c r="W608" s="556"/>
      <c r="X608" s="556"/>
      <c r="Y608" s="557"/>
      <c r="Z608" s="151"/>
      <c r="AA608" s="292">
        <v>18120522</v>
      </c>
      <c r="AB608" s="293">
        <v>149532.71</v>
      </c>
      <c r="AC608" s="294">
        <f t="shared" si="99"/>
        <v>10467.289699999999</v>
      </c>
      <c r="AD608" s="294">
        <f t="shared" si="100"/>
        <v>159999.99969999999</v>
      </c>
      <c r="AE608" s="295">
        <v>43454</v>
      </c>
      <c r="AF608" s="296" t="s">
        <v>869</v>
      </c>
      <c r="AG608" s="296"/>
      <c r="AH608" s="296"/>
      <c r="AI608" s="308" t="s">
        <v>1656</v>
      </c>
      <c r="AJ608" s="158"/>
      <c r="AK608" s="159"/>
      <c r="AL608" s="160"/>
      <c r="AM608" s="160"/>
      <c r="AN608" s="161"/>
      <c r="AO608" s="162"/>
      <c r="AP608" s="458"/>
      <c r="AQ608" s="458"/>
      <c r="AR608" s="158"/>
      <c r="AS608" s="158"/>
      <c r="AT608" s="458"/>
      <c r="AU608" s="163"/>
      <c r="AV608" s="458"/>
      <c r="AW608" s="458"/>
      <c r="AX608" s="158"/>
      <c r="AY608" s="158"/>
      <c r="AZ608" s="458"/>
      <c r="BA608" s="163"/>
      <c r="BB608" s="458"/>
      <c r="BC608" s="458"/>
      <c r="BD608" s="158"/>
      <c r="BE608" s="158"/>
      <c r="BF608" s="458"/>
      <c r="BG608" s="163"/>
      <c r="BH608" s="458"/>
      <c r="BI608" s="458"/>
      <c r="BJ608" s="158"/>
      <c r="BK608" s="158"/>
      <c r="BL608" s="458"/>
      <c r="BM608" s="458"/>
      <c r="BN608" s="458"/>
      <c r="BO608" s="458"/>
      <c r="BP608" s="158"/>
      <c r="BQ608" s="158"/>
      <c r="BR608" s="458"/>
      <c r="BS608" s="458"/>
      <c r="BT608" s="458"/>
      <c r="BU608" s="458"/>
      <c r="BV608" s="158"/>
      <c r="BW608" s="158"/>
      <c r="BX608" s="458"/>
      <c r="BY608" s="458"/>
      <c r="BZ608" s="458"/>
      <c r="CA608" s="458"/>
      <c r="CB608" s="158"/>
      <c r="CC608" s="158"/>
      <c r="CD608" s="458"/>
      <c r="CE608" s="458"/>
    </row>
    <row r="609" spans="1:83" x14ac:dyDescent="0.5">
      <c r="A609" s="268"/>
      <c r="B609" s="181"/>
      <c r="C609" s="182"/>
      <c r="D609" s="183"/>
      <c r="E609" s="184"/>
      <c r="F609" s="185"/>
      <c r="G609" s="186"/>
      <c r="H609" s="187"/>
      <c r="I609" s="199"/>
      <c r="J609" s="186"/>
      <c r="K609" s="240"/>
      <c r="L609" s="558"/>
      <c r="M609" s="181"/>
      <c r="N609" s="237"/>
      <c r="O609" s="237"/>
      <c r="P609" s="237"/>
      <c r="Q609" s="190"/>
      <c r="R609" s="215"/>
      <c r="S609" s="216"/>
      <c r="T609" s="217"/>
      <c r="U609" s="544"/>
      <c r="V609" s="560"/>
      <c r="W609" s="561"/>
      <c r="X609" s="561"/>
      <c r="Y609" s="562"/>
      <c r="Z609" s="198"/>
      <c r="AA609" s="200" t="s">
        <v>3909</v>
      </c>
      <c r="AB609" s="201">
        <v>74766.36</v>
      </c>
      <c r="AC609" s="192"/>
      <c r="AD609" s="237">
        <f t="shared" si="100"/>
        <v>74766.36</v>
      </c>
      <c r="AE609" s="203"/>
      <c r="AF609" s="199" t="s">
        <v>869</v>
      </c>
      <c r="AG609" s="199"/>
      <c r="AH609" s="199"/>
      <c r="AI609" s="180" t="s">
        <v>3995</v>
      </c>
      <c r="AJ609" s="204"/>
      <c r="AK609" s="205"/>
      <c r="AL609" s="206"/>
      <c r="AM609" s="206"/>
      <c r="AN609" s="207"/>
      <c r="AO609" s="208"/>
      <c r="AP609" s="365"/>
      <c r="AQ609" s="365"/>
      <c r="AR609" s="204"/>
      <c r="AS609" s="204"/>
      <c r="AT609" s="365"/>
      <c r="AU609" s="210"/>
      <c r="AV609" s="365"/>
      <c r="AW609" s="365"/>
      <c r="AX609" s="204"/>
      <c r="AY609" s="204"/>
      <c r="AZ609" s="365"/>
      <c r="BA609" s="210"/>
      <c r="BB609" s="365"/>
      <c r="BC609" s="365"/>
      <c r="BD609" s="204"/>
      <c r="BE609" s="204"/>
      <c r="BF609" s="365"/>
      <c r="BG609" s="210"/>
      <c r="BH609" s="365"/>
      <c r="BI609" s="365"/>
      <c r="BJ609" s="204"/>
      <c r="BK609" s="204"/>
      <c r="BL609" s="365"/>
      <c r="BM609" s="365"/>
      <c r="BN609" s="365"/>
      <c r="BO609" s="365"/>
      <c r="BP609" s="204"/>
      <c r="BQ609" s="204"/>
      <c r="BR609" s="365"/>
      <c r="BS609" s="365"/>
      <c r="BT609" s="365"/>
      <c r="BU609" s="365"/>
      <c r="BV609" s="204"/>
      <c r="BW609" s="204"/>
      <c r="BX609" s="365"/>
      <c r="BY609" s="365"/>
      <c r="BZ609" s="365"/>
      <c r="CA609" s="365"/>
      <c r="CB609" s="204"/>
      <c r="CC609" s="204"/>
      <c r="CD609" s="365"/>
      <c r="CE609" s="365"/>
    </row>
    <row r="610" spans="1:83" x14ac:dyDescent="0.5">
      <c r="A610" s="227">
        <v>18045766</v>
      </c>
      <c r="B610" s="22">
        <v>18040322</v>
      </c>
      <c r="C610" s="23" t="s">
        <v>1361</v>
      </c>
      <c r="D610" s="24" t="s">
        <v>184</v>
      </c>
      <c r="E610" s="25" t="s">
        <v>185</v>
      </c>
      <c r="F610" s="26">
        <v>102</v>
      </c>
      <c r="G610" s="62">
        <v>43218</v>
      </c>
      <c r="H610" s="27">
        <v>18145</v>
      </c>
      <c r="I610" s="39" t="s">
        <v>869</v>
      </c>
      <c r="J610" s="62">
        <v>43219</v>
      </c>
      <c r="K610" s="42" t="s">
        <v>336</v>
      </c>
      <c r="L610" s="520" t="s">
        <v>355</v>
      </c>
      <c r="M610" s="22" t="s">
        <v>51</v>
      </c>
      <c r="N610" s="63">
        <v>340000</v>
      </c>
      <c r="O610" s="63">
        <v>23800</v>
      </c>
      <c r="P610" s="63">
        <f t="shared" si="98"/>
        <v>363800</v>
      </c>
      <c r="AA610" s="40">
        <v>18040147</v>
      </c>
      <c r="AB610" s="41">
        <v>340000</v>
      </c>
      <c r="AC610" s="64">
        <f t="shared" ref="AC610:AC623" si="101">AB610*7/100</f>
        <v>23800</v>
      </c>
      <c r="AD610" s="64">
        <f t="shared" ref="AD610:AD623" si="102">AB610+AC610</f>
        <v>363800</v>
      </c>
      <c r="AE610" s="53">
        <v>43240</v>
      </c>
      <c r="AF610" s="39" t="s">
        <v>869</v>
      </c>
      <c r="AI610" s="21" t="s">
        <v>994</v>
      </c>
      <c r="AJ610" s="44">
        <v>1</v>
      </c>
      <c r="AK610" s="45" t="s">
        <v>832</v>
      </c>
      <c r="AL610" s="46" t="s">
        <v>1205</v>
      </c>
      <c r="AN610" s="47">
        <v>1</v>
      </c>
      <c r="AO610" s="48" t="s">
        <v>636</v>
      </c>
      <c r="AP610" s="356"/>
      <c r="AQ610" s="356"/>
      <c r="AR610" s="44"/>
      <c r="AS610" s="44"/>
      <c r="AT610" s="356"/>
      <c r="AU610" s="54"/>
      <c r="AV610" s="356"/>
      <c r="AW610" s="356"/>
      <c r="AX610" s="44"/>
      <c r="AY610" s="44"/>
      <c r="AZ610" s="356"/>
      <c r="BA610" s="54"/>
      <c r="BB610" s="356"/>
      <c r="BC610" s="356"/>
      <c r="BD610" s="44"/>
      <c r="BE610" s="44"/>
      <c r="BF610" s="356"/>
      <c r="BG610" s="54"/>
      <c r="BH610" s="356"/>
      <c r="BI610" s="356"/>
      <c r="BJ610" s="44"/>
      <c r="BK610" s="44"/>
      <c r="BL610" s="356"/>
      <c r="BM610" s="356"/>
      <c r="BN610" s="356"/>
      <c r="BO610" s="356"/>
      <c r="BP610" s="44"/>
      <c r="BQ610" s="44"/>
      <c r="BR610" s="356"/>
      <c r="BS610" s="356"/>
      <c r="BT610" s="356"/>
      <c r="BU610" s="356"/>
      <c r="BV610" s="44"/>
      <c r="BW610" s="44"/>
      <c r="BX610" s="356"/>
      <c r="BY610" s="356"/>
      <c r="BZ610" s="356"/>
      <c r="CA610" s="356"/>
      <c r="CB610" s="44"/>
      <c r="CC610" s="44"/>
      <c r="CD610" s="356"/>
      <c r="CE610" s="356"/>
    </row>
    <row r="611" spans="1:83" x14ac:dyDescent="0.5">
      <c r="A611" s="227">
        <v>18045765</v>
      </c>
      <c r="B611" s="22">
        <v>18040321</v>
      </c>
      <c r="C611" s="55"/>
      <c r="D611" s="56"/>
      <c r="E611" s="57"/>
      <c r="F611" s="58"/>
      <c r="G611" s="59"/>
      <c r="H611" s="60"/>
      <c r="I611" s="269" t="s">
        <v>869</v>
      </c>
      <c r="J611" s="59"/>
      <c r="K611" s="42" t="s">
        <v>97</v>
      </c>
      <c r="L611" s="520" t="s">
        <v>356</v>
      </c>
      <c r="M611" s="22" t="s">
        <v>51</v>
      </c>
      <c r="N611" s="63">
        <v>4000</v>
      </c>
      <c r="O611" s="63">
        <v>280</v>
      </c>
      <c r="P611" s="63">
        <f t="shared" si="98"/>
        <v>4280</v>
      </c>
      <c r="AA611" s="40">
        <v>18040144</v>
      </c>
      <c r="AB611" s="41">
        <v>4000</v>
      </c>
      <c r="AC611" s="64">
        <f t="shared" si="101"/>
        <v>280</v>
      </c>
      <c r="AD611" s="64">
        <f t="shared" si="102"/>
        <v>4280</v>
      </c>
      <c r="AE611" s="53">
        <v>43238</v>
      </c>
      <c r="AF611" s="39" t="s">
        <v>869</v>
      </c>
      <c r="AI611" s="21" t="s">
        <v>993</v>
      </c>
      <c r="AJ611" s="44">
        <v>1</v>
      </c>
      <c r="AK611" s="45" t="s">
        <v>709</v>
      </c>
      <c r="AN611" s="47">
        <v>1</v>
      </c>
      <c r="AO611" s="48" t="s">
        <v>628</v>
      </c>
      <c r="AP611" s="356"/>
      <c r="AQ611" s="356"/>
      <c r="AR611" s="356"/>
      <c r="AS611" s="356"/>
      <c r="AT611" s="356"/>
      <c r="AU611" s="356"/>
      <c r="AV611" s="356"/>
      <c r="AW611" s="356"/>
      <c r="AX611" s="356"/>
      <c r="AY611" s="356"/>
      <c r="AZ611" s="356"/>
      <c r="BA611" s="356"/>
      <c r="BB611" s="356"/>
      <c r="BC611" s="356"/>
      <c r="BD611" s="356"/>
      <c r="BE611" s="356"/>
      <c r="BF611" s="356"/>
      <c r="BG611" s="356"/>
      <c r="BH611" s="356"/>
      <c r="BI611" s="356"/>
      <c r="BJ611" s="356"/>
      <c r="BK611" s="356"/>
      <c r="BL611" s="356"/>
      <c r="BM611" s="356"/>
      <c r="BN611" s="356"/>
      <c r="BO611" s="356"/>
      <c r="BP611" s="356"/>
      <c r="BQ611" s="356"/>
      <c r="BR611" s="356"/>
      <c r="BS611" s="356"/>
      <c r="BT611" s="356"/>
      <c r="BU611" s="356"/>
      <c r="BV611" s="356"/>
      <c r="BW611" s="356"/>
      <c r="BX611" s="356"/>
      <c r="BY611" s="356"/>
      <c r="BZ611" s="356"/>
      <c r="CA611" s="356"/>
      <c r="CB611" s="356"/>
      <c r="CC611" s="356"/>
      <c r="CD611" s="356"/>
      <c r="CE611" s="356"/>
    </row>
    <row r="612" spans="1:83" x14ac:dyDescent="0.5">
      <c r="A612" s="227">
        <v>18035764</v>
      </c>
      <c r="B612" s="22">
        <v>18030290</v>
      </c>
      <c r="C612" s="55"/>
      <c r="D612" s="56"/>
      <c r="E612" s="57"/>
      <c r="F612" s="58"/>
      <c r="G612" s="59"/>
      <c r="H612" s="60"/>
      <c r="I612" s="269"/>
      <c r="J612" s="59"/>
      <c r="K612" s="42" t="s">
        <v>383</v>
      </c>
      <c r="L612" s="520" t="s">
        <v>357</v>
      </c>
      <c r="M612" s="22" t="s">
        <v>51</v>
      </c>
      <c r="N612" s="63">
        <v>8000</v>
      </c>
      <c r="O612" s="63">
        <f>N612*7/100</f>
        <v>560</v>
      </c>
      <c r="P612" s="63">
        <f>N612+O612</f>
        <v>8560</v>
      </c>
      <c r="AA612" s="40">
        <v>18030126</v>
      </c>
      <c r="AB612" s="41">
        <v>8000</v>
      </c>
      <c r="AC612" s="64">
        <f t="shared" si="101"/>
        <v>560</v>
      </c>
      <c r="AD612" s="64">
        <f t="shared" si="102"/>
        <v>8560</v>
      </c>
      <c r="AE612" s="53">
        <v>43218</v>
      </c>
      <c r="AF612" s="39" t="s">
        <v>869</v>
      </c>
      <c r="AI612" s="21" t="s">
        <v>968</v>
      </c>
      <c r="AJ612" s="44">
        <v>1</v>
      </c>
      <c r="AK612" s="45" t="s">
        <v>1489</v>
      </c>
      <c r="AN612" s="47">
        <v>1</v>
      </c>
      <c r="AO612" s="48" t="s">
        <v>628</v>
      </c>
      <c r="AQ612" s="54"/>
      <c r="AR612" s="44"/>
      <c r="AS612" s="44"/>
      <c r="AT612" s="44"/>
      <c r="AU612" s="54"/>
      <c r="AW612" s="54"/>
      <c r="AX612" s="44"/>
      <c r="AY612" s="44"/>
      <c r="AZ612" s="44"/>
      <c r="BA612" s="54"/>
      <c r="BC612" s="54"/>
      <c r="BD612" s="44"/>
      <c r="BE612" s="44"/>
      <c r="BF612" s="44"/>
      <c r="BG612" s="54"/>
      <c r="BI612" s="54"/>
      <c r="BJ612" s="44"/>
      <c r="BK612" s="44"/>
      <c r="BL612" s="44"/>
      <c r="BM612" s="44"/>
      <c r="BO612" s="54"/>
      <c r="BP612" s="44"/>
      <c r="BQ612" s="44"/>
      <c r="BR612" s="44"/>
      <c r="BS612" s="44"/>
      <c r="BU612" s="54"/>
      <c r="BV612" s="44"/>
      <c r="BW612" s="44"/>
      <c r="BX612" s="44"/>
      <c r="BY612" s="44"/>
      <c r="CA612" s="54"/>
      <c r="CB612" s="44"/>
      <c r="CC612" s="44"/>
      <c r="CD612" s="44"/>
      <c r="CE612" s="44"/>
    </row>
    <row r="613" spans="1:83" x14ac:dyDescent="0.5">
      <c r="A613" s="227">
        <v>18035763</v>
      </c>
      <c r="B613" s="22">
        <v>18030289</v>
      </c>
      <c r="C613" s="55"/>
      <c r="D613" s="56"/>
      <c r="E613" s="57"/>
      <c r="F613" s="58"/>
      <c r="G613" s="59"/>
      <c r="H613" s="60"/>
      <c r="I613" s="269"/>
      <c r="J613" s="59"/>
      <c r="K613" s="42" t="s">
        <v>384</v>
      </c>
      <c r="L613" s="520" t="s">
        <v>358</v>
      </c>
      <c r="M613" s="22" t="s">
        <v>359</v>
      </c>
      <c r="N613" s="63">
        <v>5000</v>
      </c>
      <c r="O613" s="63">
        <f>N613*7/100</f>
        <v>350</v>
      </c>
      <c r="P613" s="63">
        <f>N613+O613</f>
        <v>5350</v>
      </c>
      <c r="Q613" s="61"/>
      <c r="R613" s="96"/>
      <c r="S613" s="97"/>
      <c r="T613" s="98"/>
      <c r="U613" s="546"/>
      <c r="V613" s="97"/>
      <c r="W613" s="546"/>
      <c r="X613" s="1427"/>
      <c r="Y613" s="97"/>
      <c r="Z613" s="101"/>
      <c r="AA613" s="40">
        <v>18030121</v>
      </c>
      <c r="AB613" s="41">
        <v>5000</v>
      </c>
      <c r="AC613" s="64">
        <f t="shared" si="101"/>
        <v>350</v>
      </c>
      <c r="AD613" s="64">
        <f t="shared" si="102"/>
        <v>5350</v>
      </c>
      <c r="AE613" s="53">
        <v>43185</v>
      </c>
      <c r="AF613" s="39" t="s">
        <v>869</v>
      </c>
      <c r="AI613" s="21" t="s">
        <v>904</v>
      </c>
      <c r="AJ613" s="44">
        <v>1</v>
      </c>
      <c r="AK613" s="45" t="s">
        <v>407</v>
      </c>
      <c r="AN613" s="47">
        <v>1</v>
      </c>
      <c r="AO613" s="102"/>
      <c r="AQ613" s="54"/>
      <c r="AR613" s="44"/>
      <c r="AS613" s="44"/>
      <c r="AT613" s="44"/>
      <c r="AU613" s="54"/>
      <c r="AW613" s="54"/>
      <c r="AX613" s="44"/>
      <c r="AY613" s="44"/>
      <c r="AZ613" s="44"/>
      <c r="BA613" s="54"/>
      <c r="BC613" s="54"/>
      <c r="BD613" s="44"/>
      <c r="BE613" s="44"/>
      <c r="BF613" s="44"/>
      <c r="BG613" s="54"/>
      <c r="BI613" s="54"/>
      <c r="BJ613" s="44"/>
      <c r="BK613" s="44"/>
      <c r="BL613" s="44"/>
      <c r="BM613" s="44"/>
      <c r="BO613" s="54"/>
      <c r="BP613" s="44"/>
      <c r="BQ613" s="44"/>
      <c r="BR613" s="44"/>
      <c r="BS613" s="44"/>
      <c r="BU613" s="54"/>
      <c r="BV613" s="44"/>
      <c r="BW613" s="44"/>
      <c r="BX613" s="44"/>
      <c r="BY613" s="44"/>
      <c r="CA613" s="54"/>
      <c r="CB613" s="44"/>
      <c r="CC613" s="44"/>
      <c r="CD613" s="44"/>
      <c r="CE613" s="44"/>
    </row>
    <row r="614" spans="1:83" x14ac:dyDescent="0.5">
      <c r="A614" s="227">
        <v>18035762</v>
      </c>
      <c r="B614" s="22">
        <v>18030276</v>
      </c>
      <c r="C614" s="55"/>
      <c r="D614" s="56"/>
      <c r="E614" s="57"/>
      <c r="F614" s="58"/>
      <c r="G614" s="59"/>
      <c r="H614" s="60"/>
      <c r="I614" s="269" t="s">
        <v>869</v>
      </c>
      <c r="J614" s="59"/>
      <c r="K614" s="42" t="s">
        <v>385</v>
      </c>
      <c r="L614" s="520" t="s">
        <v>360</v>
      </c>
      <c r="M614" s="22" t="s">
        <v>51</v>
      </c>
      <c r="N614" s="63">
        <v>19000</v>
      </c>
      <c r="O614" s="63">
        <f>N614*7/100</f>
        <v>1330</v>
      </c>
      <c r="P614" s="63">
        <f>N614+O614</f>
        <v>20330</v>
      </c>
      <c r="X614" s="561"/>
      <c r="AA614" s="40">
        <v>18030127</v>
      </c>
      <c r="AB614" s="41">
        <v>19000</v>
      </c>
      <c r="AC614" s="63">
        <f t="shared" si="101"/>
        <v>1330</v>
      </c>
      <c r="AD614" s="63">
        <f t="shared" si="102"/>
        <v>20330</v>
      </c>
      <c r="AE614" s="53">
        <v>43218</v>
      </c>
      <c r="AF614" s="39" t="s">
        <v>869</v>
      </c>
      <c r="AI614" s="21" t="s">
        <v>1010</v>
      </c>
      <c r="AJ614" s="44">
        <v>1</v>
      </c>
      <c r="AK614" s="45" t="s">
        <v>1011</v>
      </c>
      <c r="AN614" s="47">
        <v>4</v>
      </c>
      <c r="AO614" s="102"/>
      <c r="AQ614" s="54"/>
      <c r="AR614" s="44"/>
      <c r="AS614" s="44"/>
      <c r="AT614" s="44"/>
      <c r="AU614" s="54"/>
      <c r="AW614" s="54"/>
      <c r="AX614" s="44"/>
      <c r="AY614" s="44"/>
      <c r="AZ614" s="44"/>
      <c r="BA614" s="54"/>
      <c r="BC614" s="54"/>
      <c r="BD614" s="44"/>
      <c r="BE614" s="44"/>
      <c r="BF614" s="44"/>
      <c r="BG614" s="54"/>
      <c r="BI614" s="54"/>
      <c r="BJ614" s="44"/>
      <c r="BK614" s="44"/>
      <c r="BL614" s="44"/>
      <c r="BM614" s="44"/>
      <c r="BO614" s="54"/>
      <c r="BP614" s="44"/>
      <c r="BQ614" s="44"/>
      <c r="BR614" s="44"/>
      <c r="BS614" s="44"/>
      <c r="BU614" s="54"/>
      <c r="BV614" s="44"/>
      <c r="BW614" s="44"/>
      <c r="BX614" s="44"/>
      <c r="BY614" s="44"/>
      <c r="CA614" s="54"/>
      <c r="CB614" s="44"/>
      <c r="CC614" s="44"/>
      <c r="CD614" s="44"/>
      <c r="CE614" s="44"/>
    </row>
    <row r="615" spans="1:83" x14ac:dyDescent="0.5">
      <c r="A615" s="227">
        <v>18035761</v>
      </c>
      <c r="B615" s="22">
        <v>18030275</v>
      </c>
      <c r="C615" s="23" t="s">
        <v>1391</v>
      </c>
      <c r="D615" s="24" t="s">
        <v>184</v>
      </c>
      <c r="E615" s="25" t="s">
        <v>185</v>
      </c>
      <c r="F615" s="26" t="s">
        <v>1376</v>
      </c>
      <c r="G615" s="62">
        <v>43189</v>
      </c>
      <c r="H615" s="27">
        <v>18130</v>
      </c>
      <c r="I615" s="39" t="s">
        <v>869</v>
      </c>
      <c r="J615" s="62">
        <v>43189</v>
      </c>
      <c r="K615" s="42" t="s">
        <v>15</v>
      </c>
      <c r="L615" s="520" t="s">
        <v>1</v>
      </c>
      <c r="M615" s="22" t="s">
        <v>51</v>
      </c>
      <c r="N615" s="63">
        <v>132480</v>
      </c>
      <c r="O615" s="63">
        <v>9273.6</v>
      </c>
      <c r="P615" s="63">
        <f t="shared" ref="P615:P620" si="103">SUM(N615:O615)</f>
        <v>141753.60000000001</v>
      </c>
      <c r="AA615" s="40">
        <v>18040128</v>
      </c>
      <c r="AB615" s="41">
        <v>132480</v>
      </c>
      <c r="AC615" s="63">
        <f t="shared" si="101"/>
        <v>9273.6</v>
      </c>
      <c r="AD615" s="63">
        <f t="shared" si="102"/>
        <v>141753.60000000001</v>
      </c>
      <c r="AE615" s="53">
        <v>43237</v>
      </c>
      <c r="AF615" s="39" t="s">
        <v>869</v>
      </c>
      <c r="AI615" s="21" t="s">
        <v>1017</v>
      </c>
      <c r="AJ615" s="44">
        <v>1</v>
      </c>
      <c r="AK615" s="45" t="s">
        <v>857</v>
      </c>
      <c r="AM615" s="46" t="s">
        <v>1205</v>
      </c>
      <c r="AN615" s="47">
        <v>1</v>
      </c>
      <c r="AO615" s="48" t="s">
        <v>633</v>
      </c>
      <c r="AP615" s="44">
        <v>2</v>
      </c>
      <c r="AQ615" s="40" t="s">
        <v>858</v>
      </c>
      <c r="AS615" s="47" t="s">
        <v>1205</v>
      </c>
      <c r="AT615" s="47">
        <v>1</v>
      </c>
      <c r="AU615" s="49" t="s">
        <v>633</v>
      </c>
      <c r="AV615" s="44">
        <v>3</v>
      </c>
      <c r="AW615" s="40" t="s">
        <v>859</v>
      </c>
      <c r="AY615" s="47" t="s">
        <v>1205</v>
      </c>
      <c r="AZ615" s="47">
        <v>2</v>
      </c>
      <c r="BA615" s="49" t="s">
        <v>633</v>
      </c>
      <c r="BB615" s="356"/>
      <c r="BC615" s="356"/>
      <c r="BD615" s="44"/>
      <c r="BE615" s="44"/>
      <c r="BF615" s="356"/>
      <c r="BG615" s="54"/>
      <c r="BH615" s="356"/>
      <c r="BI615" s="356"/>
      <c r="BJ615" s="44"/>
      <c r="BK615" s="44"/>
      <c r="BL615" s="356"/>
      <c r="BM615" s="356"/>
      <c r="BN615" s="356"/>
      <c r="BO615" s="356"/>
      <c r="BP615" s="44"/>
      <c r="BQ615" s="44"/>
      <c r="BR615" s="356"/>
      <c r="BS615" s="356"/>
      <c r="BT615" s="356"/>
      <c r="BU615" s="356"/>
      <c r="BV615" s="44"/>
      <c r="BW615" s="44"/>
      <c r="BX615" s="356"/>
      <c r="BY615" s="356"/>
      <c r="BZ615" s="356"/>
      <c r="CA615" s="356"/>
      <c r="CB615" s="44"/>
      <c r="CC615" s="44"/>
      <c r="CD615" s="356"/>
      <c r="CE615" s="356"/>
    </row>
    <row r="616" spans="1:83" x14ac:dyDescent="0.5">
      <c r="A616" s="227">
        <v>18035760</v>
      </c>
      <c r="B616" s="22">
        <v>18030277</v>
      </c>
      <c r="C616" s="23" t="s">
        <v>1390</v>
      </c>
      <c r="D616" s="24" t="s">
        <v>184</v>
      </c>
      <c r="E616" s="25" t="s">
        <v>185</v>
      </c>
      <c r="F616" s="26" t="s">
        <v>1378</v>
      </c>
      <c r="G616" s="62">
        <v>43185</v>
      </c>
      <c r="H616" s="27">
        <v>18126</v>
      </c>
      <c r="I616" s="39" t="s">
        <v>869</v>
      </c>
      <c r="J616" s="62">
        <v>43185</v>
      </c>
      <c r="K616" s="42" t="s">
        <v>386</v>
      </c>
      <c r="L616" s="520" t="s">
        <v>0</v>
      </c>
      <c r="M616" s="22" t="s">
        <v>51</v>
      </c>
      <c r="N616" s="63">
        <v>159012</v>
      </c>
      <c r="O616" s="63">
        <v>11130.84</v>
      </c>
      <c r="P616" s="63">
        <f t="shared" si="103"/>
        <v>170142.84</v>
      </c>
      <c r="AA616" s="40">
        <v>18030125</v>
      </c>
      <c r="AB616" s="41">
        <v>159012</v>
      </c>
      <c r="AC616" s="64">
        <f t="shared" si="101"/>
        <v>11130.84</v>
      </c>
      <c r="AD616" s="64">
        <f t="shared" si="102"/>
        <v>170142.84</v>
      </c>
      <c r="AE616" s="53">
        <v>43230</v>
      </c>
      <c r="AF616" s="39" t="s">
        <v>869</v>
      </c>
      <c r="AI616" s="21" t="s">
        <v>1015</v>
      </c>
      <c r="AJ616" s="44">
        <v>1</v>
      </c>
      <c r="AK616" s="45" t="s">
        <v>808</v>
      </c>
      <c r="AM616" s="46" t="s">
        <v>1205</v>
      </c>
      <c r="AN616" s="47">
        <v>1</v>
      </c>
      <c r="AO616" s="48" t="s">
        <v>633</v>
      </c>
      <c r="AP616" s="356"/>
      <c r="AQ616" s="356"/>
      <c r="AR616" s="44"/>
      <c r="AS616" s="44"/>
      <c r="AT616" s="356"/>
      <c r="AU616" s="54"/>
      <c r="AV616" s="356"/>
      <c r="AW616" s="356"/>
      <c r="AX616" s="44"/>
      <c r="AY616" s="44"/>
      <c r="AZ616" s="356"/>
      <c r="BA616" s="54"/>
      <c r="BB616" s="356"/>
      <c r="BC616" s="356"/>
      <c r="BD616" s="44"/>
      <c r="BE616" s="44"/>
      <c r="BF616" s="356"/>
      <c r="BG616" s="54"/>
      <c r="BH616" s="356"/>
      <c r="BI616" s="356"/>
      <c r="BJ616" s="44"/>
      <c r="BK616" s="44"/>
      <c r="BL616" s="356"/>
      <c r="BM616" s="356"/>
      <c r="BN616" s="356"/>
      <c r="BO616" s="356"/>
      <c r="BP616" s="44"/>
      <c r="BQ616" s="44"/>
      <c r="BR616" s="356"/>
      <c r="BS616" s="356"/>
      <c r="BT616" s="356"/>
      <c r="BU616" s="356"/>
      <c r="BV616" s="44"/>
      <c r="BW616" s="44"/>
      <c r="BX616" s="356"/>
      <c r="BY616" s="356"/>
      <c r="BZ616" s="356"/>
      <c r="CA616" s="356"/>
      <c r="CB616" s="44"/>
      <c r="CC616" s="44"/>
      <c r="CD616" s="356"/>
      <c r="CE616" s="356"/>
    </row>
    <row r="617" spans="1:83" x14ac:dyDescent="0.5">
      <c r="A617" s="227">
        <v>18035759</v>
      </c>
      <c r="B617" s="22">
        <v>18030278</v>
      </c>
      <c r="C617" s="23" t="s">
        <v>1389</v>
      </c>
      <c r="D617" s="24" t="s">
        <v>184</v>
      </c>
      <c r="E617" s="25" t="s">
        <v>185</v>
      </c>
      <c r="F617" s="26" t="s">
        <v>1374</v>
      </c>
      <c r="G617" s="62">
        <v>43189</v>
      </c>
      <c r="H617" s="27">
        <v>18127</v>
      </c>
      <c r="I617" s="39" t="s">
        <v>869</v>
      </c>
      <c r="J617" s="62">
        <v>43192</v>
      </c>
      <c r="K617" s="42" t="s">
        <v>386</v>
      </c>
      <c r="L617" s="520" t="s">
        <v>0</v>
      </c>
      <c r="M617" s="22" t="s">
        <v>51</v>
      </c>
      <c r="N617" s="63">
        <v>159012</v>
      </c>
      <c r="O617" s="63">
        <v>11130.84</v>
      </c>
      <c r="P617" s="63">
        <f t="shared" si="103"/>
        <v>170142.84</v>
      </c>
      <c r="AA617" s="40">
        <v>18040133</v>
      </c>
      <c r="AB617" s="41">
        <v>159012</v>
      </c>
      <c r="AC617" s="64">
        <f t="shared" si="101"/>
        <v>11130.84</v>
      </c>
      <c r="AD617" s="64">
        <f t="shared" si="102"/>
        <v>170142.84</v>
      </c>
      <c r="AE617" s="53">
        <v>43237</v>
      </c>
      <c r="AF617" s="39" t="s">
        <v>869</v>
      </c>
      <c r="AI617" s="21" t="s">
        <v>1014</v>
      </c>
      <c r="AJ617" s="44">
        <v>1</v>
      </c>
      <c r="AK617" s="45" t="s">
        <v>808</v>
      </c>
      <c r="AN617" s="47">
        <v>1</v>
      </c>
      <c r="AO617" s="48" t="s">
        <v>633</v>
      </c>
      <c r="AP617" s="356"/>
      <c r="AQ617" s="356"/>
      <c r="AR617" s="44"/>
      <c r="AS617" s="44"/>
      <c r="AT617" s="356"/>
      <c r="AU617" s="54"/>
      <c r="AV617" s="356"/>
      <c r="AW617" s="356"/>
      <c r="AX617" s="44"/>
      <c r="AY617" s="44"/>
      <c r="AZ617" s="356"/>
      <c r="BA617" s="54"/>
      <c r="BB617" s="356"/>
      <c r="BC617" s="356"/>
      <c r="BD617" s="44"/>
      <c r="BE617" s="44"/>
      <c r="BF617" s="356"/>
      <c r="BG617" s="54"/>
      <c r="BH617" s="356"/>
      <c r="BI617" s="356"/>
      <c r="BJ617" s="44"/>
      <c r="BK617" s="44"/>
      <c r="BL617" s="356"/>
      <c r="BM617" s="356"/>
      <c r="BN617" s="356"/>
      <c r="BO617" s="356"/>
      <c r="BP617" s="44"/>
      <c r="BQ617" s="44"/>
      <c r="BR617" s="356"/>
      <c r="BS617" s="356"/>
      <c r="BT617" s="356"/>
      <c r="BU617" s="356"/>
      <c r="BV617" s="44"/>
      <c r="BW617" s="44"/>
      <c r="BX617" s="356"/>
      <c r="BY617" s="356"/>
      <c r="BZ617" s="356"/>
      <c r="CA617" s="356"/>
      <c r="CB617" s="44"/>
      <c r="CC617" s="44"/>
      <c r="CD617" s="356"/>
      <c r="CE617" s="356"/>
    </row>
    <row r="618" spans="1:83" x14ac:dyDescent="0.5">
      <c r="A618" s="227">
        <v>18035758</v>
      </c>
      <c r="B618" s="22">
        <v>18030279</v>
      </c>
      <c r="C618" s="23" t="s">
        <v>1388</v>
      </c>
      <c r="D618" s="24" t="s">
        <v>184</v>
      </c>
      <c r="E618" s="25" t="s">
        <v>185</v>
      </c>
      <c r="F618" s="26" t="s">
        <v>1368</v>
      </c>
      <c r="G618" s="62">
        <v>43199</v>
      </c>
      <c r="H618" s="27">
        <v>18136</v>
      </c>
      <c r="I618" s="39" t="s">
        <v>869</v>
      </c>
      <c r="J618" s="62">
        <v>43199</v>
      </c>
      <c r="K618" s="42" t="s">
        <v>386</v>
      </c>
      <c r="L618" s="520" t="s">
        <v>0</v>
      </c>
      <c r="M618" s="22" t="s">
        <v>51</v>
      </c>
      <c r="N618" s="63">
        <v>373400</v>
      </c>
      <c r="O618" s="63">
        <v>26138</v>
      </c>
      <c r="P618" s="63">
        <f t="shared" si="103"/>
        <v>399538</v>
      </c>
      <c r="AA618" s="40">
        <v>18040136</v>
      </c>
      <c r="AB618" s="41">
        <v>373400</v>
      </c>
      <c r="AC618" s="64">
        <f t="shared" si="101"/>
        <v>26138</v>
      </c>
      <c r="AD618" s="64">
        <f t="shared" si="102"/>
        <v>399538</v>
      </c>
      <c r="AE618" s="53">
        <v>43244</v>
      </c>
      <c r="AF618" s="39" t="s">
        <v>869</v>
      </c>
      <c r="AI618" s="21" t="s">
        <v>993</v>
      </c>
      <c r="AJ618" s="44">
        <v>1</v>
      </c>
      <c r="AK618" s="45" t="s">
        <v>828</v>
      </c>
      <c r="AM618" s="46" t="s">
        <v>1205</v>
      </c>
      <c r="AN618" s="47">
        <v>2</v>
      </c>
      <c r="AO618" s="48" t="s">
        <v>633</v>
      </c>
      <c r="AP618" s="356"/>
      <c r="AQ618" s="356"/>
      <c r="AR618" s="44"/>
      <c r="AS618" s="44"/>
      <c r="AT618" s="356"/>
      <c r="AU618" s="54"/>
      <c r="AV618" s="356"/>
      <c r="AW618" s="356"/>
      <c r="AX618" s="44"/>
      <c r="AY618" s="44"/>
      <c r="AZ618" s="356"/>
      <c r="BA618" s="54"/>
      <c r="BB618" s="356"/>
      <c r="BC618" s="356"/>
      <c r="BD618" s="44"/>
      <c r="BE618" s="44"/>
      <c r="BF618" s="356"/>
      <c r="BG618" s="54"/>
      <c r="BH618" s="356"/>
      <c r="BI618" s="356"/>
      <c r="BJ618" s="44"/>
      <c r="BK618" s="44"/>
      <c r="BL618" s="356"/>
      <c r="BM618" s="356"/>
      <c r="BN618" s="356"/>
      <c r="BO618" s="356"/>
      <c r="BP618" s="44"/>
      <c r="BQ618" s="44"/>
      <c r="BR618" s="356"/>
      <c r="BS618" s="356"/>
      <c r="BT618" s="356"/>
      <c r="BU618" s="356"/>
      <c r="BV618" s="44"/>
      <c r="BW618" s="44"/>
      <c r="BX618" s="356"/>
      <c r="BY618" s="356"/>
      <c r="BZ618" s="356"/>
      <c r="CA618" s="356"/>
      <c r="CB618" s="44"/>
      <c r="CC618" s="44"/>
      <c r="CD618" s="356"/>
      <c r="CE618" s="356"/>
    </row>
    <row r="619" spans="1:83" x14ac:dyDescent="0.5">
      <c r="A619" s="227">
        <v>18035757</v>
      </c>
      <c r="B619" s="22" t="s">
        <v>393</v>
      </c>
      <c r="C619" s="23" t="s">
        <v>1387</v>
      </c>
      <c r="D619" s="24" t="s">
        <v>184</v>
      </c>
      <c r="E619" s="25" t="s">
        <v>185</v>
      </c>
      <c r="F619" s="26" t="s">
        <v>1370</v>
      </c>
      <c r="G619" s="62">
        <v>43194</v>
      </c>
      <c r="H619" s="27">
        <v>18134</v>
      </c>
      <c r="I619" s="39" t="s">
        <v>869</v>
      </c>
      <c r="J619" s="62">
        <v>43195</v>
      </c>
      <c r="K619" s="42" t="s">
        <v>387</v>
      </c>
      <c r="L619" s="520" t="s">
        <v>361</v>
      </c>
      <c r="M619" s="22" t="s">
        <v>52</v>
      </c>
      <c r="N619" s="63">
        <v>56074.77</v>
      </c>
      <c r="O619" s="63">
        <v>3925.23</v>
      </c>
      <c r="P619" s="63">
        <f t="shared" si="103"/>
        <v>60000</v>
      </c>
      <c r="U619" s="516">
        <v>2453.73</v>
      </c>
      <c r="X619" s="518">
        <v>181.82</v>
      </c>
      <c r="AA619" s="40">
        <v>18040135</v>
      </c>
      <c r="AB619" s="41">
        <v>56074.77</v>
      </c>
      <c r="AC619" s="64">
        <f t="shared" si="101"/>
        <v>3925.2338999999997</v>
      </c>
      <c r="AD619" s="64">
        <f t="shared" si="102"/>
        <v>60000.003899999996</v>
      </c>
      <c r="AE619" s="53">
        <v>43194</v>
      </c>
      <c r="AF619" s="39" t="s">
        <v>869</v>
      </c>
      <c r="AI619" s="21" t="s">
        <v>903</v>
      </c>
      <c r="AJ619" s="44">
        <v>1</v>
      </c>
      <c r="AK619" s="45" t="s">
        <v>599</v>
      </c>
      <c r="AM619" s="46" t="s">
        <v>1205</v>
      </c>
      <c r="AN619" s="47">
        <v>1</v>
      </c>
      <c r="AO619" s="48" t="s">
        <v>634</v>
      </c>
      <c r="AP619" s="356"/>
      <c r="AQ619" s="356"/>
      <c r="AR619" s="44"/>
      <c r="AS619" s="44"/>
      <c r="AT619" s="356"/>
      <c r="AU619" s="54"/>
      <c r="AV619" s="356"/>
      <c r="AW619" s="356"/>
      <c r="AX619" s="44"/>
      <c r="AY619" s="44"/>
      <c r="AZ619" s="356"/>
      <c r="BA619" s="54"/>
      <c r="BB619" s="356"/>
      <c r="BC619" s="356"/>
      <c r="BD619" s="44"/>
      <c r="BE619" s="44"/>
      <c r="BF619" s="356"/>
      <c r="BG619" s="54"/>
      <c r="BH619" s="356"/>
      <c r="BI619" s="356"/>
      <c r="BJ619" s="44"/>
      <c r="BK619" s="44"/>
      <c r="BL619" s="356"/>
      <c r="BM619" s="356"/>
      <c r="BN619" s="356"/>
      <c r="BO619" s="356"/>
      <c r="BP619" s="44"/>
      <c r="BQ619" s="44"/>
      <c r="BR619" s="356"/>
      <c r="BS619" s="356"/>
      <c r="BT619" s="356"/>
      <c r="BU619" s="356"/>
      <c r="BV619" s="44"/>
      <c r="BW619" s="44"/>
      <c r="BX619" s="356"/>
      <c r="BY619" s="356"/>
      <c r="BZ619" s="356"/>
      <c r="CA619" s="356"/>
      <c r="CB619" s="44"/>
      <c r="CC619" s="44"/>
      <c r="CD619" s="356"/>
      <c r="CE619" s="356"/>
    </row>
    <row r="620" spans="1:83" x14ac:dyDescent="0.5">
      <c r="A620" s="227">
        <v>18035756</v>
      </c>
      <c r="B620" s="22" t="s">
        <v>394</v>
      </c>
      <c r="C620" s="23" t="s">
        <v>1385</v>
      </c>
      <c r="D620" s="24" t="s">
        <v>184</v>
      </c>
      <c r="E620" s="25" t="s">
        <v>185</v>
      </c>
      <c r="F620" s="26">
        <v>100</v>
      </c>
      <c r="G620" s="62">
        <v>43216</v>
      </c>
      <c r="H620" s="27">
        <v>18142</v>
      </c>
      <c r="I620" s="39" t="s">
        <v>869</v>
      </c>
      <c r="J620" s="62">
        <v>43216</v>
      </c>
      <c r="K620" s="42" t="s">
        <v>388</v>
      </c>
      <c r="L620" s="520" t="s">
        <v>362</v>
      </c>
      <c r="M620" s="22" t="s">
        <v>52</v>
      </c>
      <c r="N620" s="63">
        <v>205607.48</v>
      </c>
      <c r="O620" s="63">
        <v>14392.52</v>
      </c>
      <c r="P620" s="63">
        <f t="shared" si="103"/>
        <v>220000</v>
      </c>
      <c r="U620" s="516">
        <v>6168.22</v>
      </c>
      <c r="X620" s="518">
        <v>339.04</v>
      </c>
      <c r="AA620" s="40">
        <v>18050164</v>
      </c>
      <c r="AB620" s="41">
        <v>205607.49</v>
      </c>
      <c r="AC620" s="64">
        <f t="shared" si="101"/>
        <v>14392.524299999999</v>
      </c>
      <c r="AD620" s="64">
        <f t="shared" si="102"/>
        <v>220000.01429999998</v>
      </c>
      <c r="AE620" s="53">
        <v>43243</v>
      </c>
      <c r="AF620" s="39" t="s">
        <v>869</v>
      </c>
      <c r="AI620" s="21" t="s">
        <v>976</v>
      </c>
      <c r="AJ620" s="44">
        <v>1</v>
      </c>
      <c r="AK620" s="45" t="s">
        <v>795</v>
      </c>
      <c r="AM620" s="46" t="s">
        <v>1205</v>
      </c>
      <c r="AN620" s="47">
        <v>1</v>
      </c>
      <c r="AO620" s="48" t="s">
        <v>634</v>
      </c>
      <c r="AP620" s="44">
        <v>2</v>
      </c>
      <c r="AQ620" s="40" t="s">
        <v>712</v>
      </c>
      <c r="AR620" s="47" t="s">
        <v>1205</v>
      </c>
      <c r="AT620" s="47">
        <v>3</v>
      </c>
      <c r="AU620" s="49" t="s">
        <v>636</v>
      </c>
      <c r="AV620" s="356"/>
      <c r="AW620" s="356"/>
      <c r="AX620" s="44"/>
      <c r="AY620" s="44"/>
      <c r="AZ620" s="356"/>
      <c r="BA620" s="54"/>
      <c r="BB620" s="356"/>
      <c r="BC620" s="356"/>
      <c r="BD620" s="44"/>
      <c r="BE620" s="44"/>
      <c r="BF620" s="356"/>
      <c r="BG620" s="54"/>
      <c r="BH620" s="356"/>
      <c r="BI620" s="356"/>
      <c r="BJ620" s="44"/>
      <c r="BK620" s="44"/>
      <c r="BL620" s="356"/>
      <c r="BM620" s="356"/>
      <c r="BN620" s="356"/>
      <c r="BO620" s="356"/>
      <c r="BP620" s="44"/>
      <c r="BQ620" s="44"/>
      <c r="BR620" s="356"/>
      <c r="BS620" s="356"/>
      <c r="BT620" s="356"/>
      <c r="BU620" s="356"/>
      <c r="BV620" s="44"/>
      <c r="BW620" s="44"/>
      <c r="BX620" s="356"/>
      <c r="BY620" s="356"/>
      <c r="BZ620" s="356"/>
      <c r="CA620" s="356"/>
      <c r="CB620" s="44"/>
      <c r="CC620" s="44"/>
      <c r="CD620" s="356"/>
      <c r="CE620" s="356"/>
    </row>
    <row r="621" spans="1:83" x14ac:dyDescent="0.5">
      <c r="A621" s="227">
        <v>18035755</v>
      </c>
      <c r="B621" s="22">
        <v>18030267</v>
      </c>
      <c r="C621" s="55"/>
      <c r="D621" s="56"/>
      <c r="E621" s="57"/>
      <c r="F621" s="58"/>
      <c r="G621" s="59"/>
      <c r="H621" s="60"/>
      <c r="I621" s="39" t="s">
        <v>869</v>
      </c>
      <c r="J621" s="122">
        <v>43180</v>
      </c>
      <c r="K621" s="42" t="s">
        <v>395</v>
      </c>
      <c r="L621" s="520" t="s">
        <v>396</v>
      </c>
      <c r="M621" s="22" t="s">
        <v>50</v>
      </c>
      <c r="N621" s="63">
        <v>3750</v>
      </c>
      <c r="O621" s="63">
        <f>N621*7/100</f>
        <v>262.5</v>
      </c>
      <c r="P621" s="63">
        <f>N621+O621</f>
        <v>4012.5</v>
      </c>
      <c r="AA621" s="40">
        <v>18030118</v>
      </c>
      <c r="AB621" s="41">
        <v>3750</v>
      </c>
      <c r="AC621" s="64">
        <f t="shared" si="101"/>
        <v>262.5</v>
      </c>
      <c r="AD621" s="64">
        <f t="shared" si="102"/>
        <v>4012.5</v>
      </c>
      <c r="AE621" s="53">
        <v>43181</v>
      </c>
      <c r="AF621" s="39" t="s">
        <v>869</v>
      </c>
      <c r="AI621" s="21" t="s">
        <v>908</v>
      </c>
      <c r="AJ621" s="44">
        <v>1</v>
      </c>
      <c r="AK621" s="45" t="s">
        <v>597</v>
      </c>
      <c r="AN621" s="47">
        <v>3</v>
      </c>
      <c r="AO621" s="48" t="s">
        <v>628</v>
      </c>
      <c r="AQ621" s="54"/>
      <c r="AR621" s="44"/>
      <c r="AS621" s="44"/>
      <c r="AT621" s="44"/>
      <c r="AU621" s="54"/>
      <c r="AW621" s="54"/>
      <c r="AX621" s="44"/>
      <c r="AY621" s="44"/>
      <c r="AZ621" s="44"/>
      <c r="BA621" s="54"/>
      <c r="BC621" s="54"/>
      <c r="BD621" s="44"/>
      <c r="BE621" s="44"/>
      <c r="BF621" s="44"/>
      <c r="BG621" s="54"/>
      <c r="BI621" s="54"/>
      <c r="BJ621" s="44"/>
      <c r="BK621" s="44"/>
      <c r="BL621" s="44"/>
      <c r="BM621" s="44"/>
      <c r="BO621" s="54"/>
      <c r="BP621" s="44"/>
      <c r="BQ621" s="44"/>
      <c r="BR621" s="44"/>
      <c r="BS621" s="44"/>
      <c r="BU621" s="54"/>
      <c r="BV621" s="44"/>
      <c r="BW621" s="44"/>
      <c r="BX621" s="44"/>
      <c r="BY621" s="44"/>
      <c r="CA621" s="54"/>
      <c r="CB621" s="44"/>
      <c r="CC621" s="44"/>
      <c r="CD621" s="44"/>
      <c r="CE621" s="44"/>
    </row>
    <row r="622" spans="1:83" x14ac:dyDescent="0.5">
      <c r="A622" s="369">
        <v>18035754</v>
      </c>
      <c r="B622" s="370">
        <v>18030262</v>
      </c>
      <c r="C622" s="371" t="s">
        <v>1386</v>
      </c>
      <c r="D622" s="372" t="s">
        <v>184</v>
      </c>
      <c r="E622" s="646" t="s">
        <v>185</v>
      </c>
      <c r="F622" s="623">
        <v>115</v>
      </c>
      <c r="G622" s="211">
        <v>43245</v>
      </c>
      <c r="H622" s="164">
        <v>18170</v>
      </c>
      <c r="I622" s="368" t="s">
        <v>869</v>
      </c>
      <c r="J622" s="647">
        <v>43246</v>
      </c>
      <c r="K622" s="375" t="s">
        <v>304</v>
      </c>
      <c r="L622" s="375" t="s">
        <v>305</v>
      </c>
      <c r="M622" s="375" t="s">
        <v>50</v>
      </c>
      <c r="N622" s="376">
        <v>754735</v>
      </c>
      <c r="O622" s="376">
        <v>52831.45</v>
      </c>
      <c r="P622" s="376">
        <f>SUM(N622:O622)</f>
        <v>807566.45</v>
      </c>
      <c r="Q622" s="430">
        <v>28000</v>
      </c>
      <c r="R622" s="378" t="s">
        <v>576</v>
      </c>
      <c r="S622" s="379">
        <f>N622-Q622</f>
        <v>726735</v>
      </c>
      <c r="T622" s="380">
        <v>5</v>
      </c>
      <c r="U622" s="381">
        <f>S622*T622/100</f>
        <v>36336.75</v>
      </c>
      <c r="V622" s="382">
        <f>S622-U622</f>
        <v>690398.25</v>
      </c>
      <c r="W622" s="383">
        <v>0.32</v>
      </c>
      <c r="X622" s="383">
        <f>V622*W622/100</f>
        <v>2209.2744000000002</v>
      </c>
      <c r="Y622" s="384">
        <v>0.2</v>
      </c>
      <c r="Z622" s="385">
        <f>V622*Y622/100</f>
        <v>1380.7964999999999</v>
      </c>
      <c r="AA622" s="123">
        <v>18060202</v>
      </c>
      <c r="AB622" s="478">
        <v>528314.5</v>
      </c>
      <c r="AC622" s="478">
        <f t="shared" si="101"/>
        <v>36982.014999999999</v>
      </c>
      <c r="AD622" s="478">
        <f t="shared" si="102"/>
        <v>565296.51500000001</v>
      </c>
      <c r="AE622" s="126">
        <v>43264</v>
      </c>
      <c r="AF622" s="127" t="s">
        <v>869</v>
      </c>
      <c r="AG622" s="612"/>
      <c r="AH622" s="127"/>
      <c r="AI622" s="103" t="s">
        <v>1093</v>
      </c>
      <c r="AJ622" s="128">
        <v>1</v>
      </c>
      <c r="AK622" s="611" t="s">
        <v>716</v>
      </c>
      <c r="AL622" s="131"/>
      <c r="AM622" s="131" t="s">
        <v>1205</v>
      </c>
      <c r="AN622" s="131">
        <v>1</v>
      </c>
      <c r="AO622" s="132" t="s">
        <v>634</v>
      </c>
      <c r="AP622" s="128">
        <v>2</v>
      </c>
      <c r="AQ622" s="123" t="s">
        <v>802</v>
      </c>
      <c r="AR622" s="131"/>
      <c r="AS622" s="131" t="s">
        <v>1205</v>
      </c>
      <c r="AT622" s="131">
        <v>1</v>
      </c>
      <c r="AU622" s="169" t="s">
        <v>634</v>
      </c>
      <c r="AV622" s="361"/>
      <c r="AW622" s="361"/>
      <c r="AX622" s="128"/>
      <c r="AY622" s="128"/>
      <c r="AZ622" s="361"/>
      <c r="BA622" s="133"/>
      <c r="BB622" s="361"/>
      <c r="BC622" s="361"/>
      <c r="BD622" s="128"/>
      <c r="BE622" s="128"/>
      <c r="BF622" s="361"/>
      <c r="BG622" s="133"/>
      <c r="BH622" s="361"/>
      <c r="BI622" s="361"/>
      <c r="BJ622" s="128"/>
      <c r="BK622" s="128"/>
      <c r="BL622" s="361"/>
      <c r="BM622" s="361"/>
      <c r="BN622" s="361"/>
      <c r="BO622" s="361"/>
      <c r="BP622" s="128"/>
      <c r="BQ622" s="128"/>
      <c r="BR622" s="361"/>
      <c r="BS622" s="361"/>
      <c r="BT622" s="361"/>
      <c r="BU622" s="361"/>
      <c r="BV622" s="128"/>
      <c r="BW622" s="128"/>
      <c r="BX622" s="361"/>
      <c r="BY622" s="361"/>
      <c r="BZ622" s="361"/>
      <c r="CA622" s="361"/>
      <c r="CB622" s="128"/>
      <c r="CC622" s="128"/>
      <c r="CD622" s="361"/>
      <c r="CE622" s="361"/>
    </row>
    <row r="623" spans="1:83" x14ac:dyDescent="0.5">
      <c r="A623" s="481"/>
      <c r="B623" s="256"/>
      <c r="C623" s="482"/>
      <c r="D623" s="483"/>
      <c r="E623" s="249" t="s">
        <v>185</v>
      </c>
      <c r="F623" s="250">
        <v>123</v>
      </c>
      <c r="G623" s="178">
        <v>43251</v>
      </c>
      <c r="H623" s="171">
        <v>18176</v>
      </c>
      <c r="I623" s="446"/>
      <c r="J623" s="170">
        <v>43252</v>
      </c>
      <c r="K623" s="433"/>
      <c r="L623" s="433"/>
      <c r="M623" s="433"/>
      <c r="N623" s="436"/>
      <c r="O623" s="436"/>
      <c r="P623" s="436"/>
      <c r="Q623" s="437"/>
      <c r="R623" s="438"/>
      <c r="S623" s="439"/>
      <c r="T623" s="440"/>
      <c r="U623" s="441"/>
      <c r="V623" s="442"/>
      <c r="W623" s="443"/>
      <c r="X623" s="443"/>
      <c r="Y623" s="444"/>
      <c r="Z623" s="445"/>
      <c r="AA623" s="154">
        <v>19090363</v>
      </c>
      <c r="AB623" s="494">
        <v>226420.5</v>
      </c>
      <c r="AC623" s="494">
        <f t="shared" si="101"/>
        <v>15849.434999999999</v>
      </c>
      <c r="AD623" s="494">
        <f t="shared" si="102"/>
        <v>242269.935</v>
      </c>
      <c r="AE623" s="157">
        <v>43731</v>
      </c>
      <c r="AF623" s="152" t="s">
        <v>869</v>
      </c>
      <c r="AG623" s="621"/>
      <c r="AH623" s="152"/>
      <c r="AI623" s="134" t="s">
        <v>3029</v>
      </c>
      <c r="AJ623" s="158"/>
      <c r="AK623" s="620"/>
      <c r="AL623" s="161"/>
      <c r="AM623" s="161"/>
      <c r="AN623" s="161"/>
      <c r="AO623" s="162"/>
      <c r="AP623" s="158"/>
      <c r="AQ623" s="154"/>
      <c r="AR623" s="161"/>
      <c r="AS623" s="161"/>
      <c r="AT623" s="161"/>
      <c r="AU623" s="177"/>
      <c r="AV623" s="458"/>
      <c r="AW623" s="458"/>
      <c r="AX623" s="158"/>
      <c r="AY623" s="158"/>
      <c r="AZ623" s="458"/>
      <c r="BA623" s="163"/>
      <c r="BB623" s="458"/>
      <c r="BC623" s="458"/>
      <c r="BD623" s="158"/>
      <c r="BE623" s="158"/>
      <c r="BF623" s="458"/>
      <c r="BG623" s="163"/>
      <c r="BH623" s="458"/>
      <c r="BI623" s="458"/>
      <c r="BJ623" s="158"/>
      <c r="BK623" s="158"/>
      <c r="BL623" s="458"/>
      <c r="BM623" s="458"/>
      <c r="BN623" s="458"/>
      <c r="BO623" s="458"/>
      <c r="BP623" s="158"/>
      <c r="BQ623" s="158"/>
      <c r="BR623" s="458"/>
      <c r="BS623" s="458"/>
      <c r="BT623" s="458"/>
      <c r="BU623" s="458"/>
      <c r="BV623" s="158"/>
      <c r="BW623" s="158"/>
      <c r="BX623" s="458"/>
      <c r="BY623" s="458"/>
      <c r="BZ623" s="458"/>
      <c r="CA623" s="458"/>
      <c r="CB623" s="158"/>
      <c r="CC623" s="158"/>
      <c r="CD623" s="458"/>
      <c r="CE623" s="458"/>
    </row>
    <row r="624" spans="1:83" x14ac:dyDescent="0.5">
      <c r="A624" s="481"/>
      <c r="B624" s="256"/>
      <c r="C624" s="482"/>
      <c r="D624" s="483"/>
      <c r="E624" s="648" t="s">
        <v>185</v>
      </c>
      <c r="F624" s="649">
        <v>124</v>
      </c>
      <c r="G624" s="178">
        <v>43251</v>
      </c>
      <c r="H624" s="171">
        <v>18177</v>
      </c>
      <c r="I624" s="446"/>
      <c r="J624" s="179"/>
      <c r="K624" s="433"/>
      <c r="L624" s="433"/>
      <c r="M624" s="433"/>
      <c r="N624" s="436"/>
      <c r="O624" s="436"/>
      <c r="P624" s="436"/>
      <c r="Q624" s="437"/>
      <c r="R624" s="438"/>
      <c r="S624" s="439"/>
      <c r="T624" s="440"/>
      <c r="U624" s="441"/>
      <c r="V624" s="442"/>
      <c r="W624" s="443"/>
      <c r="X624" s="443"/>
      <c r="Y624" s="444"/>
      <c r="Z624" s="445"/>
      <c r="AA624" s="620"/>
      <c r="AB624" s="494"/>
      <c r="AC624" s="585"/>
      <c r="AD624" s="585"/>
      <c r="AE624" s="256"/>
      <c r="AF624" s="152"/>
      <c r="AG624" s="621"/>
      <c r="AH624" s="152"/>
      <c r="AI624" s="134"/>
      <c r="AJ624" s="158"/>
      <c r="AK624" s="620"/>
      <c r="AL624" s="161"/>
      <c r="AM624" s="161"/>
      <c r="AN624" s="161"/>
      <c r="AO624" s="162"/>
      <c r="AP624" s="158"/>
      <c r="AQ624" s="154"/>
      <c r="AR624" s="161"/>
      <c r="AS624" s="161"/>
      <c r="AT624" s="161"/>
      <c r="AU624" s="177"/>
      <c r="AV624" s="458"/>
      <c r="AW624" s="458"/>
      <c r="AX624" s="158"/>
      <c r="AY624" s="158"/>
      <c r="AZ624" s="458"/>
      <c r="BA624" s="163"/>
      <c r="BB624" s="458"/>
      <c r="BC624" s="458"/>
      <c r="BD624" s="158"/>
      <c r="BE624" s="158"/>
      <c r="BF624" s="458"/>
      <c r="BG624" s="163"/>
      <c r="BH624" s="458"/>
      <c r="BI624" s="458"/>
      <c r="BJ624" s="158"/>
      <c r="BK624" s="158"/>
      <c r="BL624" s="458"/>
      <c r="BM624" s="458"/>
      <c r="BN624" s="458"/>
      <c r="BO624" s="458"/>
      <c r="BP624" s="158"/>
      <c r="BQ624" s="158"/>
      <c r="BR624" s="458"/>
      <c r="BS624" s="458"/>
      <c r="BT624" s="458"/>
      <c r="BU624" s="458"/>
      <c r="BV624" s="158"/>
      <c r="BW624" s="158"/>
      <c r="BX624" s="458"/>
      <c r="BY624" s="458"/>
      <c r="BZ624" s="458"/>
      <c r="CA624" s="458"/>
      <c r="CB624" s="158"/>
      <c r="CC624" s="158"/>
      <c r="CD624" s="458"/>
      <c r="CE624" s="458"/>
    </row>
    <row r="625" spans="1:83" x14ac:dyDescent="0.5">
      <c r="A625" s="481"/>
      <c r="B625" s="256"/>
      <c r="C625" s="482"/>
      <c r="D625" s="483"/>
      <c r="E625" s="138"/>
      <c r="F625" s="139"/>
      <c r="G625" s="170">
        <v>43251</v>
      </c>
      <c r="H625" s="251">
        <v>18178</v>
      </c>
      <c r="I625" s="446"/>
      <c r="J625" s="179"/>
      <c r="K625" s="433"/>
      <c r="L625" s="433"/>
      <c r="M625" s="433"/>
      <c r="N625" s="436"/>
      <c r="O625" s="436"/>
      <c r="P625" s="436"/>
      <c r="Q625" s="437"/>
      <c r="R625" s="438"/>
      <c r="S625" s="439"/>
      <c r="T625" s="440"/>
      <c r="U625" s="441"/>
      <c r="V625" s="442"/>
      <c r="W625" s="443"/>
      <c r="X625" s="443"/>
      <c r="Y625" s="444"/>
      <c r="Z625" s="445"/>
      <c r="AA625" s="620"/>
      <c r="AB625" s="494"/>
      <c r="AC625" s="585"/>
      <c r="AD625" s="585"/>
      <c r="AE625" s="256"/>
      <c r="AF625" s="152"/>
      <c r="AG625" s="621"/>
      <c r="AH625" s="152"/>
      <c r="AI625" s="134"/>
      <c r="AJ625" s="158"/>
      <c r="AK625" s="620"/>
      <c r="AL625" s="161"/>
      <c r="AM625" s="161"/>
      <c r="AN625" s="161"/>
      <c r="AO625" s="162"/>
      <c r="AP625" s="158"/>
      <c r="AQ625" s="154"/>
      <c r="AR625" s="161"/>
      <c r="AS625" s="161"/>
      <c r="AT625" s="161"/>
      <c r="AU625" s="177"/>
      <c r="AV625" s="458"/>
      <c r="AW625" s="458"/>
      <c r="AX625" s="158"/>
      <c r="AY625" s="158"/>
      <c r="AZ625" s="458"/>
      <c r="BA625" s="163"/>
      <c r="BB625" s="458"/>
      <c r="BC625" s="458"/>
      <c r="BD625" s="158"/>
      <c r="BE625" s="158"/>
      <c r="BF625" s="458"/>
      <c r="BG625" s="163"/>
      <c r="BH625" s="458"/>
      <c r="BI625" s="458"/>
      <c r="BJ625" s="158"/>
      <c r="BK625" s="158"/>
      <c r="BL625" s="458"/>
      <c r="BM625" s="458"/>
      <c r="BN625" s="458"/>
      <c r="BO625" s="458"/>
      <c r="BP625" s="158"/>
      <c r="BQ625" s="158"/>
      <c r="BR625" s="458"/>
      <c r="BS625" s="458"/>
      <c r="BT625" s="458"/>
      <c r="BU625" s="458"/>
      <c r="BV625" s="158"/>
      <c r="BW625" s="158"/>
      <c r="BX625" s="458"/>
      <c r="BY625" s="458"/>
      <c r="BZ625" s="458"/>
      <c r="CA625" s="458"/>
      <c r="CB625" s="158"/>
      <c r="CC625" s="158"/>
      <c r="CD625" s="458"/>
      <c r="CE625" s="458"/>
    </row>
    <row r="626" spans="1:83" x14ac:dyDescent="0.5">
      <c r="A626" s="396"/>
      <c r="B626" s="241"/>
      <c r="C626" s="397"/>
      <c r="D626" s="398"/>
      <c r="E626" s="184"/>
      <c r="F626" s="185"/>
      <c r="G626" s="186">
        <v>43251</v>
      </c>
      <c r="H626" s="187">
        <v>18179</v>
      </c>
      <c r="I626" s="412"/>
      <c r="J626" s="186">
        <v>43253</v>
      </c>
      <c r="K626" s="401"/>
      <c r="L626" s="401"/>
      <c r="M626" s="401"/>
      <c r="N626" s="402"/>
      <c r="O626" s="402"/>
      <c r="P626" s="402"/>
      <c r="Q626" s="462"/>
      <c r="R626" s="404"/>
      <c r="S626" s="405"/>
      <c r="T626" s="406"/>
      <c r="U626" s="407"/>
      <c r="V626" s="408"/>
      <c r="W626" s="409"/>
      <c r="X626" s="409"/>
      <c r="Y626" s="410"/>
      <c r="Z626" s="411"/>
      <c r="AA626" s="588"/>
      <c r="AB626" s="509"/>
      <c r="AC626" s="510"/>
      <c r="AD626" s="510"/>
      <c r="AE626" s="241"/>
      <c r="AF626" s="199"/>
      <c r="AG626" s="615"/>
      <c r="AH626" s="199"/>
      <c r="AI626" s="180"/>
      <c r="AJ626" s="204"/>
      <c r="AK626" s="588"/>
      <c r="AL626" s="207"/>
      <c r="AM626" s="207"/>
      <c r="AN626" s="207"/>
      <c r="AO626" s="208"/>
      <c r="AP626" s="204"/>
      <c r="AQ626" s="200"/>
      <c r="AR626" s="207"/>
      <c r="AS626" s="207"/>
      <c r="AT626" s="207"/>
      <c r="AU626" s="209"/>
      <c r="AV626" s="365"/>
      <c r="AW626" s="365"/>
      <c r="AX626" s="204"/>
      <c r="AY626" s="204"/>
      <c r="AZ626" s="365"/>
      <c r="BA626" s="210"/>
      <c r="BB626" s="365"/>
      <c r="BC626" s="365"/>
      <c r="BD626" s="204"/>
      <c r="BE626" s="204"/>
      <c r="BF626" s="365"/>
      <c r="BG626" s="210"/>
      <c r="BH626" s="365"/>
      <c r="BI626" s="365"/>
      <c r="BJ626" s="204"/>
      <c r="BK626" s="204"/>
      <c r="BL626" s="365"/>
      <c r="BM626" s="365"/>
      <c r="BN626" s="365"/>
      <c r="BO626" s="365"/>
      <c r="BP626" s="204"/>
      <c r="BQ626" s="204"/>
      <c r="BR626" s="365"/>
      <c r="BS626" s="365"/>
      <c r="BT626" s="365"/>
      <c r="BU626" s="365"/>
      <c r="BV626" s="204"/>
      <c r="BW626" s="204"/>
      <c r="BX626" s="365"/>
      <c r="BY626" s="365"/>
      <c r="BZ626" s="365"/>
      <c r="CA626" s="365"/>
      <c r="CB626" s="204"/>
      <c r="CC626" s="204"/>
      <c r="CD626" s="365"/>
      <c r="CE626" s="365"/>
    </row>
    <row r="627" spans="1:83" x14ac:dyDescent="0.5">
      <c r="A627" s="227">
        <v>18035753</v>
      </c>
      <c r="B627" s="22">
        <v>18030260</v>
      </c>
      <c r="C627" s="23" t="s">
        <v>1392</v>
      </c>
      <c r="D627" s="24" t="s">
        <v>184</v>
      </c>
      <c r="E627" s="25" t="s">
        <v>185</v>
      </c>
      <c r="F627" s="26" t="s">
        <v>1371</v>
      </c>
      <c r="G627" s="62">
        <v>43195</v>
      </c>
      <c r="H627" s="27">
        <v>18135</v>
      </c>
      <c r="I627" s="39" t="s">
        <v>869</v>
      </c>
      <c r="J627" s="62">
        <v>43195</v>
      </c>
      <c r="K627" s="42" t="s">
        <v>10</v>
      </c>
      <c r="L627" s="520" t="s">
        <v>397</v>
      </c>
      <c r="M627" s="22" t="s">
        <v>51</v>
      </c>
      <c r="N627" s="63">
        <v>139000</v>
      </c>
      <c r="O627" s="63">
        <v>9730</v>
      </c>
      <c r="P627" s="63">
        <f>SUM(N627:O627)</f>
        <v>148730</v>
      </c>
      <c r="AA627" s="40">
        <v>18040134</v>
      </c>
      <c r="AB627" s="41">
        <v>139000</v>
      </c>
      <c r="AC627" s="64">
        <f t="shared" ref="AC627:AC640" si="104">AB627*7/100</f>
        <v>9730</v>
      </c>
      <c r="AD627" s="64">
        <f t="shared" ref="AD627:AD640" si="105">AB627+AC627</f>
        <v>148730</v>
      </c>
      <c r="AE627" s="53">
        <v>43224</v>
      </c>
      <c r="AF627" s="39" t="s">
        <v>869</v>
      </c>
      <c r="AI627" s="21" t="s">
        <v>1018</v>
      </c>
      <c r="AJ627" s="44">
        <v>1</v>
      </c>
      <c r="AK627" s="45" t="s">
        <v>742</v>
      </c>
      <c r="AL627" s="46" t="s">
        <v>1205</v>
      </c>
      <c r="AN627" s="47">
        <v>1</v>
      </c>
      <c r="AO627" s="48" t="s">
        <v>635</v>
      </c>
      <c r="AP627" s="44">
        <v>2</v>
      </c>
      <c r="AQ627" s="40" t="s">
        <v>743</v>
      </c>
      <c r="AU627" s="59"/>
      <c r="AV627" s="356"/>
      <c r="AW627" s="356"/>
      <c r="AX627" s="44"/>
      <c r="AY627" s="44"/>
      <c r="AZ627" s="356"/>
      <c r="BA627" s="54"/>
      <c r="BB627" s="356"/>
      <c r="BC627" s="356"/>
      <c r="BD627" s="44"/>
      <c r="BE627" s="44"/>
      <c r="BF627" s="356"/>
      <c r="BG627" s="54"/>
      <c r="BH627" s="356"/>
      <c r="BI627" s="356"/>
      <c r="BJ627" s="44"/>
      <c r="BK627" s="44"/>
      <c r="BL627" s="356"/>
      <c r="BM627" s="356"/>
      <c r="BN627" s="356"/>
      <c r="BO627" s="356"/>
      <c r="BP627" s="44"/>
      <c r="BQ627" s="44"/>
      <c r="BR627" s="356"/>
      <c r="BS627" s="356"/>
      <c r="BT627" s="356"/>
      <c r="BU627" s="356"/>
      <c r="BV627" s="44"/>
      <c r="BW627" s="44"/>
      <c r="BX627" s="356"/>
      <c r="BY627" s="356"/>
      <c r="BZ627" s="356"/>
      <c r="CA627" s="356"/>
      <c r="CB627" s="44"/>
      <c r="CC627" s="44"/>
      <c r="CD627" s="356"/>
      <c r="CE627" s="356"/>
    </row>
    <row r="628" spans="1:83" x14ac:dyDescent="0.5">
      <c r="A628" s="259">
        <v>18035752</v>
      </c>
      <c r="B628" s="104">
        <v>18030259</v>
      </c>
      <c r="C628" s="105" t="s">
        <v>1393</v>
      </c>
      <c r="D628" s="106" t="s">
        <v>184</v>
      </c>
      <c r="E628" s="107" t="s">
        <v>185</v>
      </c>
      <c r="F628" s="108">
        <v>105</v>
      </c>
      <c r="G628" s="211">
        <v>43222</v>
      </c>
      <c r="H628" s="164">
        <v>18151</v>
      </c>
      <c r="I628" s="127" t="s">
        <v>869</v>
      </c>
      <c r="J628" s="122">
        <v>43223</v>
      </c>
      <c r="K628" s="547" t="s">
        <v>60</v>
      </c>
      <c r="L628" s="548" t="s">
        <v>398</v>
      </c>
      <c r="M628" s="104" t="s">
        <v>51</v>
      </c>
      <c r="N628" s="260">
        <v>2450000</v>
      </c>
      <c r="O628" s="260">
        <v>171500</v>
      </c>
      <c r="P628" s="260">
        <f>SUM(N628:O628)</f>
        <v>2621500</v>
      </c>
      <c r="Q628" s="311"/>
      <c r="R628" s="113"/>
      <c r="S628" s="114"/>
      <c r="T628" s="115"/>
      <c r="U628" s="550"/>
      <c r="V628" s="551"/>
      <c r="W628" s="552"/>
      <c r="X628" s="552"/>
      <c r="Y628" s="553"/>
      <c r="Z628" s="120"/>
      <c r="AA628" s="123">
        <v>18050166</v>
      </c>
      <c r="AB628" s="124">
        <v>2450000</v>
      </c>
      <c r="AC628" s="261">
        <f t="shared" si="104"/>
        <v>171500</v>
      </c>
      <c r="AD628" s="261">
        <f t="shared" si="105"/>
        <v>2621500</v>
      </c>
      <c r="AE628" s="126">
        <v>43273</v>
      </c>
      <c r="AF628" s="127" t="s">
        <v>869</v>
      </c>
      <c r="AG628" s="127"/>
      <c r="AH628" s="127"/>
      <c r="AI628" s="103" t="s">
        <v>1092</v>
      </c>
      <c r="AJ628" s="128">
        <v>1</v>
      </c>
      <c r="AK628" s="129" t="s">
        <v>823</v>
      </c>
      <c r="AL628" s="130" t="s">
        <v>1205</v>
      </c>
      <c r="AM628" s="130"/>
      <c r="AN628" s="131">
        <v>1</v>
      </c>
      <c r="AO628" s="132" t="s">
        <v>634</v>
      </c>
      <c r="AP628" s="361"/>
      <c r="AQ628" s="361"/>
      <c r="AR628" s="128"/>
      <c r="AS628" s="128"/>
      <c r="AT628" s="361"/>
      <c r="AU628" s="133"/>
      <c r="AV628" s="361"/>
      <c r="AW628" s="361"/>
      <c r="AX628" s="128"/>
      <c r="AY628" s="128"/>
      <c r="AZ628" s="361"/>
      <c r="BA628" s="133"/>
      <c r="BB628" s="361"/>
      <c r="BC628" s="361"/>
      <c r="BD628" s="128"/>
      <c r="BE628" s="128"/>
      <c r="BF628" s="361"/>
      <c r="BG628" s="133"/>
      <c r="BH628" s="361"/>
      <c r="BI628" s="361"/>
      <c r="BJ628" s="128"/>
      <c r="BK628" s="128"/>
      <c r="BL628" s="361"/>
      <c r="BM628" s="361"/>
      <c r="BN628" s="361"/>
      <c r="BO628" s="361"/>
      <c r="BP628" s="128"/>
      <c r="BQ628" s="128"/>
      <c r="BR628" s="361"/>
      <c r="BS628" s="361"/>
      <c r="BT628" s="361"/>
      <c r="BU628" s="361"/>
      <c r="BV628" s="128"/>
      <c r="BW628" s="128"/>
      <c r="BX628" s="361"/>
      <c r="BY628" s="361"/>
      <c r="BZ628" s="361"/>
      <c r="CA628" s="361"/>
      <c r="CB628" s="128"/>
      <c r="CC628" s="128"/>
      <c r="CD628" s="361"/>
      <c r="CE628" s="361"/>
    </row>
    <row r="629" spans="1:83" x14ac:dyDescent="0.5">
      <c r="A629" s="262"/>
      <c r="B629" s="135"/>
      <c r="C629" s="136"/>
      <c r="D629" s="137"/>
      <c r="E629" s="138"/>
      <c r="F629" s="139"/>
      <c r="G629" s="170">
        <v>43222</v>
      </c>
      <c r="H629" s="251">
        <v>18152</v>
      </c>
      <c r="I629" s="152"/>
      <c r="J629" s="179"/>
      <c r="K629" s="255"/>
      <c r="L629" s="300"/>
      <c r="M629" s="135"/>
      <c r="N629" s="253"/>
      <c r="O629" s="253"/>
      <c r="P629" s="253"/>
      <c r="Q629" s="143"/>
      <c r="R629" s="144"/>
      <c r="S629" s="145"/>
      <c r="T629" s="146"/>
      <c r="U629" s="529"/>
      <c r="V629" s="555"/>
      <c r="W629" s="556"/>
      <c r="X629" s="556"/>
      <c r="Y629" s="557"/>
      <c r="Z629" s="151"/>
      <c r="AA629" s="154"/>
      <c r="AB629" s="155"/>
      <c r="AC629" s="263"/>
      <c r="AD629" s="263"/>
      <c r="AE629" s="157"/>
      <c r="AF629" s="152"/>
      <c r="AG629" s="152"/>
      <c r="AH629" s="152"/>
      <c r="AI629" s="134"/>
      <c r="AJ629" s="158"/>
      <c r="AK629" s="159"/>
      <c r="AL629" s="160"/>
      <c r="AM629" s="160"/>
      <c r="AN629" s="161"/>
      <c r="AO629" s="162"/>
      <c r="AP629" s="458"/>
      <c r="AQ629" s="458"/>
      <c r="AR629" s="158"/>
      <c r="AS629" s="158"/>
      <c r="AT629" s="458"/>
      <c r="AU629" s="163"/>
      <c r="AV629" s="458"/>
      <c r="AW629" s="458"/>
      <c r="AX629" s="158"/>
      <c r="AY629" s="158"/>
      <c r="AZ629" s="458"/>
      <c r="BA629" s="163"/>
      <c r="BB629" s="458"/>
      <c r="BC629" s="458"/>
      <c r="BD629" s="158"/>
      <c r="BE629" s="158"/>
      <c r="BF629" s="458"/>
      <c r="BG629" s="163"/>
      <c r="BH629" s="458"/>
      <c r="BI629" s="458"/>
      <c r="BJ629" s="158"/>
      <c r="BK629" s="158"/>
      <c r="BL629" s="458"/>
      <c r="BM629" s="458"/>
      <c r="BN629" s="458"/>
      <c r="BO629" s="458"/>
      <c r="BP629" s="158"/>
      <c r="BQ629" s="158"/>
      <c r="BR629" s="458"/>
      <c r="BS629" s="458"/>
      <c r="BT629" s="458"/>
      <c r="BU629" s="458"/>
      <c r="BV629" s="158"/>
      <c r="BW629" s="158"/>
      <c r="BX629" s="458"/>
      <c r="BY629" s="458"/>
      <c r="BZ629" s="458"/>
      <c r="CA629" s="458"/>
      <c r="CB629" s="158"/>
      <c r="CC629" s="158"/>
      <c r="CD629" s="458"/>
      <c r="CE629" s="458"/>
    </row>
    <row r="630" spans="1:83" x14ac:dyDescent="0.5">
      <c r="A630" s="262"/>
      <c r="B630" s="135"/>
      <c r="C630" s="136"/>
      <c r="D630" s="137"/>
      <c r="E630" s="138"/>
      <c r="F630" s="139"/>
      <c r="G630" s="170">
        <v>43222</v>
      </c>
      <c r="H630" s="251">
        <v>18153</v>
      </c>
      <c r="I630" s="152"/>
      <c r="J630" s="179"/>
      <c r="K630" s="255"/>
      <c r="L630" s="300"/>
      <c r="M630" s="135"/>
      <c r="N630" s="253"/>
      <c r="O630" s="253"/>
      <c r="P630" s="253"/>
      <c r="Q630" s="143"/>
      <c r="R630" s="144"/>
      <c r="S630" s="145"/>
      <c r="T630" s="146"/>
      <c r="U630" s="529"/>
      <c r="V630" s="555"/>
      <c r="W630" s="556"/>
      <c r="X630" s="556"/>
      <c r="Y630" s="557"/>
      <c r="Z630" s="151"/>
      <c r="AA630" s="154"/>
      <c r="AB630" s="155"/>
      <c r="AC630" s="263"/>
      <c r="AD630" s="263"/>
      <c r="AE630" s="157"/>
      <c r="AF630" s="152"/>
      <c r="AG630" s="152"/>
      <c r="AH630" s="152"/>
      <c r="AI630" s="134"/>
      <c r="AJ630" s="158"/>
      <c r="AK630" s="159"/>
      <c r="AL630" s="160"/>
      <c r="AM630" s="160"/>
      <c r="AN630" s="161"/>
      <c r="AO630" s="162"/>
      <c r="AP630" s="458"/>
      <c r="AQ630" s="458"/>
      <c r="AR630" s="158"/>
      <c r="AS630" s="158"/>
      <c r="AT630" s="458"/>
      <c r="AU630" s="163"/>
      <c r="AV630" s="458"/>
      <c r="AW630" s="458"/>
      <c r="AX630" s="158"/>
      <c r="AY630" s="158"/>
      <c r="AZ630" s="458"/>
      <c r="BA630" s="163"/>
      <c r="BB630" s="458"/>
      <c r="BC630" s="458"/>
      <c r="BD630" s="158"/>
      <c r="BE630" s="158"/>
      <c r="BF630" s="458"/>
      <c r="BG630" s="163"/>
      <c r="BH630" s="458"/>
      <c r="BI630" s="458"/>
      <c r="BJ630" s="158"/>
      <c r="BK630" s="158"/>
      <c r="BL630" s="458"/>
      <c r="BM630" s="458"/>
      <c r="BN630" s="458"/>
      <c r="BO630" s="458"/>
      <c r="BP630" s="158"/>
      <c r="BQ630" s="158"/>
      <c r="BR630" s="458"/>
      <c r="BS630" s="458"/>
      <c r="BT630" s="458"/>
      <c r="BU630" s="458"/>
      <c r="BV630" s="158"/>
      <c r="BW630" s="158"/>
      <c r="BX630" s="458"/>
      <c r="BY630" s="458"/>
      <c r="BZ630" s="458"/>
      <c r="CA630" s="458"/>
      <c r="CB630" s="158"/>
      <c r="CC630" s="158"/>
      <c r="CD630" s="458"/>
      <c r="CE630" s="458"/>
    </row>
    <row r="631" spans="1:83" x14ac:dyDescent="0.5">
      <c r="A631" s="262"/>
      <c r="B631" s="135"/>
      <c r="C631" s="136"/>
      <c r="D631" s="137"/>
      <c r="E631" s="138"/>
      <c r="F631" s="139"/>
      <c r="G631" s="170">
        <v>43222</v>
      </c>
      <c r="H631" s="251">
        <v>18154</v>
      </c>
      <c r="I631" s="152"/>
      <c r="J631" s="179"/>
      <c r="K631" s="255"/>
      <c r="L631" s="300"/>
      <c r="M631" s="135"/>
      <c r="N631" s="253"/>
      <c r="O631" s="253"/>
      <c r="P631" s="253"/>
      <c r="Q631" s="143"/>
      <c r="R631" s="144"/>
      <c r="S631" s="145"/>
      <c r="T631" s="146"/>
      <c r="U631" s="529"/>
      <c r="V631" s="555"/>
      <c r="W631" s="556"/>
      <c r="X631" s="556"/>
      <c r="Y631" s="557"/>
      <c r="Z631" s="151"/>
      <c r="AA631" s="154"/>
      <c r="AB631" s="155"/>
      <c r="AC631" s="263"/>
      <c r="AD631" s="263"/>
      <c r="AE631" s="157"/>
      <c r="AF631" s="152"/>
      <c r="AG631" s="152"/>
      <c r="AH631" s="152"/>
      <c r="AI631" s="134"/>
      <c r="AJ631" s="158"/>
      <c r="AK631" s="159"/>
      <c r="AL631" s="160"/>
      <c r="AM631" s="160"/>
      <c r="AN631" s="161"/>
      <c r="AO631" s="162"/>
      <c r="AP631" s="458"/>
      <c r="AQ631" s="458"/>
      <c r="AR631" s="158"/>
      <c r="AS631" s="158"/>
      <c r="AT631" s="458"/>
      <c r="AU631" s="163"/>
      <c r="AV631" s="458"/>
      <c r="AW631" s="458"/>
      <c r="AX631" s="158"/>
      <c r="AY631" s="158"/>
      <c r="AZ631" s="458"/>
      <c r="BA631" s="163"/>
      <c r="BB631" s="458"/>
      <c r="BC631" s="458"/>
      <c r="BD631" s="158"/>
      <c r="BE631" s="158"/>
      <c r="BF631" s="458"/>
      <c r="BG631" s="163"/>
      <c r="BH631" s="458"/>
      <c r="BI631" s="458"/>
      <c r="BJ631" s="158"/>
      <c r="BK631" s="158"/>
      <c r="BL631" s="458"/>
      <c r="BM631" s="458"/>
      <c r="BN631" s="458"/>
      <c r="BO631" s="458"/>
      <c r="BP631" s="158"/>
      <c r="BQ631" s="158"/>
      <c r="BR631" s="458"/>
      <c r="BS631" s="458"/>
      <c r="BT631" s="458"/>
      <c r="BU631" s="458"/>
      <c r="BV631" s="158"/>
      <c r="BW631" s="158"/>
      <c r="BX631" s="458"/>
      <c r="BY631" s="458"/>
      <c r="BZ631" s="458"/>
      <c r="CA631" s="458"/>
      <c r="CB631" s="158"/>
      <c r="CC631" s="158"/>
      <c r="CD631" s="458"/>
      <c r="CE631" s="458"/>
    </row>
    <row r="632" spans="1:83" x14ac:dyDescent="0.5">
      <c r="A632" s="262"/>
      <c r="B632" s="135"/>
      <c r="C632" s="136"/>
      <c r="D632" s="137"/>
      <c r="E632" s="138"/>
      <c r="F632" s="139"/>
      <c r="G632" s="179">
        <v>43222</v>
      </c>
      <c r="H632" s="140">
        <v>18155</v>
      </c>
      <c r="I632" s="152"/>
      <c r="J632" s="179"/>
      <c r="K632" s="255"/>
      <c r="L632" s="300"/>
      <c r="M632" s="135"/>
      <c r="N632" s="253"/>
      <c r="O632" s="253"/>
      <c r="P632" s="253"/>
      <c r="Q632" s="143"/>
      <c r="R632" s="144"/>
      <c r="S632" s="145"/>
      <c r="T632" s="146"/>
      <c r="U632" s="529"/>
      <c r="V632" s="555"/>
      <c r="W632" s="556"/>
      <c r="X632" s="556"/>
      <c r="Y632" s="557"/>
      <c r="Z632" s="151"/>
      <c r="AA632" s="154"/>
      <c r="AB632" s="155"/>
      <c r="AC632" s="263"/>
      <c r="AD632" s="263"/>
      <c r="AE632" s="157"/>
      <c r="AF632" s="152"/>
      <c r="AG632" s="152"/>
      <c r="AH632" s="152"/>
      <c r="AI632" s="134"/>
      <c r="AJ632" s="158"/>
      <c r="AK632" s="159"/>
      <c r="AL632" s="160"/>
      <c r="AM632" s="160"/>
      <c r="AN632" s="161"/>
      <c r="AO632" s="162"/>
      <c r="AP632" s="458"/>
      <c r="AQ632" s="458"/>
      <c r="AR632" s="158"/>
      <c r="AS632" s="158"/>
      <c r="AT632" s="458"/>
      <c r="AU632" s="163"/>
      <c r="AV632" s="458"/>
      <c r="AW632" s="458"/>
      <c r="AX632" s="158"/>
      <c r="AY632" s="158"/>
      <c r="AZ632" s="458"/>
      <c r="BA632" s="163"/>
      <c r="BB632" s="458"/>
      <c r="BC632" s="458"/>
      <c r="BD632" s="158"/>
      <c r="BE632" s="158"/>
      <c r="BF632" s="458"/>
      <c r="BG632" s="163"/>
      <c r="BH632" s="458"/>
      <c r="BI632" s="458"/>
      <c r="BJ632" s="158"/>
      <c r="BK632" s="158"/>
      <c r="BL632" s="458"/>
      <c r="BM632" s="458"/>
      <c r="BN632" s="458"/>
      <c r="BO632" s="458"/>
      <c r="BP632" s="158"/>
      <c r="BQ632" s="158"/>
      <c r="BR632" s="458"/>
      <c r="BS632" s="458"/>
      <c r="BT632" s="458"/>
      <c r="BU632" s="458"/>
      <c r="BV632" s="158"/>
      <c r="BW632" s="158"/>
      <c r="BX632" s="458"/>
      <c r="BY632" s="458"/>
      <c r="BZ632" s="458"/>
      <c r="CA632" s="458"/>
      <c r="CB632" s="158"/>
      <c r="CC632" s="158"/>
      <c r="CD632" s="458"/>
      <c r="CE632" s="458"/>
    </row>
    <row r="633" spans="1:83" x14ac:dyDescent="0.5">
      <c r="A633" s="262"/>
      <c r="B633" s="135"/>
      <c r="C633" s="136"/>
      <c r="D633" s="137"/>
      <c r="E633" s="138"/>
      <c r="F633" s="139"/>
      <c r="G633" s="178">
        <v>43222</v>
      </c>
      <c r="H633" s="171">
        <v>18156</v>
      </c>
      <c r="I633" s="152"/>
      <c r="J633" s="179"/>
      <c r="K633" s="255"/>
      <c r="L633" s="300"/>
      <c r="M633" s="135"/>
      <c r="N633" s="253"/>
      <c r="O633" s="253"/>
      <c r="P633" s="253"/>
      <c r="Q633" s="143"/>
      <c r="R633" s="144"/>
      <c r="S633" s="145"/>
      <c r="T633" s="146"/>
      <c r="U633" s="529"/>
      <c r="V633" s="555"/>
      <c r="W633" s="556"/>
      <c r="X633" s="556"/>
      <c r="Y633" s="557"/>
      <c r="Z633" s="151"/>
      <c r="AA633" s="154"/>
      <c r="AB633" s="155"/>
      <c r="AC633" s="263"/>
      <c r="AD633" s="263"/>
      <c r="AE633" s="157"/>
      <c r="AF633" s="152"/>
      <c r="AG633" s="152"/>
      <c r="AH633" s="152"/>
      <c r="AI633" s="134"/>
      <c r="AJ633" s="158"/>
      <c r="AK633" s="159"/>
      <c r="AL633" s="160"/>
      <c r="AM633" s="160"/>
      <c r="AN633" s="161"/>
      <c r="AO633" s="162"/>
      <c r="AP633" s="458"/>
      <c r="AQ633" s="458"/>
      <c r="AR633" s="158"/>
      <c r="AS633" s="158"/>
      <c r="AT633" s="458"/>
      <c r="AU633" s="163"/>
      <c r="AV633" s="458"/>
      <c r="AW633" s="458"/>
      <c r="AX633" s="158"/>
      <c r="AY633" s="158"/>
      <c r="AZ633" s="458"/>
      <c r="BA633" s="163"/>
      <c r="BB633" s="458"/>
      <c r="BC633" s="458"/>
      <c r="BD633" s="158"/>
      <c r="BE633" s="158"/>
      <c r="BF633" s="458"/>
      <c r="BG633" s="163"/>
      <c r="BH633" s="458"/>
      <c r="BI633" s="458"/>
      <c r="BJ633" s="158"/>
      <c r="BK633" s="158"/>
      <c r="BL633" s="458"/>
      <c r="BM633" s="458"/>
      <c r="BN633" s="458"/>
      <c r="BO633" s="458"/>
      <c r="BP633" s="158"/>
      <c r="BQ633" s="158"/>
      <c r="BR633" s="458"/>
      <c r="BS633" s="458"/>
      <c r="BT633" s="458"/>
      <c r="BU633" s="458"/>
      <c r="BV633" s="158"/>
      <c r="BW633" s="158"/>
      <c r="BX633" s="458"/>
      <c r="BY633" s="458"/>
      <c r="BZ633" s="458"/>
      <c r="CA633" s="458"/>
      <c r="CB633" s="158"/>
      <c r="CC633" s="158"/>
      <c r="CD633" s="458"/>
      <c r="CE633" s="458"/>
    </row>
    <row r="634" spans="1:83" x14ac:dyDescent="0.5">
      <c r="A634" s="268"/>
      <c r="B634" s="181"/>
      <c r="C634" s="182"/>
      <c r="D634" s="183"/>
      <c r="E634" s="184"/>
      <c r="F634" s="185"/>
      <c r="G634" s="186">
        <v>43222</v>
      </c>
      <c r="H634" s="187">
        <v>18157</v>
      </c>
      <c r="I634" s="199"/>
      <c r="J634" s="186"/>
      <c r="K634" s="240"/>
      <c r="L634" s="558"/>
      <c r="M634" s="181"/>
      <c r="N634" s="237"/>
      <c r="O634" s="237"/>
      <c r="P634" s="237"/>
      <c r="Q634" s="190"/>
      <c r="R634" s="215"/>
      <c r="S634" s="216"/>
      <c r="T634" s="217"/>
      <c r="U634" s="544"/>
      <c r="V634" s="560"/>
      <c r="W634" s="561"/>
      <c r="X634" s="561"/>
      <c r="Y634" s="562"/>
      <c r="Z634" s="198"/>
      <c r="AA634" s="200"/>
      <c r="AB634" s="201"/>
      <c r="AC634" s="238"/>
      <c r="AD634" s="238"/>
      <c r="AE634" s="203"/>
      <c r="AF634" s="199"/>
      <c r="AG634" s="199"/>
      <c r="AH634" s="199"/>
      <c r="AI634" s="180"/>
      <c r="AJ634" s="204"/>
      <c r="AK634" s="205"/>
      <c r="AL634" s="206"/>
      <c r="AM634" s="206"/>
      <c r="AN634" s="207"/>
      <c r="AO634" s="208"/>
      <c r="AP634" s="365"/>
      <c r="AQ634" s="365"/>
      <c r="AR634" s="204"/>
      <c r="AS634" s="204"/>
      <c r="AT634" s="365"/>
      <c r="AU634" s="210"/>
      <c r="AV634" s="365"/>
      <c r="AW634" s="365"/>
      <c r="AX634" s="204"/>
      <c r="AY634" s="204"/>
      <c r="AZ634" s="365"/>
      <c r="BA634" s="210"/>
      <c r="BB634" s="365"/>
      <c r="BC634" s="365"/>
      <c r="BD634" s="204"/>
      <c r="BE634" s="204"/>
      <c r="BF634" s="365"/>
      <c r="BG634" s="210"/>
      <c r="BH634" s="365"/>
      <c r="BI634" s="365"/>
      <c r="BJ634" s="204"/>
      <c r="BK634" s="204"/>
      <c r="BL634" s="365"/>
      <c r="BM634" s="365"/>
      <c r="BN634" s="365"/>
      <c r="BO634" s="365"/>
      <c r="BP634" s="204"/>
      <c r="BQ634" s="204"/>
      <c r="BR634" s="365"/>
      <c r="BS634" s="365"/>
      <c r="BT634" s="365"/>
      <c r="BU634" s="365"/>
      <c r="BV634" s="204"/>
      <c r="BW634" s="204"/>
      <c r="BX634" s="365"/>
      <c r="BY634" s="365"/>
      <c r="BZ634" s="365"/>
      <c r="CA634" s="365"/>
      <c r="CB634" s="204"/>
      <c r="CC634" s="204"/>
      <c r="CD634" s="365"/>
      <c r="CE634" s="365"/>
    </row>
    <row r="635" spans="1:83" x14ac:dyDescent="0.5">
      <c r="A635" s="227">
        <v>18035751</v>
      </c>
      <c r="B635" s="22">
        <v>18030257</v>
      </c>
      <c r="C635" s="55"/>
      <c r="D635" s="56"/>
      <c r="I635" s="39" t="s">
        <v>869</v>
      </c>
      <c r="K635" s="42" t="s">
        <v>399</v>
      </c>
      <c r="L635" s="520" t="s">
        <v>400</v>
      </c>
      <c r="M635" s="22" t="s">
        <v>51</v>
      </c>
      <c r="N635" s="63">
        <v>23000</v>
      </c>
      <c r="O635" s="63">
        <f>N635*7/100</f>
        <v>1610</v>
      </c>
      <c r="P635" s="63">
        <f>N635+O635</f>
        <v>24610</v>
      </c>
      <c r="AA635" s="40">
        <v>18050181</v>
      </c>
      <c r="AB635" s="41">
        <v>23000</v>
      </c>
      <c r="AC635" s="64">
        <f t="shared" si="104"/>
        <v>1610</v>
      </c>
      <c r="AD635" s="64">
        <f t="shared" si="105"/>
        <v>24610</v>
      </c>
      <c r="AE635" s="53">
        <v>43280</v>
      </c>
      <c r="AF635" s="39" t="s">
        <v>869</v>
      </c>
      <c r="AI635" s="21" t="s">
        <v>1077</v>
      </c>
      <c r="AJ635" s="44">
        <v>1</v>
      </c>
      <c r="AP635" s="44">
        <v>2</v>
      </c>
      <c r="AV635" s="44">
        <v>3</v>
      </c>
      <c r="BB635" s="44">
        <v>4</v>
      </c>
      <c r="BH635" s="44">
        <v>5</v>
      </c>
      <c r="BN635" s="44">
        <v>6</v>
      </c>
      <c r="BT635" s="44">
        <v>7</v>
      </c>
      <c r="BZ635" s="44">
        <v>8</v>
      </c>
    </row>
    <row r="636" spans="1:83" x14ac:dyDescent="0.5">
      <c r="A636" s="227">
        <v>18035750</v>
      </c>
      <c r="B636" s="22">
        <v>18030244</v>
      </c>
      <c r="C636" s="23" t="s">
        <v>1394</v>
      </c>
      <c r="D636" s="24" t="s">
        <v>184</v>
      </c>
      <c r="E636" s="25" t="s">
        <v>185</v>
      </c>
      <c r="F636" s="26" t="s">
        <v>1375</v>
      </c>
      <c r="G636" s="62">
        <v>43189</v>
      </c>
      <c r="H636" s="27">
        <v>18131</v>
      </c>
      <c r="I636" s="39" t="s">
        <v>869</v>
      </c>
      <c r="J636" s="62">
        <v>43189</v>
      </c>
      <c r="K636" s="42" t="s">
        <v>10</v>
      </c>
      <c r="L636" s="520" t="s">
        <v>401</v>
      </c>
      <c r="M636" s="22" t="s">
        <v>51</v>
      </c>
      <c r="N636" s="63">
        <v>64000</v>
      </c>
      <c r="O636" s="63">
        <v>4480</v>
      </c>
      <c r="P636" s="63">
        <f>SUM(N636:O636)</f>
        <v>68480</v>
      </c>
      <c r="AA636" s="40">
        <v>18040130</v>
      </c>
      <c r="AB636" s="41">
        <v>64000</v>
      </c>
      <c r="AC636" s="64">
        <f t="shared" si="104"/>
        <v>4480</v>
      </c>
      <c r="AD636" s="64">
        <f t="shared" si="105"/>
        <v>68480</v>
      </c>
      <c r="AE636" s="53">
        <v>43222</v>
      </c>
      <c r="AF636" s="39" t="s">
        <v>869</v>
      </c>
      <c r="AI636" s="21" t="s">
        <v>1019</v>
      </c>
      <c r="AJ636" s="44">
        <v>1</v>
      </c>
      <c r="AK636" s="45" t="s">
        <v>860</v>
      </c>
      <c r="AM636" s="46" t="s">
        <v>1205</v>
      </c>
      <c r="AN636" s="47">
        <v>6</v>
      </c>
      <c r="AO636" s="48" t="s">
        <v>635</v>
      </c>
      <c r="AP636" s="44">
        <v>2</v>
      </c>
      <c r="AQ636" s="40" t="s">
        <v>861</v>
      </c>
      <c r="AR636" s="47" t="s">
        <v>1205</v>
      </c>
      <c r="AT636" s="47">
        <v>2</v>
      </c>
      <c r="AU636" s="49" t="s">
        <v>635</v>
      </c>
      <c r="AV636" s="356"/>
      <c r="AW636" s="356"/>
      <c r="AX636" s="44"/>
      <c r="AY636" s="44"/>
      <c r="AZ636" s="356"/>
      <c r="BA636" s="54"/>
      <c r="BB636" s="356"/>
      <c r="BC636" s="356"/>
      <c r="BD636" s="44"/>
      <c r="BE636" s="44"/>
      <c r="BF636" s="356"/>
      <c r="BG636" s="54"/>
      <c r="BH636" s="356"/>
      <c r="BI636" s="356"/>
      <c r="BJ636" s="44"/>
      <c r="BK636" s="44"/>
      <c r="BL636" s="356"/>
      <c r="BM636" s="356"/>
      <c r="BN636" s="356"/>
      <c r="BO636" s="356"/>
      <c r="BP636" s="44"/>
      <c r="BQ636" s="44"/>
      <c r="BR636" s="356"/>
      <c r="BS636" s="356"/>
      <c r="BT636" s="356"/>
      <c r="BU636" s="356"/>
      <c r="BV636" s="44"/>
      <c r="BW636" s="44"/>
      <c r="BX636" s="356"/>
      <c r="BY636" s="356"/>
      <c r="BZ636" s="356"/>
      <c r="CA636" s="356"/>
      <c r="CB636" s="44"/>
      <c r="CC636" s="44"/>
      <c r="CD636" s="356"/>
      <c r="CE636" s="356"/>
    </row>
    <row r="637" spans="1:83" x14ac:dyDescent="0.5">
      <c r="A637" s="227">
        <v>18035749</v>
      </c>
      <c r="B637" s="22">
        <v>18030231</v>
      </c>
      <c r="C637" s="55"/>
      <c r="D637" s="56"/>
      <c r="E637" s="57"/>
      <c r="F637" s="58"/>
      <c r="G637" s="59"/>
      <c r="H637" s="60"/>
      <c r="I637" s="269"/>
      <c r="J637" s="59"/>
      <c r="K637" s="42" t="s">
        <v>403</v>
      </c>
      <c r="L637" s="520" t="s">
        <v>404</v>
      </c>
      <c r="M637" s="22" t="s">
        <v>50</v>
      </c>
      <c r="AA637" s="40">
        <v>18030107</v>
      </c>
      <c r="AB637" s="41">
        <v>19900</v>
      </c>
      <c r="AC637" s="64">
        <f t="shared" si="104"/>
        <v>1393</v>
      </c>
      <c r="AD637" s="64">
        <f t="shared" si="105"/>
        <v>21293</v>
      </c>
      <c r="AE637" s="53">
        <v>43173</v>
      </c>
      <c r="AF637" s="39" t="s">
        <v>869</v>
      </c>
      <c r="AI637" s="21" t="s">
        <v>911</v>
      </c>
      <c r="AJ637" s="44">
        <v>1</v>
      </c>
      <c r="AP637" s="44">
        <v>2</v>
      </c>
      <c r="AV637" s="44">
        <v>3</v>
      </c>
      <c r="BB637" s="44">
        <v>4</v>
      </c>
      <c r="BH637" s="44">
        <v>5</v>
      </c>
      <c r="BN637" s="44">
        <v>6</v>
      </c>
      <c r="BT637" s="44">
        <v>7</v>
      </c>
      <c r="BZ637" s="44">
        <v>8</v>
      </c>
    </row>
    <row r="638" spans="1:83" x14ac:dyDescent="0.5">
      <c r="A638" s="227">
        <v>18035748</v>
      </c>
      <c r="B638" s="22">
        <v>18030234</v>
      </c>
      <c r="C638" s="55"/>
      <c r="D638" s="56"/>
      <c r="E638" s="57"/>
      <c r="F638" s="58"/>
      <c r="G638" s="59"/>
      <c r="H638" s="60"/>
      <c r="I638" s="269"/>
      <c r="J638" s="59"/>
      <c r="K638" s="42" t="s">
        <v>246</v>
      </c>
      <c r="L638" s="520" t="s">
        <v>405</v>
      </c>
      <c r="M638" s="22" t="s">
        <v>51</v>
      </c>
      <c r="N638" s="63">
        <v>8700</v>
      </c>
      <c r="O638" s="63">
        <f>N638*7/100</f>
        <v>609</v>
      </c>
      <c r="P638" s="63">
        <f>N638+O638</f>
        <v>9309</v>
      </c>
      <c r="AA638" s="40">
        <v>18030103</v>
      </c>
      <c r="AB638" s="41">
        <v>8700</v>
      </c>
      <c r="AC638" s="64">
        <f t="shared" si="104"/>
        <v>609</v>
      </c>
      <c r="AD638" s="64">
        <f t="shared" si="105"/>
        <v>9309</v>
      </c>
      <c r="AE638" s="53">
        <v>43203</v>
      </c>
      <c r="AF638" s="39" t="s">
        <v>869</v>
      </c>
      <c r="AI638" s="21" t="s">
        <v>984</v>
      </c>
      <c r="AJ638" s="44">
        <v>1</v>
      </c>
      <c r="AP638" s="44">
        <v>2</v>
      </c>
      <c r="AV638" s="44">
        <v>3</v>
      </c>
      <c r="BB638" s="44">
        <v>4</v>
      </c>
      <c r="BH638" s="44">
        <v>5</v>
      </c>
      <c r="BN638" s="44">
        <v>6</v>
      </c>
      <c r="BT638" s="44">
        <v>7</v>
      </c>
      <c r="BZ638" s="44">
        <v>8</v>
      </c>
    </row>
    <row r="639" spans="1:83" x14ac:dyDescent="0.5">
      <c r="A639" s="227">
        <v>18035747</v>
      </c>
      <c r="B639" s="22">
        <v>18030235</v>
      </c>
      <c r="C639" s="55"/>
      <c r="D639" s="56"/>
      <c r="E639" s="57"/>
      <c r="F639" s="58"/>
      <c r="G639" s="59"/>
      <c r="H639" s="60"/>
      <c r="I639" s="269"/>
      <c r="J639" s="59"/>
      <c r="K639" s="42" t="s">
        <v>246</v>
      </c>
      <c r="L639" s="520" t="s">
        <v>406</v>
      </c>
      <c r="M639" s="22" t="s">
        <v>51</v>
      </c>
      <c r="N639" s="63">
        <v>6800</v>
      </c>
      <c r="O639" s="63">
        <f>N639*7/100</f>
        <v>476</v>
      </c>
      <c r="P639" s="63">
        <f>N639+O639</f>
        <v>7276</v>
      </c>
      <c r="AA639" s="40">
        <v>18030104</v>
      </c>
      <c r="AB639" s="41">
        <v>6800</v>
      </c>
      <c r="AC639" s="64">
        <f t="shared" si="104"/>
        <v>476</v>
      </c>
      <c r="AD639" s="64">
        <f t="shared" si="105"/>
        <v>7276</v>
      </c>
      <c r="AE639" s="53">
        <v>43203</v>
      </c>
      <c r="AF639" s="39" t="s">
        <v>869</v>
      </c>
      <c r="AI639" s="21" t="s">
        <v>985</v>
      </c>
      <c r="AJ639" s="44">
        <v>1</v>
      </c>
      <c r="AP639" s="44">
        <v>2</v>
      </c>
      <c r="AV639" s="44">
        <v>3</v>
      </c>
      <c r="BB639" s="44">
        <v>4</v>
      </c>
      <c r="BH639" s="44">
        <v>5</v>
      </c>
      <c r="BN639" s="44">
        <v>6</v>
      </c>
      <c r="BT639" s="44">
        <v>7</v>
      </c>
      <c r="BZ639" s="44">
        <v>8</v>
      </c>
    </row>
    <row r="640" spans="1:83" x14ac:dyDescent="0.5">
      <c r="A640" s="227">
        <v>18035746</v>
      </c>
      <c r="B640" s="22">
        <v>18030236</v>
      </c>
      <c r="C640" s="55"/>
      <c r="D640" s="56"/>
      <c r="E640" s="57"/>
      <c r="F640" s="58"/>
      <c r="G640" s="59"/>
      <c r="H640" s="60"/>
      <c r="I640" s="269" t="s">
        <v>869</v>
      </c>
      <c r="J640" s="59"/>
      <c r="K640" s="42" t="s">
        <v>131</v>
      </c>
      <c r="L640" s="520" t="s">
        <v>407</v>
      </c>
      <c r="M640" s="22" t="s">
        <v>51</v>
      </c>
      <c r="N640" s="63">
        <v>11000</v>
      </c>
      <c r="O640" s="63">
        <f>N640*7/100</f>
        <v>770</v>
      </c>
      <c r="P640" s="63">
        <f>N640+O640</f>
        <v>11770</v>
      </c>
      <c r="AA640" s="40">
        <v>18030108</v>
      </c>
      <c r="AB640" s="41">
        <v>11000</v>
      </c>
      <c r="AC640" s="64">
        <f t="shared" si="104"/>
        <v>770</v>
      </c>
      <c r="AD640" s="64">
        <f t="shared" si="105"/>
        <v>11770</v>
      </c>
      <c r="AE640" s="53">
        <v>43204</v>
      </c>
      <c r="AF640" s="39" t="s">
        <v>869</v>
      </c>
      <c r="AI640" s="21" t="s">
        <v>997</v>
      </c>
      <c r="AJ640" s="44">
        <v>1</v>
      </c>
      <c r="AP640" s="44">
        <v>2</v>
      </c>
      <c r="AV640" s="44">
        <v>3</v>
      </c>
      <c r="BB640" s="44">
        <v>4</v>
      </c>
      <c r="BH640" s="44">
        <v>5</v>
      </c>
      <c r="BN640" s="44">
        <v>6</v>
      </c>
      <c r="BT640" s="44">
        <v>7</v>
      </c>
      <c r="BZ640" s="44">
        <v>8</v>
      </c>
    </row>
    <row r="641" spans="1:83" x14ac:dyDescent="0.5">
      <c r="A641" s="227">
        <v>18035745</v>
      </c>
      <c r="B641" s="22">
        <v>18035745</v>
      </c>
      <c r="C641" s="55"/>
      <c r="D641" s="56"/>
      <c r="E641" s="57"/>
      <c r="F641" s="58"/>
      <c r="G641" s="59"/>
      <c r="H641" s="60"/>
      <c r="I641" s="269"/>
      <c r="J641" s="59"/>
      <c r="K641" s="42" t="s">
        <v>408</v>
      </c>
      <c r="L641" s="520" t="s">
        <v>404</v>
      </c>
      <c r="M641" s="22" t="s">
        <v>359</v>
      </c>
      <c r="N641" s="63">
        <v>30000</v>
      </c>
      <c r="O641" s="63">
        <f>N641*7/100</f>
        <v>2100</v>
      </c>
      <c r="P641" s="63">
        <f>N641+O641</f>
        <v>32100</v>
      </c>
      <c r="AA641" s="40">
        <v>18050173</v>
      </c>
      <c r="AB641" s="41">
        <v>30000</v>
      </c>
      <c r="AC641" s="64">
        <f t="shared" ref="AC641:AC653" si="106">AB641*7/100</f>
        <v>2100</v>
      </c>
      <c r="AD641" s="64">
        <f t="shared" ref="AD641:AD653" si="107">AB641+AC641</f>
        <v>32100</v>
      </c>
      <c r="AE641" s="53">
        <v>43238</v>
      </c>
      <c r="AF641" s="39" t="s">
        <v>869</v>
      </c>
      <c r="AI641" s="21" t="s">
        <v>988</v>
      </c>
      <c r="AJ641" s="44">
        <v>1</v>
      </c>
      <c r="AP641" s="44">
        <v>2</v>
      </c>
      <c r="AV641" s="44">
        <v>3</v>
      </c>
      <c r="BB641" s="44">
        <v>4</v>
      </c>
      <c r="BH641" s="44">
        <v>5</v>
      </c>
      <c r="BN641" s="44">
        <v>6</v>
      </c>
      <c r="BT641" s="44">
        <v>7</v>
      </c>
      <c r="BZ641" s="44">
        <v>8</v>
      </c>
    </row>
    <row r="642" spans="1:83" x14ac:dyDescent="0.5">
      <c r="A642" s="259">
        <v>18035744</v>
      </c>
      <c r="B642" s="104">
        <v>18030232</v>
      </c>
      <c r="C642" s="105" t="s">
        <v>1395</v>
      </c>
      <c r="D642" s="106" t="s">
        <v>184</v>
      </c>
      <c r="E642" s="107" t="s">
        <v>185</v>
      </c>
      <c r="F642" s="108">
        <v>111</v>
      </c>
      <c r="G642" s="122">
        <v>43239</v>
      </c>
      <c r="H642" s="109">
        <v>18165</v>
      </c>
      <c r="I642" s="127" t="s">
        <v>869</v>
      </c>
      <c r="J642" s="122">
        <v>43240</v>
      </c>
      <c r="K642" s="547" t="s">
        <v>408</v>
      </c>
      <c r="L642" s="548" t="s">
        <v>409</v>
      </c>
      <c r="M642" s="104" t="s">
        <v>359</v>
      </c>
      <c r="N642" s="260">
        <v>76950</v>
      </c>
      <c r="O642" s="260">
        <v>5386.5</v>
      </c>
      <c r="P642" s="260">
        <f>SUM(N642:O642)</f>
        <v>82336.5</v>
      </c>
      <c r="Q642" s="311"/>
      <c r="R642" s="113"/>
      <c r="S642" s="114"/>
      <c r="T642" s="115"/>
      <c r="U642" s="550">
        <v>3847.5</v>
      </c>
      <c r="V642" s="551"/>
      <c r="W642" s="552"/>
      <c r="X642" s="552">
        <v>226.61</v>
      </c>
      <c r="Y642" s="553"/>
      <c r="Z642" s="120"/>
      <c r="AA642" s="123">
        <v>18030117</v>
      </c>
      <c r="AB642" s="230">
        <v>23085</v>
      </c>
      <c r="AC642" s="234">
        <f t="shared" si="106"/>
        <v>1615.95</v>
      </c>
      <c r="AD642" s="234">
        <f t="shared" si="107"/>
        <v>24700.95</v>
      </c>
      <c r="AE642" s="221">
        <v>43181</v>
      </c>
      <c r="AF642" s="121" t="s">
        <v>869</v>
      </c>
      <c r="AG642" s="121"/>
      <c r="AH642" s="121"/>
      <c r="AI642" s="222" t="s">
        <v>910</v>
      </c>
      <c r="AJ642" s="128">
        <v>1</v>
      </c>
      <c r="AK642" s="129" t="s">
        <v>826</v>
      </c>
      <c r="AL642" s="130" t="s">
        <v>1205</v>
      </c>
      <c r="AM642" s="130"/>
      <c r="AN642" s="131">
        <v>6</v>
      </c>
      <c r="AO642" s="132" t="s">
        <v>636</v>
      </c>
      <c r="AP642" s="361"/>
      <c r="AQ642" s="361"/>
      <c r="AR642" s="128"/>
      <c r="AS642" s="128"/>
      <c r="AT642" s="361"/>
      <c r="AU642" s="133"/>
      <c r="AV642" s="361"/>
      <c r="AW642" s="361"/>
      <c r="AX642" s="128"/>
      <c r="AY642" s="128"/>
      <c r="AZ642" s="361"/>
      <c r="BA642" s="133"/>
      <c r="BB642" s="361"/>
      <c r="BC642" s="361"/>
      <c r="BD642" s="128"/>
      <c r="BE642" s="128"/>
      <c r="BF642" s="361"/>
      <c r="BG642" s="133"/>
      <c r="BH642" s="361"/>
      <c r="BI642" s="361"/>
      <c r="BJ642" s="128"/>
      <c r="BK642" s="128"/>
      <c r="BL642" s="361"/>
      <c r="BM642" s="361"/>
      <c r="BN642" s="361"/>
      <c r="BO642" s="361"/>
      <c r="BP642" s="128"/>
      <c r="BQ642" s="128"/>
      <c r="BR642" s="361"/>
      <c r="BS642" s="361"/>
      <c r="BT642" s="361"/>
      <c r="BU642" s="361"/>
      <c r="BV642" s="128"/>
      <c r="BW642" s="128"/>
      <c r="BX642" s="361"/>
      <c r="BY642" s="361"/>
      <c r="BZ642" s="361"/>
      <c r="CA642" s="361"/>
      <c r="CB642" s="128"/>
      <c r="CC642" s="128"/>
      <c r="CD642" s="361"/>
      <c r="CE642" s="361"/>
    </row>
    <row r="643" spans="1:83" x14ac:dyDescent="0.5">
      <c r="A643" s="268"/>
      <c r="B643" s="181"/>
      <c r="C643" s="182"/>
      <c r="D643" s="183"/>
      <c r="E643" s="184"/>
      <c r="F643" s="185"/>
      <c r="G643" s="186">
        <v>43239</v>
      </c>
      <c r="H643" s="187">
        <v>18166</v>
      </c>
      <c r="I643" s="199"/>
      <c r="J643" s="186"/>
      <c r="K643" s="240"/>
      <c r="L643" s="558"/>
      <c r="M643" s="181"/>
      <c r="N643" s="237"/>
      <c r="O643" s="237"/>
      <c r="P643" s="237"/>
      <c r="Q643" s="190"/>
      <c r="R643" s="215"/>
      <c r="S643" s="216"/>
      <c r="T643" s="217"/>
      <c r="U643" s="544"/>
      <c r="V643" s="560"/>
      <c r="W643" s="561"/>
      <c r="X643" s="561"/>
      <c r="Y643" s="562"/>
      <c r="Z643" s="198"/>
      <c r="AA643" s="223">
        <v>18040155</v>
      </c>
      <c r="AB643" s="201">
        <v>53865</v>
      </c>
      <c r="AC643" s="238">
        <f t="shared" si="106"/>
        <v>3770.55</v>
      </c>
      <c r="AD643" s="238">
        <f t="shared" si="107"/>
        <v>57635.55</v>
      </c>
      <c r="AE643" s="203">
        <v>43210</v>
      </c>
      <c r="AF643" s="199" t="s">
        <v>869</v>
      </c>
      <c r="AG643" s="199"/>
      <c r="AH643" s="199"/>
      <c r="AI643" s="180" t="s">
        <v>1000</v>
      </c>
      <c r="AJ643" s="204"/>
      <c r="AK643" s="205"/>
      <c r="AL643" s="206"/>
      <c r="AM643" s="206"/>
      <c r="AN643" s="207"/>
      <c r="AO643" s="208"/>
      <c r="AP643" s="365"/>
      <c r="AQ643" s="365"/>
      <c r="AR643" s="204"/>
      <c r="AS643" s="204"/>
      <c r="AT643" s="365"/>
      <c r="AU643" s="210"/>
      <c r="AV643" s="365"/>
      <c r="AW643" s="365"/>
      <c r="AX643" s="204"/>
      <c r="AY643" s="204"/>
      <c r="AZ643" s="365"/>
      <c r="BA643" s="210"/>
      <c r="BB643" s="365"/>
      <c r="BC643" s="365"/>
      <c r="BD643" s="204"/>
      <c r="BE643" s="204"/>
      <c r="BF643" s="365"/>
      <c r="BG643" s="210"/>
      <c r="BH643" s="365"/>
      <c r="BI643" s="365"/>
      <c r="BJ643" s="204"/>
      <c r="BK643" s="204"/>
      <c r="BL643" s="365"/>
      <c r="BM643" s="365"/>
      <c r="BN643" s="365"/>
      <c r="BO643" s="365"/>
      <c r="BP643" s="204"/>
      <c r="BQ643" s="204"/>
      <c r="BR643" s="365"/>
      <c r="BS643" s="365"/>
      <c r="BT643" s="365"/>
      <c r="BU643" s="365"/>
      <c r="BV643" s="204"/>
      <c r="BW643" s="204"/>
      <c r="BX643" s="365"/>
      <c r="BY643" s="365"/>
      <c r="BZ643" s="365"/>
      <c r="CA643" s="365"/>
      <c r="CB643" s="204"/>
      <c r="CC643" s="204"/>
      <c r="CD643" s="365"/>
      <c r="CE643" s="365"/>
    </row>
    <row r="644" spans="1:83" x14ac:dyDescent="0.5">
      <c r="A644" s="227">
        <v>18035743</v>
      </c>
      <c r="B644" s="22">
        <v>18030240</v>
      </c>
      <c r="C644" s="23" t="s">
        <v>1396</v>
      </c>
      <c r="D644" s="24" t="s">
        <v>184</v>
      </c>
      <c r="E644" s="25" t="s">
        <v>185</v>
      </c>
      <c r="F644" s="26" t="s">
        <v>1388</v>
      </c>
      <c r="G644" s="62">
        <v>43178</v>
      </c>
      <c r="H644" s="27">
        <v>18109</v>
      </c>
      <c r="I644" s="39" t="s">
        <v>869</v>
      </c>
      <c r="J644" s="62">
        <v>43179</v>
      </c>
      <c r="K644" s="42" t="s">
        <v>165</v>
      </c>
      <c r="L644" s="520" t="s">
        <v>410</v>
      </c>
      <c r="M644" s="22" t="s">
        <v>359</v>
      </c>
      <c r="N644" s="63">
        <v>7362.5</v>
      </c>
      <c r="O644" s="63">
        <v>515.38</v>
      </c>
      <c r="P644" s="63">
        <f>SUM(N644:O644)</f>
        <v>7877.88</v>
      </c>
      <c r="U644" s="516">
        <v>368.12</v>
      </c>
      <c r="X644" s="518">
        <v>25.87</v>
      </c>
      <c r="AA644" s="40">
        <v>18040140</v>
      </c>
      <c r="AB644" s="41">
        <v>7362.5</v>
      </c>
      <c r="AC644" s="64">
        <f t="shared" si="106"/>
        <v>515.375</v>
      </c>
      <c r="AD644" s="64">
        <f t="shared" si="107"/>
        <v>7877.875</v>
      </c>
      <c r="AE644" s="53">
        <v>43231</v>
      </c>
      <c r="AF644" s="39" t="s">
        <v>869</v>
      </c>
      <c r="AI644" s="21" t="s">
        <v>969</v>
      </c>
      <c r="AJ644" s="44">
        <v>1</v>
      </c>
      <c r="AK644" s="45" t="s">
        <v>849</v>
      </c>
      <c r="AM644" s="46" t="s">
        <v>1205</v>
      </c>
      <c r="AN644" s="47">
        <v>1</v>
      </c>
      <c r="AO644" s="48" t="s">
        <v>634</v>
      </c>
      <c r="AP644" s="356"/>
      <c r="AQ644" s="356"/>
      <c r="AR644" s="44"/>
      <c r="AS644" s="44"/>
      <c r="AT644" s="356"/>
      <c r="AU644" s="54"/>
      <c r="AV644" s="356"/>
      <c r="AW644" s="356"/>
      <c r="AX644" s="44"/>
      <c r="AY644" s="44"/>
      <c r="AZ644" s="356"/>
      <c r="BA644" s="54"/>
      <c r="BB644" s="356"/>
      <c r="BC644" s="356"/>
      <c r="BD644" s="44"/>
      <c r="BE644" s="44"/>
      <c r="BF644" s="356"/>
      <c r="BG644" s="54"/>
      <c r="BH644" s="356"/>
      <c r="BI644" s="356"/>
      <c r="BJ644" s="44"/>
      <c r="BK644" s="44"/>
      <c r="BL644" s="356"/>
      <c r="BM644" s="356"/>
      <c r="BN644" s="356"/>
      <c r="BO644" s="356"/>
      <c r="BP644" s="44"/>
      <c r="BQ644" s="44"/>
      <c r="BR644" s="356"/>
      <c r="BS644" s="356"/>
      <c r="BT644" s="356"/>
      <c r="BU644" s="356"/>
      <c r="BV644" s="44"/>
      <c r="BW644" s="44"/>
      <c r="BX644" s="356"/>
      <c r="BY644" s="356"/>
      <c r="BZ644" s="356"/>
      <c r="CA644" s="356"/>
      <c r="CB644" s="44"/>
      <c r="CC644" s="44"/>
      <c r="CD644" s="356"/>
      <c r="CE644" s="356"/>
    </row>
    <row r="645" spans="1:83" x14ac:dyDescent="0.5">
      <c r="A645" s="227">
        <v>18035742</v>
      </c>
      <c r="B645" s="22">
        <v>18030239</v>
      </c>
      <c r="C645" s="23" t="s">
        <v>1397</v>
      </c>
      <c r="D645" s="24" t="s">
        <v>184</v>
      </c>
      <c r="E645" s="25" t="s">
        <v>185</v>
      </c>
      <c r="F645" s="26" t="s">
        <v>1390</v>
      </c>
      <c r="G645" s="62">
        <v>43178</v>
      </c>
      <c r="H645" s="27">
        <v>18108</v>
      </c>
      <c r="I645" s="39" t="s">
        <v>869</v>
      </c>
      <c r="J645" s="62">
        <v>43179</v>
      </c>
      <c r="K645" s="42" t="s">
        <v>165</v>
      </c>
      <c r="L645" s="520" t="s">
        <v>411</v>
      </c>
      <c r="M645" s="22" t="s">
        <v>359</v>
      </c>
      <c r="N645" s="63">
        <v>7362.5</v>
      </c>
      <c r="O645" s="63">
        <v>515.38</v>
      </c>
      <c r="P645" s="63">
        <f>SUM(N645:O645)</f>
        <v>7877.88</v>
      </c>
      <c r="U645" s="516">
        <v>368.12</v>
      </c>
      <c r="X645" s="518">
        <v>25.87</v>
      </c>
      <c r="AA645" s="40">
        <v>18040139</v>
      </c>
      <c r="AB645" s="41">
        <v>7362.5</v>
      </c>
      <c r="AC645" s="64">
        <f t="shared" si="106"/>
        <v>515.375</v>
      </c>
      <c r="AD645" s="64">
        <f t="shared" si="107"/>
        <v>7877.875</v>
      </c>
      <c r="AE645" s="53">
        <v>43231</v>
      </c>
      <c r="AF645" s="39" t="s">
        <v>869</v>
      </c>
      <c r="AI645" s="21" t="s">
        <v>969</v>
      </c>
      <c r="AJ645" s="44">
        <v>1</v>
      </c>
      <c r="AK645" s="45" t="s">
        <v>849</v>
      </c>
      <c r="AM645" s="46" t="s">
        <v>1205</v>
      </c>
      <c r="AN645" s="47">
        <v>1</v>
      </c>
      <c r="AO645" s="48" t="s">
        <v>634</v>
      </c>
      <c r="AP645" s="356"/>
      <c r="AQ645" s="356"/>
      <c r="AR645" s="44"/>
      <c r="AS645" s="44"/>
      <c r="AT645" s="356"/>
      <c r="AU645" s="54"/>
      <c r="AV645" s="356"/>
      <c r="AW645" s="356"/>
      <c r="AX645" s="44"/>
      <c r="AY645" s="44"/>
      <c r="AZ645" s="356"/>
      <c r="BA645" s="54"/>
      <c r="BB645" s="356"/>
      <c r="BC645" s="356"/>
      <c r="BD645" s="44"/>
      <c r="BE645" s="44"/>
      <c r="BF645" s="356"/>
      <c r="BG645" s="54"/>
      <c r="BH645" s="356"/>
      <c r="BI645" s="356"/>
      <c r="BJ645" s="44"/>
      <c r="BK645" s="44"/>
      <c r="BL645" s="356"/>
      <c r="BM645" s="356"/>
      <c r="BN645" s="356"/>
      <c r="BO645" s="356"/>
      <c r="BP645" s="44"/>
      <c r="BQ645" s="44"/>
      <c r="BR645" s="356"/>
      <c r="BS645" s="356"/>
      <c r="BT645" s="356"/>
      <c r="BU645" s="356"/>
      <c r="BV645" s="44"/>
      <c r="BW645" s="44"/>
      <c r="BX645" s="356"/>
      <c r="BY645" s="356"/>
      <c r="BZ645" s="356"/>
      <c r="CA645" s="356"/>
      <c r="CB645" s="44"/>
      <c r="CC645" s="44"/>
      <c r="CD645" s="356"/>
      <c r="CE645" s="356"/>
    </row>
    <row r="646" spans="1:83" x14ac:dyDescent="0.5">
      <c r="A646" s="227">
        <v>18035741</v>
      </c>
      <c r="B646" s="22">
        <v>18030229</v>
      </c>
      <c r="C646" s="55"/>
      <c r="D646" s="56"/>
      <c r="E646" s="57"/>
      <c r="F646" s="58"/>
      <c r="G646" s="59"/>
      <c r="H646" s="60"/>
      <c r="I646" s="269"/>
      <c r="J646" s="59"/>
      <c r="K646" s="42" t="s">
        <v>165</v>
      </c>
      <c r="L646" s="520" t="s">
        <v>404</v>
      </c>
      <c r="M646" s="22" t="s">
        <v>359</v>
      </c>
      <c r="N646" s="63">
        <v>8300</v>
      </c>
      <c r="O646" s="63">
        <f>N646*7/100</f>
        <v>581</v>
      </c>
      <c r="P646" s="63">
        <f>N646+O646</f>
        <v>8881</v>
      </c>
      <c r="AA646" s="40">
        <v>18040141</v>
      </c>
      <c r="AB646" s="41">
        <v>8300</v>
      </c>
      <c r="AC646" s="64">
        <f t="shared" si="106"/>
        <v>581</v>
      </c>
      <c r="AD646" s="64">
        <f t="shared" si="107"/>
        <v>8881</v>
      </c>
      <c r="AE646" s="53">
        <v>43231</v>
      </c>
      <c r="AF646" s="39" t="s">
        <v>869</v>
      </c>
      <c r="AI646" s="21" t="s">
        <v>969</v>
      </c>
      <c r="AJ646" s="44">
        <v>1</v>
      </c>
      <c r="AP646" s="44">
        <v>2</v>
      </c>
      <c r="AV646" s="44">
        <v>3</v>
      </c>
      <c r="BB646" s="44">
        <v>4</v>
      </c>
      <c r="BH646" s="44">
        <v>5</v>
      </c>
      <c r="BN646" s="44">
        <v>6</v>
      </c>
      <c r="BT646" s="44">
        <v>7</v>
      </c>
      <c r="BZ646" s="44">
        <v>8</v>
      </c>
    </row>
    <row r="647" spans="1:83" x14ac:dyDescent="0.5">
      <c r="A647" s="227">
        <v>18035740</v>
      </c>
      <c r="B647" s="22">
        <v>17101032</v>
      </c>
      <c r="C647" s="23" t="s">
        <v>1398</v>
      </c>
      <c r="D647" s="24" t="s">
        <v>184</v>
      </c>
      <c r="E647" s="25" t="s">
        <v>185</v>
      </c>
      <c r="F647" s="26" t="s">
        <v>1389</v>
      </c>
      <c r="G647" s="62">
        <v>43178</v>
      </c>
      <c r="H647" s="27">
        <v>18107</v>
      </c>
      <c r="I647" s="39" t="s">
        <v>869</v>
      </c>
      <c r="J647" s="62">
        <v>43179</v>
      </c>
      <c r="K647" s="42" t="s">
        <v>165</v>
      </c>
      <c r="L647" s="520" t="s">
        <v>412</v>
      </c>
      <c r="M647" s="22" t="s">
        <v>359</v>
      </c>
      <c r="N647" s="63">
        <v>39300</v>
      </c>
      <c r="O647" s="63">
        <v>2751</v>
      </c>
      <c r="P647" s="63">
        <f t="shared" ref="P647:P656" si="108">SUM(N647:O647)</f>
        <v>42051</v>
      </c>
      <c r="U647" s="516">
        <v>1965</v>
      </c>
      <c r="X647" s="518">
        <v>141.87</v>
      </c>
      <c r="AA647" s="40">
        <v>18040142</v>
      </c>
      <c r="AB647" s="41">
        <v>39300</v>
      </c>
      <c r="AC647" s="63">
        <f t="shared" si="106"/>
        <v>2751</v>
      </c>
      <c r="AD647" s="63">
        <f t="shared" si="107"/>
        <v>42051</v>
      </c>
      <c r="AE647" s="53">
        <v>43231</v>
      </c>
      <c r="AF647" s="39" t="s">
        <v>869</v>
      </c>
      <c r="AI647" s="21" t="s">
        <v>969</v>
      </c>
      <c r="AJ647" s="44">
        <v>1</v>
      </c>
      <c r="AK647" s="45" t="s">
        <v>849</v>
      </c>
      <c r="AM647" s="46" t="s">
        <v>1205</v>
      </c>
      <c r="AN647" s="47">
        <v>1</v>
      </c>
      <c r="AO647" s="48" t="s">
        <v>634</v>
      </c>
      <c r="AP647" s="44">
        <v>2</v>
      </c>
      <c r="AQ647" s="40" t="s">
        <v>833</v>
      </c>
      <c r="AS647" s="47" t="s">
        <v>1205</v>
      </c>
      <c r="AT647" s="47">
        <v>1</v>
      </c>
      <c r="AU647" s="49" t="s">
        <v>634</v>
      </c>
      <c r="AV647" s="44">
        <v>3</v>
      </c>
      <c r="AW647" s="40" t="s">
        <v>850</v>
      </c>
      <c r="AX647" s="47" t="s">
        <v>1205</v>
      </c>
      <c r="AZ647" s="47">
        <v>1</v>
      </c>
      <c r="BA647" s="49" t="s">
        <v>634</v>
      </c>
      <c r="BB647" s="356"/>
      <c r="BC647" s="356"/>
      <c r="BD647" s="44"/>
      <c r="BE647" s="44"/>
      <c r="BF647" s="356"/>
      <c r="BG647" s="54"/>
      <c r="BH647" s="356"/>
      <c r="BI647" s="356"/>
      <c r="BJ647" s="44"/>
      <c r="BK647" s="44"/>
      <c r="BL647" s="356"/>
      <c r="BM647" s="356"/>
      <c r="BN647" s="356"/>
      <c r="BO647" s="356"/>
      <c r="BP647" s="44"/>
      <c r="BQ647" s="44"/>
      <c r="BR647" s="356"/>
      <c r="BS647" s="356"/>
      <c r="BT647" s="356"/>
      <c r="BU647" s="356"/>
      <c r="BV647" s="44"/>
      <c r="BW647" s="44"/>
      <c r="BX647" s="356"/>
      <c r="BY647" s="356"/>
      <c r="BZ647" s="356"/>
      <c r="CA647" s="356"/>
      <c r="CB647" s="44"/>
      <c r="CC647" s="44"/>
      <c r="CD647" s="356"/>
      <c r="CE647" s="356"/>
    </row>
    <row r="648" spans="1:83" x14ac:dyDescent="0.5">
      <c r="A648" s="259">
        <v>18035739</v>
      </c>
      <c r="B648" s="104">
        <v>18030218</v>
      </c>
      <c r="C648" s="105" t="s">
        <v>1399</v>
      </c>
      <c r="D648" s="106" t="s">
        <v>184</v>
      </c>
      <c r="E648" s="107" t="s">
        <v>185</v>
      </c>
      <c r="F648" s="108" t="s">
        <v>1383</v>
      </c>
      <c r="G648" s="211">
        <v>43181</v>
      </c>
      <c r="H648" s="164">
        <v>18112</v>
      </c>
      <c r="I648" s="127" t="s">
        <v>869</v>
      </c>
      <c r="J648" s="122">
        <v>43181</v>
      </c>
      <c r="K648" s="547" t="s">
        <v>413</v>
      </c>
      <c r="L648" s="548" t="s">
        <v>414</v>
      </c>
      <c r="M648" s="104" t="s">
        <v>359</v>
      </c>
      <c r="N648" s="260">
        <v>53440</v>
      </c>
      <c r="O648" s="260">
        <v>3740.8</v>
      </c>
      <c r="P648" s="260">
        <f t="shared" si="108"/>
        <v>57180.800000000003</v>
      </c>
      <c r="Q648" s="311"/>
      <c r="R648" s="113"/>
      <c r="S648" s="114"/>
      <c r="T648" s="115"/>
      <c r="U648" s="550"/>
      <c r="V648" s="551"/>
      <c r="W648" s="552"/>
      <c r="X648" s="552">
        <v>133.6</v>
      </c>
      <c r="Y648" s="553"/>
      <c r="Z648" s="120"/>
      <c r="AA648" s="123">
        <v>18030123</v>
      </c>
      <c r="AB648" s="124">
        <v>53440</v>
      </c>
      <c r="AC648" s="261">
        <f t="shared" si="106"/>
        <v>3740.8</v>
      </c>
      <c r="AD648" s="261">
        <f t="shared" si="107"/>
        <v>57180.800000000003</v>
      </c>
      <c r="AE648" s="126">
        <v>43215</v>
      </c>
      <c r="AF648" s="127" t="s">
        <v>869</v>
      </c>
      <c r="AG648" s="127"/>
      <c r="AH648" s="127"/>
      <c r="AI648" s="103" t="s">
        <v>953</v>
      </c>
      <c r="AJ648" s="128">
        <v>1</v>
      </c>
      <c r="AK648" s="129" t="s">
        <v>624</v>
      </c>
      <c r="AL648" s="130"/>
      <c r="AM648" s="130" t="s">
        <v>1205</v>
      </c>
      <c r="AN648" s="131">
        <v>4</v>
      </c>
      <c r="AO648" s="132" t="s">
        <v>634</v>
      </c>
      <c r="AP648" s="361"/>
      <c r="AQ648" s="361"/>
      <c r="AR648" s="128"/>
      <c r="AS648" s="128"/>
      <c r="AT648" s="361"/>
      <c r="AU648" s="133"/>
      <c r="AV648" s="361"/>
      <c r="AW648" s="361"/>
      <c r="AX648" s="128"/>
      <c r="AY648" s="128"/>
      <c r="AZ648" s="361"/>
      <c r="BA648" s="133"/>
      <c r="BB648" s="361"/>
      <c r="BC648" s="361"/>
      <c r="BD648" s="128"/>
      <c r="BE648" s="128"/>
      <c r="BF648" s="361"/>
      <c r="BG648" s="133"/>
      <c r="BH648" s="361"/>
      <c r="BI648" s="361"/>
      <c r="BJ648" s="128"/>
      <c r="BK648" s="128"/>
      <c r="BL648" s="361"/>
      <c r="BM648" s="361"/>
      <c r="BN648" s="361"/>
      <c r="BO648" s="361"/>
      <c r="BP648" s="128"/>
      <c r="BQ648" s="128"/>
      <c r="BR648" s="361"/>
      <c r="BS648" s="361"/>
      <c r="BT648" s="361"/>
      <c r="BU648" s="361"/>
      <c r="BV648" s="128"/>
      <c r="BW648" s="128"/>
      <c r="BX648" s="361"/>
      <c r="BY648" s="361"/>
      <c r="BZ648" s="361"/>
      <c r="CA648" s="361"/>
      <c r="CB648" s="128"/>
      <c r="CC648" s="128"/>
      <c r="CD648" s="361"/>
      <c r="CE648" s="361"/>
    </row>
    <row r="649" spans="1:83" x14ac:dyDescent="0.5">
      <c r="A649" s="262"/>
      <c r="B649" s="135"/>
      <c r="C649" s="136"/>
      <c r="D649" s="137"/>
      <c r="E649" s="138"/>
      <c r="F649" s="139"/>
      <c r="G649" s="170">
        <v>43181</v>
      </c>
      <c r="H649" s="251">
        <v>18114</v>
      </c>
      <c r="I649" s="152"/>
      <c r="J649" s="179"/>
      <c r="K649" s="255"/>
      <c r="L649" s="300"/>
      <c r="M649" s="135"/>
      <c r="N649" s="253"/>
      <c r="O649" s="253"/>
      <c r="P649" s="253"/>
      <c r="Q649" s="143"/>
      <c r="R649" s="144"/>
      <c r="S649" s="145"/>
      <c r="T649" s="146"/>
      <c r="U649" s="529"/>
      <c r="V649" s="555"/>
      <c r="W649" s="556"/>
      <c r="X649" s="556"/>
      <c r="Y649" s="557"/>
      <c r="Z649" s="151"/>
      <c r="AA649" s="154"/>
      <c r="AB649" s="155"/>
      <c r="AC649" s="263"/>
      <c r="AD649" s="263"/>
      <c r="AE649" s="157"/>
      <c r="AF649" s="152"/>
      <c r="AG649" s="152"/>
      <c r="AH649" s="152"/>
      <c r="AI649" s="134"/>
      <c r="AJ649" s="158"/>
      <c r="AK649" s="159"/>
      <c r="AL649" s="160"/>
      <c r="AM649" s="160"/>
      <c r="AN649" s="161"/>
      <c r="AO649" s="162"/>
      <c r="AP649" s="458"/>
      <c r="AQ649" s="458"/>
      <c r="AR649" s="158"/>
      <c r="AS649" s="158"/>
      <c r="AT649" s="458"/>
      <c r="AU649" s="163"/>
      <c r="AV649" s="458"/>
      <c r="AW649" s="458"/>
      <c r="AX649" s="158"/>
      <c r="AY649" s="158"/>
      <c r="AZ649" s="458"/>
      <c r="BA649" s="163"/>
      <c r="BB649" s="458"/>
      <c r="BC649" s="458"/>
      <c r="BD649" s="158"/>
      <c r="BE649" s="158"/>
      <c r="BF649" s="458"/>
      <c r="BG649" s="163"/>
      <c r="BH649" s="458"/>
      <c r="BI649" s="458"/>
      <c r="BJ649" s="158"/>
      <c r="BK649" s="158"/>
      <c r="BL649" s="458"/>
      <c r="BM649" s="458"/>
      <c r="BN649" s="458"/>
      <c r="BO649" s="458"/>
      <c r="BP649" s="158"/>
      <c r="BQ649" s="158"/>
      <c r="BR649" s="458"/>
      <c r="BS649" s="458"/>
      <c r="BT649" s="458"/>
      <c r="BU649" s="458"/>
      <c r="BV649" s="158"/>
      <c r="BW649" s="158"/>
      <c r="BX649" s="458"/>
      <c r="BY649" s="458"/>
      <c r="BZ649" s="458"/>
      <c r="CA649" s="458"/>
      <c r="CB649" s="158"/>
      <c r="CC649" s="158"/>
      <c r="CD649" s="458"/>
      <c r="CE649" s="458"/>
    </row>
    <row r="650" spans="1:83" x14ac:dyDescent="0.5">
      <c r="A650" s="268"/>
      <c r="B650" s="181"/>
      <c r="C650" s="182"/>
      <c r="D650" s="183"/>
      <c r="E650" s="184"/>
      <c r="F650" s="185"/>
      <c r="G650" s="186">
        <v>43181</v>
      </c>
      <c r="H650" s="187">
        <v>18117</v>
      </c>
      <c r="I650" s="199"/>
      <c r="J650" s="186"/>
      <c r="K650" s="240"/>
      <c r="L650" s="558"/>
      <c r="M650" s="181"/>
      <c r="N650" s="237"/>
      <c r="O650" s="237"/>
      <c r="P650" s="237"/>
      <c r="Q650" s="190"/>
      <c r="R650" s="215"/>
      <c r="S650" s="216"/>
      <c r="T650" s="217"/>
      <c r="U650" s="544"/>
      <c r="V650" s="560"/>
      <c r="W650" s="561"/>
      <c r="X650" s="561"/>
      <c r="Y650" s="562"/>
      <c r="Z650" s="198"/>
      <c r="AA650" s="200"/>
      <c r="AB650" s="201"/>
      <c r="AC650" s="238"/>
      <c r="AD650" s="238"/>
      <c r="AE650" s="203"/>
      <c r="AF650" s="199"/>
      <c r="AG650" s="199"/>
      <c r="AH650" s="199"/>
      <c r="AI650" s="180"/>
      <c r="AJ650" s="204"/>
      <c r="AK650" s="205"/>
      <c r="AL650" s="206"/>
      <c r="AM650" s="206"/>
      <c r="AN650" s="207"/>
      <c r="AO650" s="208"/>
      <c r="AP650" s="365"/>
      <c r="AQ650" s="365"/>
      <c r="AR650" s="204"/>
      <c r="AS650" s="204"/>
      <c r="AT650" s="365"/>
      <c r="AU650" s="210"/>
      <c r="AV650" s="365"/>
      <c r="AW650" s="365"/>
      <c r="AX650" s="204"/>
      <c r="AY650" s="204"/>
      <c r="AZ650" s="365"/>
      <c r="BA650" s="210"/>
      <c r="BB650" s="365"/>
      <c r="BC650" s="365"/>
      <c r="BD650" s="204"/>
      <c r="BE650" s="204"/>
      <c r="BF650" s="365"/>
      <c r="BG650" s="210"/>
      <c r="BH650" s="365"/>
      <c r="BI650" s="365"/>
      <c r="BJ650" s="204"/>
      <c r="BK650" s="204"/>
      <c r="BL650" s="365"/>
      <c r="BM650" s="365"/>
      <c r="BN650" s="365"/>
      <c r="BO650" s="365"/>
      <c r="BP650" s="204"/>
      <c r="BQ650" s="204"/>
      <c r="BR650" s="365"/>
      <c r="BS650" s="365"/>
      <c r="BT650" s="365"/>
      <c r="BU650" s="365"/>
      <c r="BV650" s="204"/>
      <c r="BW650" s="204"/>
      <c r="BX650" s="365"/>
      <c r="BY650" s="365"/>
      <c r="BZ650" s="365"/>
      <c r="CA650" s="365"/>
      <c r="CB650" s="204"/>
      <c r="CC650" s="204"/>
      <c r="CD650" s="365"/>
      <c r="CE650" s="365"/>
    </row>
    <row r="651" spans="1:83" x14ac:dyDescent="0.5">
      <c r="A651" s="227">
        <v>18035738</v>
      </c>
      <c r="B651" s="22">
        <v>18030237</v>
      </c>
      <c r="C651" s="23" t="s">
        <v>1400</v>
      </c>
      <c r="D651" s="24" t="s">
        <v>184</v>
      </c>
      <c r="I651" s="39" t="s">
        <v>869</v>
      </c>
      <c r="J651" s="22" t="s">
        <v>402</v>
      </c>
      <c r="K651" s="42" t="s">
        <v>15</v>
      </c>
      <c r="L651" s="520" t="s">
        <v>415</v>
      </c>
      <c r="M651" s="22" t="s">
        <v>51</v>
      </c>
      <c r="N651" s="63">
        <v>67289.72</v>
      </c>
      <c r="O651" s="63">
        <v>4710.28</v>
      </c>
      <c r="P651" s="63">
        <f t="shared" si="108"/>
        <v>72000</v>
      </c>
      <c r="AA651" s="40">
        <v>18030110</v>
      </c>
      <c r="AB651" s="41">
        <v>67289.72</v>
      </c>
      <c r="AC651" s="64">
        <f t="shared" si="106"/>
        <v>4710.2804000000006</v>
      </c>
      <c r="AD651" s="64">
        <f t="shared" si="107"/>
        <v>72000.000400000004</v>
      </c>
      <c r="AE651" s="53">
        <v>43220</v>
      </c>
      <c r="AF651" s="39" t="s">
        <v>869</v>
      </c>
      <c r="AI651" s="21" t="s">
        <v>917</v>
      </c>
      <c r="AJ651" s="44">
        <v>1</v>
      </c>
      <c r="AK651" s="45" t="s">
        <v>415</v>
      </c>
      <c r="AL651" s="46" t="s">
        <v>1205</v>
      </c>
      <c r="AN651" s="47">
        <v>4</v>
      </c>
      <c r="AO651" s="48" t="s">
        <v>635</v>
      </c>
      <c r="AP651" s="356"/>
      <c r="AQ651" s="356"/>
      <c r="AR651" s="44"/>
      <c r="AS651" s="44"/>
      <c r="AT651" s="356"/>
      <c r="AU651" s="54"/>
      <c r="AV651" s="356"/>
      <c r="AW651" s="356"/>
      <c r="AX651" s="44"/>
      <c r="AY651" s="44"/>
      <c r="AZ651" s="356"/>
      <c r="BA651" s="54"/>
      <c r="BB651" s="356"/>
      <c r="BC651" s="356"/>
      <c r="BD651" s="44"/>
      <c r="BE651" s="44"/>
      <c r="BF651" s="356"/>
      <c r="BG651" s="54"/>
      <c r="BH651" s="356"/>
      <c r="BI651" s="356"/>
      <c r="BJ651" s="44"/>
      <c r="BK651" s="44"/>
      <c r="BL651" s="356"/>
      <c r="BM651" s="356"/>
      <c r="BN651" s="356"/>
      <c r="BO651" s="356"/>
      <c r="BP651" s="44"/>
      <c r="BQ651" s="44"/>
      <c r="BR651" s="356"/>
      <c r="BS651" s="356"/>
      <c r="BT651" s="356"/>
      <c r="BU651" s="356"/>
      <c r="BV651" s="44"/>
      <c r="BW651" s="44"/>
      <c r="BX651" s="356"/>
      <c r="BY651" s="356"/>
      <c r="BZ651" s="356"/>
      <c r="CA651" s="356"/>
      <c r="CB651" s="44"/>
      <c r="CC651" s="44"/>
      <c r="CD651" s="356"/>
      <c r="CE651" s="356"/>
    </row>
    <row r="652" spans="1:83" x14ac:dyDescent="0.5">
      <c r="A652" s="227">
        <v>18035737</v>
      </c>
      <c r="B652" s="22">
        <v>18030238</v>
      </c>
      <c r="C652" s="23" t="s">
        <v>1401</v>
      </c>
      <c r="D652" s="24" t="s">
        <v>184</v>
      </c>
      <c r="E652" s="25" t="s">
        <v>185</v>
      </c>
      <c r="F652" s="26" t="s">
        <v>1372</v>
      </c>
      <c r="G652" s="62">
        <v>43189</v>
      </c>
      <c r="H652" s="27">
        <v>18129</v>
      </c>
      <c r="I652" s="39" t="s">
        <v>869</v>
      </c>
      <c r="J652" s="62">
        <v>43189</v>
      </c>
      <c r="K652" s="42" t="s">
        <v>19</v>
      </c>
      <c r="L652" s="520" t="s">
        <v>160</v>
      </c>
      <c r="M652" s="22" t="s">
        <v>51</v>
      </c>
      <c r="N652" s="63">
        <v>27520</v>
      </c>
      <c r="O652" s="63">
        <v>1926.4</v>
      </c>
      <c r="P652" s="63">
        <f t="shared" si="108"/>
        <v>29446.400000000001</v>
      </c>
      <c r="AA652" s="40">
        <v>18040131</v>
      </c>
      <c r="AB652" s="41">
        <v>27520</v>
      </c>
      <c r="AC652" s="63">
        <f t="shared" si="106"/>
        <v>1926.4</v>
      </c>
      <c r="AD652" s="63">
        <f t="shared" si="107"/>
        <v>29446.400000000001</v>
      </c>
      <c r="AE652" s="53">
        <v>43222</v>
      </c>
      <c r="AF652" s="39" t="s">
        <v>869</v>
      </c>
      <c r="AI652" s="21" t="s">
        <v>1012</v>
      </c>
      <c r="AJ652" s="44">
        <v>1</v>
      </c>
      <c r="AK652" s="45" t="s">
        <v>862</v>
      </c>
      <c r="AM652" s="46" t="s">
        <v>1205</v>
      </c>
      <c r="AN652" s="47">
        <v>2</v>
      </c>
      <c r="AO652" s="48" t="s">
        <v>633</v>
      </c>
      <c r="AP652" s="356"/>
      <c r="AQ652" s="356"/>
      <c r="AR652" s="44"/>
      <c r="AS652" s="44"/>
      <c r="AT652" s="356"/>
      <c r="AU652" s="54"/>
      <c r="AV652" s="356"/>
      <c r="AW652" s="356"/>
      <c r="AX652" s="44"/>
      <c r="AY652" s="44"/>
      <c r="AZ652" s="356"/>
      <c r="BA652" s="54"/>
      <c r="BB652" s="356"/>
      <c r="BC652" s="356"/>
      <c r="BD652" s="44"/>
      <c r="BE652" s="44"/>
      <c r="BF652" s="356"/>
      <c r="BG652" s="54"/>
      <c r="BH652" s="356"/>
      <c r="BI652" s="356"/>
      <c r="BJ652" s="44"/>
      <c r="BK652" s="44"/>
      <c r="BL652" s="356"/>
      <c r="BM652" s="356"/>
      <c r="BN652" s="356"/>
      <c r="BO652" s="356"/>
      <c r="BP652" s="44"/>
      <c r="BQ652" s="44"/>
      <c r="BR652" s="356"/>
      <c r="BS652" s="356"/>
      <c r="BT652" s="356"/>
      <c r="BU652" s="356"/>
      <c r="BV652" s="44"/>
      <c r="BW652" s="44"/>
      <c r="BX652" s="356"/>
      <c r="BY652" s="356"/>
      <c r="BZ652" s="356"/>
      <c r="CA652" s="356"/>
      <c r="CB652" s="44"/>
      <c r="CC652" s="44"/>
      <c r="CD652" s="356"/>
      <c r="CE652" s="356"/>
    </row>
    <row r="653" spans="1:83" x14ac:dyDescent="0.5">
      <c r="A653" s="227">
        <v>18035736</v>
      </c>
      <c r="B653" s="22">
        <v>18030220</v>
      </c>
      <c r="C653" s="23" t="s">
        <v>1402</v>
      </c>
      <c r="D653" s="24" t="s">
        <v>184</v>
      </c>
      <c r="E653" s="25" t="s">
        <v>185</v>
      </c>
      <c r="F653" s="26" t="s">
        <v>1364</v>
      </c>
      <c r="G653" s="62">
        <v>43216</v>
      </c>
      <c r="H653" s="27">
        <v>18143</v>
      </c>
      <c r="I653" s="39" t="s">
        <v>869</v>
      </c>
      <c r="J653" s="62">
        <v>43217</v>
      </c>
      <c r="K653" s="42" t="s">
        <v>16</v>
      </c>
      <c r="L653" s="520" t="s">
        <v>416</v>
      </c>
      <c r="M653" s="22" t="s">
        <v>50</v>
      </c>
      <c r="N653" s="63">
        <v>38745</v>
      </c>
      <c r="O653" s="63">
        <v>2712.15</v>
      </c>
      <c r="P653" s="63">
        <f t="shared" si="108"/>
        <v>41457.15</v>
      </c>
      <c r="Q653" s="61"/>
      <c r="R653" s="96"/>
      <c r="S653" s="97"/>
      <c r="T653" s="98"/>
      <c r="U653" s="546"/>
      <c r="V653" s="517">
        <f>N653</f>
        <v>38745</v>
      </c>
      <c r="W653" s="518">
        <v>0.38</v>
      </c>
      <c r="X653" s="518">
        <f>V653*W653/100</f>
        <v>147.23099999999999</v>
      </c>
      <c r="Y653" s="519">
        <v>0.2</v>
      </c>
      <c r="Z653" s="38">
        <f>V653*Y653/100</f>
        <v>77.489999999999995</v>
      </c>
      <c r="AA653" s="40">
        <v>18040160</v>
      </c>
      <c r="AB653" s="41">
        <v>38745</v>
      </c>
      <c r="AC653" s="63">
        <f t="shared" si="106"/>
        <v>2712.15</v>
      </c>
      <c r="AD653" s="63">
        <f t="shared" si="107"/>
        <v>41457.15</v>
      </c>
      <c r="AE653" s="53">
        <v>43250</v>
      </c>
      <c r="AF653" s="39" t="s">
        <v>869</v>
      </c>
      <c r="AI653" s="21" t="s">
        <v>1065</v>
      </c>
      <c r="AJ653" s="44">
        <v>1</v>
      </c>
      <c r="AK653" s="45" t="s">
        <v>831</v>
      </c>
      <c r="AL653" s="46" t="s">
        <v>1205</v>
      </c>
      <c r="AN653" s="47">
        <v>4</v>
      </c>
      <c r="AO653" s="48" t="s">
        <v>636</v>
      </c>
      <c r="AP653" s="44">
        <v>2</v>
      </c>
      <c r="AQ653" s="40" t="s">
        <v>755</v>
      </c>
      <c r="AR653" s="47" t="s">
        <v>1205</v>
      </c>
      <c r="AT653" s="47">
        <v>1</v>
      </c>
      <c r="AU653" s="49" t="s">
        <v>634</v>
      </c>
      <c r="AV653" s="356"/>
      <c r="AW653" s="356"/>
      <c r="AX653" s="44"/>
      <c r="AY653" s="44"/>
      <c r="AZ653" s="356"/>
      <c r="BA653" s="54"/>
      <c r="BB653" s="356"/>
      <c r="BC653" s="356"/>
      <c r="BD653" s="44"/>
      <c r="BE653" s="44"/>
      <c r="BF653" s="356"/>
      <c r="BG653" s="54"/>
      <c r="BH653" s="356"/>
      <c r="BI653" s="356"/>
      <c r="BJ653" s="44"/>
      <c r="BK653" s="44"/>
      <c r="BL653" s="356"/>
      <c r="BM653" s="356"/>
      <c r="BN653" s="356"/>
      <c r="BO653" s="356"/>
      <c r="BP653" s="44"/>
      <c r="BQ653" s="44"/>
      <c r="BR653" s="356"/>
      <c r="BS653" s="356"/>
      <c r="BT653" s="356"/>
      <c r="BU653" s="356"/>
      <c r="BV653" s="44"/>
      <c r="BW653" s="44"/>
      <c r="BX653" s="356"/>
      <c r="BY653" s="356"/>
      <c r="BZ653" s="356"/>
      <c r="CA653" s="356"/>
      <c r="CB653" s="44"/>
      <c r="CC653" s="44"/>
      <c r="CD653" s="356"/>
      <c r="CE653" s="356"/>
    </row>
    <row r="654" spans="1:83" x14ac:dyDescent="0.5">
      <c r="A654" s="227">
        <v>18035735</v>
      </c>
      <c r="B654" s="22">
        <v>18030228</v>
      </c>
      <c r="C654" s="23" t="s">
        <v>1403</v>
      </c>
      <c r="D654" s="24" t="s">
        <v>184</v>
      </c>
      <c r="E654" s="25" t="s">
        <v>185</v>
      </c>
      <c r="F654" s="26" t="s">
        <v>1380</v>
      </c>
      <c r="G654" s="62">
        <v>43181</v>
      </c>
      <c r="H654" s="27">
        <v>18120</v>
      </c>
      <c r="I654" s="39" t="s">
        <v>869</v>
      </c>
      <c r="J654" s="62">
        <v>43181</v>
      </c>
      <c r="K654" s="42" t="s">
        <v>97</v>
      </c>
      <c r="L654" s="520" t="s">
        <v>417</v>
      </c>
      <c r="M654" s="22" t="s">
        <v>51</v>
      </c>
      <c r="N654" s="63">
        <v>291228</v>
      </c>
      <c r="O654" s="63">
        <v>20385.96</v>
      </c>
      <c r="P654" s="63">
        <f t="shared" si="108"/>
        <v>311613.96000000002</v>
      </c>
      <c r="AA654" s="40">
        <v>18030112</v>
      </c>
      <c r="AB654" s="41">
        <v>291228</v>
      </c>
      <c r="AC654" s="64">
        <f t="shared" ref="AC654:AC660" si="109">AB654*7/100</f>
        <v>20385.96</v>
      </c>
      <c r="AD654" s="64">
        <f t="shared" ref="AD654:AD660" si="110">AB654+AC654</f>
        <v>311613.96000000002</v>
      </c>
      <c r="AE654" s="53">
        <v>43210</v>
      </c>
      <c r="AF654" s="39" t="s">
        <v>869</v>
      </c>
      <c r="AI654" s="21" t="s">
        <v>906</v>
      </c>
      <c r="AJ654" s="44">
        <v>1</v>
      </c>
      <c r="AK654" s="45" t="s">
        <v>852</v>
      </c>
      <c r="AL654" s="46" t="s">
        <v>1205</v>
      </c>
      <c r="AN654" s="47">
        <v>1</v>
      </c>
      <c r="AO654" s="48" t="s">
        <v>633</v>
      </c>
      <c r="AP654" s="44">
        <v>2</v>
      </c>
      <c r="AQ654" s="40" t="s">
        <v>852</v>
      </c>
      <c r="AR654" s="47" t="s">
        <v>1205</v>
      </c>
      <c r="AT654" s="47">
        <v>1</v>
      </c>
      <c r="AU654" s="49" t="s">
        <v>633</v>
      </c>
      <c r="AV654" s="356"/>
      <c r="AW654" s="356"/>
      <c r="AX654" s="44"/>
      <c r="AY654" s="44"/>
      <c r="AZ654" s="356"/>
      <c r="BA654" s="54"/>
      <c r="BB654" s="356"/>
      <c r="BC654" s="356"/>
      <c r="BD654" s="44"/>
      <c r="BE654" s="44"/>
      <c r="BF654" s="356"/>
      <c r="BG654" s="54"/>
      <c r="BH654" s="356"/>
      <c r="BI654" s="356"/>
      <c r="BJ654" s="44"/>
      <c r="BK654" s="44"/>
      <c r="BL654" s="356"/>
      <c r="BM654" s="356"/>
      <c r="BN654" s="356"/>
      <c r="BO654" s="356"/>
      <c r="BP654" s="44"/>
      <c r="BQ654" s="44"/>
      <c r="BR654" s="356"/>
      <c r="BS654" s="356"/>
      <c r="BT654" s="356"/>
      <c r="BU654" s="356"/>
      <c r="BV654" s="44"/>
      <c r="BW654" s="44"/>
      <c r="BX654" s="356"/>
      <c r="BY654" s="356"/>
      <c r="BZ654" s="356"/>
      <c r="CA654" s="356"/>
      <c r="CB654" s="44"/>
      <c r="CC654" s="44"/>
      <c r="CD654" s="356"/>
      <c r="CE654" s="356"/>
    </row>
    <row r="655" spans="1:83" x14ac:dyDescent="0.5">
      <c r="A655" s="227">
        <v>18035734</v>
      </c>
      <c r="B655" s="22">
        <v>18030227</v>
      </c>
      <c r="C655" s="23" t="s">
        <v>1404</v>
      </c>
      <c r="D655" s="24" t="s">
        <v>184</v>
      </c>
      <c r="E655" s="25" t="s">
        <v>185</v>
      </c>
      <c r="F655" s="26" t="s">
        <v>1381</v>
      </c>
      <c r="G655" s="62">
        <v>43181</v>
      </c>
      <c r="H655" s="27">
        <v>18119</v>
      </c>
      <c r="I655" s="39" t="s">
        <v>869</v>
      </c>
      <c r="J655" s="62">
        <v>43181</v>
      </c>
      <c r="K655" s="42" t="s">
        <v>97</v>
      </c>
      <c r="L655" s="520" t="s">
        <v>418</v>
      </c>
      <c r="M655" s="22" t="s">
        <v>51</v>
      </c>
      <c r="N655" s="63">
        <v>326214</v>
      </c>
      <c r="O655" s="63">
        <v>22834.98</v>
      </c>
      <c r="P655" s="63">
        <f t="shared" si="108"/>
        <v>349048.98</v>
      </c>
      <c r="AA655" s="40">
        <v>18030113</v>
      </c>
      <c r="AB655" s="41">
        <v>326214</v>
      </c>
      <c r="AC655" s="64">
        <f t="shared" si="109"/>
        <v>22834.98</v>
      </c>
      <c r="AD655" s="64">
        <f t="shared" si="110"/>
        <v>349048.98</v>
      </c>
      <c r="AE655" s="53">
        <v>43210</v>
      </c>
      <c r="AF655" s="39" t="s">
        <v>869</v>
      </c>
      <c r="AI655" s="21" t="s">
        <v>907</v>
      </c>
      <c r="AJ655" s="44">
        <v>1</v>
      </c>
      <c r="AK655" s="45" t="s">
        <v>852</v>
      </c>
      <c r="AL655" s="46" t="s">
        <v>1205</v>
      </c>
      <c r="AN655" s="47">
        <v>1</v>
      </c>
      <c r="AO655" s="48" t="s">
        <v>633</v>
      </c>
      <c r="AP655" s="44">
        <v>2</v>
      </c>
      <c r="AQ655" s="40" t="s">
        <v>852</v>
      </c>
      <c r="AR655" s="47" t="s">
        <v>1205</v>
      </c>
      <c r="AT655" s="47">
        <v>1</v>
      </c>
      <c r="AU655" s="49" t="s">
        <v>633</v>
      </c>
      <c r="AV655" s="356"/>
      <c r="AW655" s="356"/>
      <c r="AX655" s="44"/>
      <c r="AY655" s="44"/>
      <c r="AZ655" s="356"/>
      <c r="BA655" s="54"/>
      <c r="BB655" s="356"/>
      <c r="BC655" s="356"/>
      <c r="BD655" s="44"/>
      <c r="BE655" s="44"/>
      <c r="BF655" s="356"/>
      <c r="BG655" s="54"/>
      <c r="BH655" s="356"/>
      <c r="BI655" s="356"/>
      <c r="BJ655" s="44"/>
      <c r="BK655" s="44"/>
      <c r="BL655" s="356"/>
      <c r="BM655" s="356"/>
      <c r="BN655" s="356"/>
      <c r="BO655" s="356"/>
      <c r="BP655" s="44"/>
      <c r="BQ655" s="44"/>
      <c r="BR655" s="356"/>
      <c r="BS655" s="356"/>
      <c r="BT655" s="356"/>
      <c r="BU655" s="356"/>
      <c r="BV655" s="44"/>
      <c r="BW655" s="44"/>
      <c r="BX655" s="356"/>
      <c r="BY655" s="356"/>
      <c r="BZ655" s="356"/>
      <c r="CA655" s="356"/>
      <c r="CB655" s="44"/>
      <c r="CC655" s="44"/>
      <c r="CD655" s="356"/>
      <c r="CE655" s="356"/>
    </row>
    <row r="656" spans="1:83" x14ac:dyDescent="0.5">
      <c r="A656" s="227">
        <v>18035733</v>
      </c>
      <c r="B656" s="22">
        <v>18030226</v>
      </c>
      <c r="C656" s="23" t="s">
        <v>1405</v>
      </c>
      <c r="D656" s="24" t="s">
        <v>184</v>
      </c>
      <c r="E656" s="25" t="s">
        <v>185</v>
      </c>
      <c r="F656" s="26" t="s">
        <v>1377</v>
      </c>
      <c r="G656" s="62">
        <v>43189</v>
      </c>
      <c r="H656" s="27">
        <v>18128</v>
      </c>
      <c r="I656" s="39" t="s">
        <v>869</v>
      </c>
      <c r="J656" s="62">
        <v>43190</v>
      </c>
      <c r="K656" s="42" t="s">
        <v>97</v>
      </c>
      <c r="L656" s="520" t="s">
        <v>419</v>
      </c>
      <c r="M656" s="22" t="s">
        <v>51</v>
      </c>
      <c r="N656" s="63">
        <v>355604</v>
      </c>
      <c r="O656" s="63">
        <v>24892.28</v>
      </c>
      <c r="P656" s="63">
        <f t="shared" si="108"/>
        <v>380496.28</v>
      </c>
      <c r="AA656" s="40">
        <v>18040132</v>
      </c>
      <c r="AB656" s="41">
        <v>355604</v>
      </c>
      <c r="AC656" s="63">
        <f t="shared" si="109"/>
        <v>24892.28</v>
      </c>
      <c r="AD656" s="63">
        <f t="shared" si="110"/>
        <v>380496.28</v>
      </c>
      <c r="AE656" s="53">
        <v>43222</v>
      </c>
      <c r="AF656" s="39" t="s">
        <v>869</v>
      </c>
      <c r="AI656" s="21" t="s">
        <v>1016</v>
      </c>
      <c r="AJ656" s="44">
        <v>1</v>
      </c>
      <c r="AK656" s="45" t="s">
        <v>856</v>
      </c>
      <c r="AM656" s="46" t="s">
        <v>1205</v>
      </c>
      <c r="AN656" s="47">
        <v>1</v>
      </c>
      <c r="AO656" s="48" t="s">
        <v>635</v>
      </c>
      <c r="AP656" s="356"/>
      <c r="AQ656" s="356"/>
      <c r="AR656" s="44"/>
      <c r="AS656" s="44"/>
      <c r="AT656" s="356"/>
      <c r="AU656" s="54"/>
      <c r="AV656" s="356"/>
      <c r="AW656" s="356"/>
      <c r="AX656" s="44"/>
      <c r="AY656" s="44"/>
      <c r="AZ656" s="356"/>
      <c r="BA656" s="54"/>
      <c r="BB656" s="356"/>
      <c r="BC656" s="356"/>
      <c r="BD656" s="44"/>
      <c r="BE656" s="44"/>
      <c r="BF656" s="356"/>
      <c r="BG656" s="54"/>
      <c r="BH656" s="356"/>
      <c r="BI656" s="356"/>
      <c r="BJ656" s="44"/>
      <c r="BK656" s="44"/>
      <c r="BL656" s="356"/>
      <c r="BM656" s="356"/>
      <c r="BN656" s="356"/>
      <c r="BO656" s="356"/>
      <c r="BP656" s="44"/>
      <c r="BQ656" s="44"/>
      <c r="BR656" s="356"/>
      <c r="BS656" s="356"/>
      <c r="BT656" s="356"/>
      <c r="BU656" s="356"/>
      <c r="BV656" s="44"/>
      <c r="BW656" s="44"/>
      <c r="BX656" s="356"/>
      <c r="BY656" s="356"/>
      <c r="BZ656" s="356"/>
      <c r="CA656" s="356"/>
      <c r="CB656" s="44"/>
      <c r="CC656" s="44"/>
      <c r="CD656" s="356"/>
      <c r="CE656" s="356"/>
    </row>
    <row r="657" spans="1:83" x14ac:dyDescent="0.5">
      <c r="A657" s="227">
        <v>18035732</v>
      </c>
      <c r="B657" s="22">
        <v>18030225</v>
      </c>
      <c r="C657" s="55"/>
      <c r="D657" s="56"/>
      <c r="E657" s="57"/>
      <c r="F657" s="58"/>
      <c r="G657" s="59"/>
      <c r="H657" s="60"/>
      <c r="K657" s="42" t="s">
        <v>97</v>
      </c>
      <c r="L657" s="520" t="s">
        <v>420</v>
      </c>
      <c r="M657" s="22" t="s">
        <v>51</v>
      </c>
      <c r="AA657" s="40">
        <v>18030114</v>
      </c>
      <c r="AB657" s="41">
        <v>9000</v>
      </c>
      <c r="AC657" s="64">
        <f t="shared" si="109"/>
        <v>630</v>
      </c>
      <c r="AD657" s="64">
        <f t="shared" si="110"/>
        <v>9630</v>
      </c>
      <c r="AE657" s="53">
        <v>43210</v>
      </c>
      <c r="AF657" s="39" t="s">
        <v>869</v>
      </c>
      <c r="AI657" s="21" t="s">
        <v>906</v>
      </c>
      <c r="AJ657" s="44">
        <v>1</v>
      </c>
      <c r="AP657" s="44">
        <v>2</v>
      </c>
      <c r="AV657" s="44">
        <v>3</v>
      </c>
      <c r="BB657" s="44">
        <v>4</v>
      </c>
      <c r="BH657" s="44">
        <v>5</v>
      </c>
      <c r="BN657" s="44">
        <v>6</v>
      </c>
      <c r="BT657" s="44">
        <v>7</v>
      </c>
      <c r="BZ657" s="44">
        <v>8</v>
      </c>
    </row>
    <row r="658" spans="1:83" x14ac:dyDescent="0.5">
      <c r="A658" s="227">
        <v>18035731</v>
      </c>
      <c r="B658" s="22">
        <v>18030224</v>
      </c>
      <c r="C658" s="23" t="s">
        <v>1406</v>
      </c>
      <c r="D658" s="24" t="s">
        <v>184</v>
      </c>
      <c r="E658" s="25" t="s">
        <v>185</v>
      </c>
      <c r="F658" s="26" t="s">
        <v>1393</v>
      </c>
      <c r="G658" s="62">
        <v>43167</v>
      </c>
      <c r="H658" s="27">
        <v>18094</v>
      </c>
      <c r="I658" s="39" t="s">
        <v>869</v>
      </c>
      <c r="J658" s="62">
        <v>43168</v>
      </c>
      <c r="K658" s="42" t="s">
        <v>421</v>
      </c>
      <c r="L658" s="520" t="s">
        <v>422</v>
      </c>
      <c r="M658" s="22" t="s">
        <v>51</v>
      </c>
      <c r="N658" s="63">
        <v>77000</v>
      </c>
      <c r="O658" s="63">
        <v>5390</v>
      </c>
      <c r="P658" s="63">
        <f>SUM(N658:O658)</f>
        <v>82390</v>
      </c>
      <c r="AA658" s="40">
        <v>18030085</v>
      </c>
      <c r="AB658" s="41">
        <v>77000</v>
      </c>
      <c r="AC658" s="64">
        <f t="shared" si="109"/>
        <v>5390</v>
      </c>
      <c r="AD658" s="64">
        <f t="shared" si="110"/>
        <v>82390</v>
      </c>
      <c r="AE658" s="53">
        <v>43211</v>
      </c>
      <c r="AF658" s="39" t="s">
        <v>869</v>
      </c>
      <c r="AI658" s="21" t="s">
        <v>918</v>
      </c>
      <c r="AJ658" s="44">
        <v>1</v>
      </c>
      <c r="AK658" s="45" t="s">
        <v>845</v>
      </c>
      <c r="AM658" s="46" t="s">
        <v>1205</v>
      </c>
      <c r="AN658" s="47">
        <v>1</v>
      </c>
      <c r="AO658" s="48" t="s">
        <v>633</v>
      </c>
      <c r="AP658" s="356"/>
      <c r="AQ658" s="356"/>
      <c r="AR658" s="44"/>
      <c r="AS658" s="44"/>
      <c r="AT658" s="356"/>
      <c r="AU658" s="54"/>
      <c r="AV658" s="356"/>
      <c r="AW658" s="356"/>
      <c r="AX658" s="44"/>
      <c r="AY658" s="44"/>
      <c r="AZ658" s="356"/>
      <c r="BA658" s="54"/>
      <c r="BB658" s="356"/>
      <c r="BC658" s="356"/>
      <c r="BD658" s="44"/>
      <c r="BE658" s="44"/>
      <c r="BF658" s="356"/>
      <c r="BG658" s="54"/>
      <c r="BH658" s="356"/>
      <c r="BI658" s="356"/>
      <c r="BJ658" s="44"/>
      <c r="BK658" s="44"/>
      <c r="BL658" s="356"/>
      <c r="BM658" s="356"/>
      <c r="BN658" s="356"/>
      <c r="BO658" s="356"/>
      <c r="BP658" s="44"/>
      <c r="BQ658" s="44"/>
      <c r="BR658" s="356"/>
      <c r="BS658" s="356"/>
      <c r="BT658" s="356"/>
      <c r="BU658" s="356"/>
      <c r="BV658" s="44"/>
      <c r="BW658" s="44"/>
      <c r="BX658" s="356"/>
      <c r="BY658" s="356"/>
      <c r="BZ658" s="356"/>
      <c r="CA658" s="356"/>
      <c r="CB658" s="44"/>
      <c r="CC658" s="44"/>
      <c r="CD658" s="356"/>
      <c r="CE658" s="356"/>
    </row>
    <row r="659" spans="1:83" x14ac:dyDescent="0.5">
      <c r="A659" s="227">
        <v>18035730</v>
      </c>
      <c r="B659" s="22">
        <v>18030223</v>
      </c>
      <c r="C659" s="55"/>
      <c r="D659" s="56"/>
      <c r="E659" s="57"/>
      <c r="F659" s="58"/>
      <c r="G659" s="59"/>
      <c r="H659" s="60"/>
      <c r="I659" s="39" t="s">
        <v>869</v>
      </c>
      <c r="J659" s="62">
        <v>43166</v>
      </c>
      <c r="K659" s="42" t="s">
        <v>275</v>
      </c>
      <c r="L659" s="520" t="s">
        <v>423</v>
      </c>
      <c r="M659" s="22" t="s">
        <v>51</v>
      </c>
      <c r="N659" s="63">
        <v>20000</v>
      </c>
      <c r="O659" s="63">
        <f>N659*7/100</f>
        <v>1400</v>
      </c>
      <c r="P659" s="63">
        <f>N659+O659</f>
        <v>21400</v>
      </c>
      <c r="AA659" s="40">
        <v>18030084</v>
      </c>
      <c r="AB659" s="41">
        <v>20000</v>
      </c>
      <c r="AC659" s="63">
        <f t="shared" si="109"/>
        <v>1400</v>
      </c>
      <c r="AD659" s="63">
        <f t="shared" si="110"/>
        <v>21400</v>
      </c>
      <c r="AE659" s="53">
        <v>43196</v>
      </c>
      <c r="AF659" s="39" t="s">
        <v>869</v>
      </c>
      <c r="AI659" s="21" t="s">
        <v>967</v>
      </c>
      <c r="AJ659" s="44">
        <v>1</v>
      </c>
      <c r="AP659" s="44">
        <v>2</v>
      </c>
      <c r="AV659" s="44">
        <v>3</v>
      </c>
      <c r="BB659" s="44">
        <v>4</v>
      </c>
      <c r="BH659" s="44">
        <v>5</v>
      </c>
      <c r="BN659" s="44">
        <v>6</v>
      </c>
      <c r="BT659" s="44">
        <v>7</v>
      </c>
      <c r="BZ659" s="44">
        <v>8</v>
      </c>
    </row>
    <row r="660" spans="1:83" x14ac:dyDescent="0.5">
      <c r="A660" s="259">
        <v>18025729</v>
      </c>
      <c r="B660" s="104">
        <v>18030214</v>
      </c>
      <c r="C660" s="105" t="s">
        <v>1407</v>
      </c>
      <c r="D660" s="106" t="s">
        <v>184</v>
      </c>
      <c r="E660" s="107" t="s">
        <v>185</v>
      </c>
      <c r="F660" s="108" t="s">
        <v>1384</v>
      </c>
      <c r="G660" s="211">
        <v>43181</v>
      </c>
      <c r="H660" s="164">
        <v>18113</v>
      </c>
      <c r="I660" s="127" t="s">
        <v>869</v>
      </c>
      <c r="J660" s="122">
        <v>43181</v>
      </c>
      <c r="K660" s="547" t="s">
        <v>413</v>
      </c>
      <c r="L660" s="548" t="s">
        <v>424</v>
      </c>
      <c r="M660" s="104" t="s">
        <v>359</v>
      </c>
      <c r="N660" s="260">
        <v>401600</v>
      </c>
      <c r="O660" s="260">
        <v>28112</v>
      </c>
      <c r="P660" s="260">
        <f>SUM(N660:O660)</f>
        <v>429712</v>
      </c>
      <c r="Q660" s="311"/>
      <c r="R660" s="113"/>
      <c r="S660" s="114"/>
      <c r="T660" s="115"/>
      <c r="U660" s="550"/>
      <c r="V660" s="551"/>
      <c r="W660" s="552"/>
      <c r="X660" s="552"/>
      <c r="Y660" s="553"/>
      <c r="Z660" s="120"/>
      <c r="AA660" s="123">
        <v>18030124</v>
      </c>
      <c r="AB660" s="124">
        <v>401600</v>
      </c>
      <c r="AC660" s="261">
        <f t="shared" si="109"/>
        <v>28112</v>
      </c>
      <c r="AD660" s="261">
        <f t="shared" si="110"/>
        <v>429712</v>
      </c>
      <c r="AE660" s="126">
        <v>43215</v>
      </c>
      <c r="AF660" s="127" t="s">
        <v>869</v>
      </c>
      <c r="AG660" s="127"/>
      <c r="AH660" s="127"/>
      <c r="AI660" s="103" t="s">
        <v>953</v>
      </c>
      <c r="AJ660" s="128">
        <v>1</v>
      </c>
      <c r="AK660" s="129" t="s">
        <v>851</v>
      </c>
      <c r="AL660" s="130"/>
      <c r="AM660" s="130" t="s">
        <v>1205</v>
      </c>
      <c r="AN660" s="131">
        <v>4</v>
      </c>
      <c r="AO660" s="132" t="s">
        <v>634</v>
      </c>
      <c r="AP660" s="128">
        <v>2</v>
      </c>
      <c r="AQ660" s="123" t="s">
        <v>711</v>
      </c>
      <c r="AR660" s="131"/>
      <c r="AS660" s="131" t="s">
        <v>1205</v>
      </c>
      <c r="AT660" s="131">
        <v>1</v>
      </c>
      <c r="AU660" s="169" t="s">
        <v>636</v>
      </c>
      <c r="AV660" s="128">
        <v>3</v>
      </c>
      <c r="AW660" s="123" t="s">
        <v>826</v>
      </c>
      <c r="AX660" s="131" t="s">
        <v>1205</v>
      </c>
      <c r="AY660" s="131"/>
      <c r="AZ660" s="131">
        <v>4</v>
      </c>
      <c r="BA660" s="169" t="s">
        <v>636</v>
      </c>
      <c r="BB660" s="361"/>
      <c r="BC660" s="361"/>
      <c r="BD660" s="128"/>
      <c r="BE660" s="128"/>
      <c r="BF660" s="361"/>
      <c r="BG660" s="133"/>
      <c r="BH660" s="361"/>
      <c r="BI660" s="361"/>
      <c r="BJ660" s="128"/>
      <c r="BK660" s="128"/>
      <c r="BL660" s="361"/>
      <c r="BM660" s="361"/>
      <c r="BN660" s="361"/>
      <c r="BO660" s="361"/>
      <c r="BP660" s="128"/>
      <c r="BQ660" s="128"/>
      <c r="BR660" s="361"/>
      <c r="BS660" s="361"/>
      <c r="BT660" s="361"/>
      <c r="BU660" s="361"/>
      <c r="BV660" s="128"/>
      <c r="BW660" s="128"/>
      <c r="BX660" s="361"/>
      <c r="BY660" s="361"/>
      <c r="BZ660" s="361"/>
      <c r="CA660" s="361"/>
      <c r="CB660" s="128"/>
      <c r="CC660" s="128"/>
      <c r="CD660" s="361"/>
      <c r="CE660" s="361"/>
    </row>
    <row r="661" spans="1:83" x14ac:dyDescent="0.5">
      <c r="A661" s="262"/>
      <c r="B661" s="135"/>
      <c r="C661" s="136"/>
      <c r="D661" s="137"/>
      <c r="E661" s="138"/>
      <c r="F661" s="139"/>
      <c r="G661" s="170">
        <v>43181</v>
      </c>
      <c r="H661" s="251">
        <v>18115</v>
      </c>
      <c r="I661" s="152"/>
      <c r="J661" s="179"/>
      <c r="K661" s="255"/>
      <c r="L661" s="300"/>
      <c r="M661" s="135"/>
      <c r="N661" s="253"/>
      <c r="O661" s="253"/>
      <c r="P661" s="253"/>
      <c r="Q661" s="143"/>
      <c r="R661" s="144"/>
      <c r="S661" s="145"/>
      <c r="T661" s="146"/>
      <c r="U661" s="529"/>
      <c r="V661" s="555"/>
      <c r="W661" s="556"/>
      <c r="X661" s="556"/>
      <c r="Y661" s="557"/>
      <c r="Z661" s="151"/>
      <c r="AA661" s="154"/>
      <c r="AB661" s="155"/>
      <c r="AC661" s="263"/>
      <c r="AD661" s="263"/>
      <c r="AE661" s="157"/>
      <c r="AF661" s="152"/>
      <c r="AG661" s="152"/>
      <c r="AH661" s="152"/>
      <c r="AI661" s="134"/>
      <c r="AJ661" s="158"/>
      <c r="AK661" s="159"/>
      <c r="AL661" s="160"/>
      <c r="AM661" s="160"/>
      <c r="AN661" s="161"/>
      <c r="AO661" s="162"/>
      <c r="AP661" s="158"/>
      <c r="AQ661" s="154"/>
      <c r="AR661" s="161"/>
      <c r="AS661" s="161"/>
      <c r="AT661" s="161"/>
      <c r="AU661" s="177"/>
      <c r="AV661" s="158"/>
      <c r="AW661" s="154"/>
      <c r="AX661" s="161"/>
      <c r="AY661" s="161"/>
      <c r="AZ661" s="161"/>
      <c r="BA661" s="177"/>
      <c r="BB661" s="458"/>
      <c r="BC661" s="458"/>
      <c r="BD661" s="158"/>
      <c r="BE661" s="158"/>
      <c r="BF661" s="458"/>
      <c r="BG661" s="163"/>
      <c r="BH661" s="458"/>
      <c r="BI661" s="458"/>
      <c r="BJ661" s="158"/>
      <c r="BK661" s="158"/>
      <c r="BL661" s="458"/>
      <c r="BM661" s="458"/>
      <c r="BN661" s="458"/>
      <c r="BO661" s="458"/>
      <c r="BP661" s="158"/>
      <c r="BQ661" s="158"/>
      <c r="BR661" s="458"/>
      <c r="BS661" s="458"/>
      <c r="BT661" s="458"/>
      <c r="BU661" s="458"/>
      <c r="BV661" s="158"/>
      <c r="BW661" s="158"/>
      <c r="BX661" s="458"/>
      <c r="BY661" s="458"/>
      <c r="BZ661" s="458"/>
      <c r="CA661" s="458"/>
      <c r="CB661" s="158"/>
      <c r="CC661" s="158"/>
      <c r="CD661" s="458"/>
      <c r="CE661" s="458"/>
    </row>
    <row r="662" spans="1:83" x14ac:dyDescent="0.5">
      <c r="A662" s="268"/>
      <c r="B662" s="181"/>
      <c r="C662" s="182"/>
      <c r="D662" s="183"/>
      <c r="E662" s="184"/>
      <c r="F662" s="185"/>
      <c r="G662" s="186">
        <v>43181</v>
      </c>
      <c r="H662" s="187">
        <v>18116</v>
      </c>
      <c r="I662" s="199"/>
      <c r="J662" s="186"/>
      <c r="K662" s="240"/>
      <c r="L662" s="558"/>
      <c r="M662" s="181"/>
      <c r="N662" s="237"/>
      <c r="O662" s="237"/>
      <c r="P662" s="237"/>
      <c r="Q662" s="190"/>
      <c r="R662" s="215"/>
      <c r="S662" s="216"/>
      <c r="T662" s="217"/>
      <c r="U662" s="544"/>
      <c r="V662" s="560"/>
      <c r="W662" s="561"/>
      <c r="X662" s="561"/>
      <c r="Y662" s="562"/>
      <c r="Z662" s="198"/>
      <c r="AA662" s="200"/>
      <c r="AB662" s="201"/>
      <c r="AC662" s="238"/>
      <c r="AD662" s="238"/>
      <c r="AE662" s="203"/>
      <c r="AF662" s="199"/>
      <c r="AG662" s="199"/>
      <c r="AH662" s="199"/>
      <c r="AI662" s="180"/>
      <c r="AJ662" s="204"/>
      <c r="AK662" s="205"/>
      <c r="AL662" s="206"/>
      <c r="AM662" s="206"/>
      <c r="AN662" s="207"/>
      <c r="AO662" s="208"/>
      <c r="AP662" s="204"/>
      <c r="AQ662" s="200"/>
      <c r="AR662" s="207"/>
      <c r="AS662" s="207"/>
      <c r="AT662" s="207"/>
      <c r="AU662" s="209"/>
      <c r="AV662" s="204"/>
      <c r="AW662" s="200"/>
      <c r="AX662" s="207"/>
      <c r="AY662" s="207"/>
      <c r="AZ662" s="207"/>
      <c r="BA662" s="209"/>
      <c r="BB662" s="365"/>
      <c r="BC662" s="365"/>
      <c r="BD662" s="204"/>
      <c r="BE662" s="204"/>
      <c r="BF662" s="365"/>
      <c r="BG662" s="210"/>
      <c r="BH662" s="365"/>
      <c r="BI662" s="365"/>
      <c r="BJ662" s="204"/>
      <c r="BK662" s="204"/>
      <c r="BL662" s="365"/>
      <c r="BM662" s="365"/>
      <c r="BN662" s="365"/>
      <c r="BO662" s="365"/>
      <c r="BP662" s="204"/>
      <c r="BQ662" s="204"/>
      <c r="BR662" s="365"/>
      <c r="BS662" s="365"/>
      <c r="BT662" s="365"/>
      <c r="BU662" s="365"/>
      <c r="BV662" s="204"/>
      <c r="BW662" s="204"/>
      <c r="BX662" s="365"/>
      <c r="BY662" s="365"/>
      <c r="BZ662" s="365"/>
      <c r="CA662" s="365"/>
      <c r="CB662" s="204"/>
      <c r="CC662" s="204"/>
      <c r="CD662" s="365"/>
      <c r="CE662" s="365"/>
    </row>
    <row r="663" spans="1:83" s="95" customFormat="1" x14ac:dyDescent="0.5">
      <c r="A663" s="65">
        <v>18025728</v>
      </c>
      <c r="B663" s="66">
        <v>18020207</v>
      </c>
      <c r="C663" s="67" t="s">
        <v>1408</v>
      </c>
      <c r="D663" s="24" t="s">
        <v>184</v>
      </c>
      <c r="E663" s="69"/>
      <c r="F663" s="70"/>
      <c r="G663" s="66"/>
      <c r="H663" s="71"/>
      <c r="I663" s="83"/>
      <c r="J663" s="66"/>
      <c r="K663" s="86" t="s">
        <v>425</v>
      </c>
      <c r="L663" s="589" t="s">
        <v>426</v>
      </c>
      <c r="M663" s="66" t="s">
        <v>359</v>
      </c>
      <c r="N663" s="590">
        <v>595170</v>
      </c>
      <c r="O663" s="590">
        <v>41661.9</v>
      </c>
      <c r="P663" s="590">
        <f>SUM(N663:O663)</f>
        <v>636831.9</v>
      </c>
      <c r="Q663" s="74"/>
      <c r="R663" s="75"/>
      <c r="S663" s="76"/>
      <c r="T663" s="77"/>
      <c r="U663" s="591"/>
      <c r="V663" s="592"/>
      <c r="W663" s="593"/>
      <c r="X663" s="593"/>
      <c r="Y663" s="594"/>
      <c r="Z663" s="82"/>
      <c r="AA663" s="84"/>
      <c r="AB663" s="85"/>
      <c r="AC663" s="86"/>
      <c r="AD663" s="86"/>
      <c r="AE663" s="87"/>
      <c r="AF663" s="83"/>
      <c r="AG663" s="83"/>
      <c r="AH663" s="83"/>
      <c r="AI663" s="65"/>
      <c r="AJ663" s="44">
        <v>1</v>
      </c>
      <c r="AK663" s="45" t="s">
        <v>710</v>
      </c>
      <c r="AL663" s="46"/>
      <c r="AM663" s="46" t="s">
        <v>1205</v>
      </c>
      <c r="AN663" s="47">
        <v>2</v>
      </c>
      <c r="AO663" s="48" t="s">
        <v>634</v>
      </c>
      <c r="AP663" s="44">
        <v>2</v>
      </c>
      <c r="AQ663" s="40" t="s">
        <v>711</v>
      </c>
      <c r="AR663" s="47"/>
      <c r="AS663" s="47" t="s">
        <v>1205</v>
      </c>
      <c r="AT663" s="47">
        <v>2</v>
      </c>
      <c r="AU663" s="49" t="s">
        <v>636</v>
      </c>
      <c r="AV663" s="44">
        <v>3</v>
      </c>
      <c r="AW663" s="40" t="s">
        <v>712</v>
      </c>
      <c r="AX663" s="47" t="s">
        <v>1205</v>
      </c>
      <c r="AY663" s="47"/>
      <c r="AZ663" s="47">
        <v>2</v>
      </c>
      <c r="BA663" s="49" t="s">
        <v>636</v>
      </c>
      <c r="BB663" s="356"/>
      <c r="BC663" s="356"/>
      <c r="BD663" s="44"/>
      <c r="BE663" s="44"/>
      <c r="BF663" s="356"/>
      <c r="BG663" s="54"/>
      <c r="BH663" s="356"/>
      <c r="BI663" s="356"/>
      <c r="BJ663" s="44"/>
      <c r="BK663" s="44"/>
      <c r="BL663" s="356"/>
      <c r="BM663" s="356"/>
      <c r="BN663" s="356"/>
      <c r="BO663" s="356"/>
      <c r="BP663" s="44"/>
      <c r="BQ663" s="44"/>
      <c r="BR663" s="356"/>
      <c r="BS663" s="356"/>
      <c r="BT663" s="356"/>
      <c r="BU663" s="356"/>
      <c r="BV663" s="44"/>
      <c r="BW663" s="44"/>
      <c r="BX663" s="356"/>
      <c r="BY663" s="356"/>
      <c r="BZ663" s="356"/>
      <c r="CA663" s="356"/>
      <c r="CB663" s="44"/>
      <c r="CC663" s="44"/>
      <c r="CD663" s="356"/>
      <c r="CE663" s="356"/>
    </row>
    <row r="664" spans="1:83" x14ac:dyDescent="0.5">
      <c r="A664" s="227">
        <v>18025727</v>
      </c>
      <c r="B664" s="22">
        <v>18020202</v>
      </c>
      <c r="C664" s="55"/>
      <c r="D664" s="56"/>
      <c r="E664" s="57"/>
      <c r="F664" s="58"/>
      <c r="G664" s="59"/>
      <c r="H664" s="60"/>
      <c r="I664" s="269"/>
      <c r="J664" s="59"/>
      <c r="K664" s="42" t="s">
        <v>427</v>
      </c>
      <c r="L664" s="520" t="s">
        <v>428</v>
      </c>
      <c r="M664" s="22" t="s">
        <v>51</v>
      </c>
      <c r="N664" s="63">
        <v>175500</v>
      </c>
      <c r="O664" s="63">
        <f>N664*7/100</f>
        <v>12285</v>
      </c>
      <c r="P664" s="63">
        <f>N664+O664</f>
        <v>187785</v>
      </c>
      <c r="AA664" s="40">
        <v>18040152</v>
      </c>
      <c r="AB664" s="41">
        <v>175500</v>
      </c>
      <c r="AC664" s="64">
        <f t="shared" ref="AC664:AC672" si="111">AB664*7/100</f>
        <v>12285</v>
      </c>
      <c r="AD664" s="64">
        <f t="shared" ref="AD664:AD672" si="112">AB664+AC664</f>
        <v>187785</v>
      </c>
      <c r="AE664" s="53">
        <v>43210</v>
      </c>
      <c r="AF664" s="39" t="s">
        <v>869</v>
      </c>
      <c r="AI664" s="21" t="s">
        <v>977</v>
      </c>
      <c r="AJ664" s="44">
        <v>1</v>
      </c>
      <c r="AP664" s="44">
        <v>2</v>
      </c>
      <c r="AV664" s="44">
        <v>3</v>
      </c>
      <c r="BB664" s="44">
        <v>4</v>
      </c>
      <c r="BH664" s="44">
        <v>5</v>
      </c>
      <c r="BN664" s="44">
        <v>6</v>
      </c>
      <c r="BT664" s="44">
        <v>7</v>
      </c>
      <c r="BZ664" s="44">
        <v>8</v>
      </c>
    </row>
    <row r="665" spans="1:83" x14ac:dyDescent="0.5">
      <c r="A665" s="227">
        <v>18025726</v>
      </c>
      <c r="B665" s="22">
        <v>18020201</v>
      </c>
      <c r="C665" s="55"/>
      <c r="D665" s="56"/>
      <c r="E665" s="57"/>
      <c r="F665" s="58"/>
      <c r="G665" s="59"/>
      <c r="H665" s="60"/>
      <c r="I665" s="269"/>
      <c r="J665" s="59"/>
      <c r="K665" s="42" t="s">
        <v>427</v>
      </c>
      <c r="L665" s="520" t="s">
        <v>428</v>
      </c>
      <c r="M665" s="22" t="s">
        <v>51</v>
      </c>
      <c r="N665" s="63">
        <v>100000</v>
      </c>
      <c r="O665" s="63">
        <f>N665*7/100</f>
        <v>7000</v>
      </c>
      <c r="P665" s="63">
        <f>N665+O665</f>
        <v>107000</v>
      </c>
      <c r="AA665" s="40">
        <v>18040151</v>
      </c>
      <c r="AB665" s="41">
        <v>100000</v>
      </c>
      <c r="AC665" s="64">
        <f t="shared" si="111"/>
        <v>7000</v>
      </c>
      <c r="AD665" s="64">
        <f t="shared" si="112"/>
        <v>107000</v>
      </c>
      <c r="AE665" s="53">
        <v>43210</v>
      </c>
      <c r="AF665" s="39" t="s">
        <v>869</v>
      </c>
      <c r="AI665" s="21" t="s">
        <v>977</v>
      </c>
      <c r="AJ665" s="44">
        <v>1</v>
      </c>
      <c r="AP665" s="44">
        <v>2</v>
      </c>
      <c r="AV665" s="44">
        <v>3</v>
      </c>
      <c r="BB665" s="44">
        <v>4</v>
      </c>
      <c r="BH665" s="44">
        <v>5</v>
      </c>
      <c r="BN665" s="44">
        <v>6</v>
      </c>
      <c r="BT665" s="44">
        <v>7</v>
      </c>
      <c r="BZ665" s="44">
        <v>8</v>
      </c>
    </row>
    <row r="666" spans="1:83" x14ac:dyDescent="0.5">
      <c r="A666" s="227">
        <v>18025725</v>
      </c>
      <c r="B666" s="22">
        <v>18020200</v>
      </c>
      <c r="C666" s="55"/>
      <c r="D666" s="56"/>
      <c r="E666" s="57"/>
      <c r="F666" s="58"/>
      <c r="G666" s="59"/>
      <c r="H666" s="60"/>
      <c r="I666" s="269"/>
      <c r="J666" s="59"/>
      <c r="K666" s="42" t="s">
        <v>427</v>
      </c>
      <c r="L666" s="520" t="s">
        <v>428</v>
      </c>
      <c r="M666" s="22" t="s">
        <v>51</v>
      </c>
      <c r="N666" s="63">
        <v>175500</v>
      </c>
      <c r="O666" s="63">
        <f>N666*7/100</f>
        <v>12285</v>
      </c>
      <c r="P666" s="63">
        <f>N666+O666</f>
        <v>187785</v>
      </c>
      <c r="AA666" s="40">
        <v>18040150</v>
      </c>
      <c r="AB666" s="41">
        <v>175500</v>
      </c>
      <c r="AC666" s="64">
        <f t="shared" si="111"/>
        <v>12285</v>
      </c>
      <c r="AD666" s="64">
        <f t="shared" si="112"/>
        <v>187785</v>
      </c>
      <c r="AE666" s="53">
        <v>43210</v>
      </c>
      <c r="AF666" s="39" t="s">
        <v>869</v>
      </c>
      <c r="AI666" s="21" t="s">
        <v>977</v>
      </c>
      <c r="AJ666" s="44">
        <v>1</v>
      </c>
      <c r="AP666" s="44">
        <v>2</v>
      </c>
      <c r="AV666" s="44">
        <v>3</v>
      </c>
      <c r="BB666" s="44">
        <v>4</v>
      </c>
      <c r="BH666" s="44">
        <v>5</v>
      </c>
      <c r="BN666" s="44">
        <v>6</v>
      </c>
      <c r="BT666" s="44">
        <v>7</v>
      </c>
      <c r="BZ666" s="44">
        <v>8</v>
      </c>
    </row>
    <row r="667" spans="1:83" x14ac:dyDescent="0.5">
      <c r="A667" s="259">
        <v>18025724</v>
      </c>
      <c r="B667" s="104" t="s">
        <v>429</v>
      </c>
      <c r="C667" s="105" t="s">
        <v>1409</v>
      </c>
      <c r="D667" s="106" t="s">
        <v>184</v>
      </c>
      <c r="E667" s="107" t="s">
        <v>185</v>
      </c>
      <c r="F667" s="108">
        <v>72</v>
      </c>
      <c r="G667" s="122">
        <v>43178</v>
      </c>
      <c r="H667" s="109">
        <v>18106</v>
      </c>
      <c r="I667" s="127" t="s">
        <v>869</v>
      </c>
      <c r="J667" s="122">
        <v>43178</v>
      </c>
      <c r="K667" s="547" t="s">
        <v>430</v>
      </c>
      <c r="L667" s="548" t="s">
        <v>431</v>
      </c>
      <c r="M667" s="104" t="s">
        <v>52</v>
      </c>
      <c r="N667" s="260">
        <v>384003.02</v>
      </c>
      <c r="O667" s="260">
        <v>26880.21</v>
      </c>
      <c r="P667" s="260">
        <f>SUM(N667:O667)</f>
        <v>410883.23000000004</v>
      </c>
      <c r="Q667" s="311"/>
      <c r="R667" s="113"/>
      <c r="S667" s="114"/>
      <c r="T667" s="115"/>
      <c r="U667" s="550"/>
      <c r="V667" s="551"/>
      <c r="W667" s="552"/>
      <c r="X667" s="552">
        <v>883.2</v>
      </c>
      <c r="Y667" s="553"/>
      <c r="Z667" s="120"/>
      <c r="AA667" s="229">
        <v>18030102</v>
      </c>
      <c r="AB667" s="230">
        <v>268802.11</v>
      </c>
      <c r="AC667" s="234">
        <f t="shared" si="111"/>
        <v>18816.147700000001</v>
      </c>
      <c r="AD667" s="234">
        <f t="shared" si="112"/>
        <v>287618.25769999996</v>
      </c>
      <c r="AE667" s="221">
        <v>43172</v>
      </c>
      <c r="AF667" s="121" t="s">
        <v>869</v>
      </c>
      <c r="AG667" s="121"/>
      <c r="AH667" s="121"/>
      <c r="AI667" s="222" t="s">
        <v>909</v>
      </c>
      <c r="AJ667" s="128">
        <v>1</v>
      </c>
      <c r="AK667" s="129" t="s">
        <v>848</v>
      </c>
      <c r="AL667" s="130"/>
      <c r="AM667" s="130" t="s">
        <v>1205</v>
      </c>
      <c r="AN667" s="131">
        <v>1</v>
      </c>
      <c r="AO667" s="132" t="s">
        <v>634</v>
      </c>
      <c r="AP667" s="128">
        <v>2</v>
      </c>
      <c r="AQ667" s="123" t="s">
        <v>815</v>
      </c>
      <c r="AR667" s="131"/>
      <c r="AS667" s="131" t="s">
        <v>1205</v>
      </c>
      <c r="AT667" s="131">
        <v>1</v>
      </c>
      <c r="AU667" s="169" t="s">
        <v>636</v>
      </c>
      <c r="AV667" s="361"/>
      <c r="AW667" s="361"/>
      <c r="AX667" s="128"/>
      <c r="AY667" s="128"/>
      <c r="AZ667" s="361"/>
      <c r="BA667" s="133"/>
      <c r="BB667" s="361"/>
      <c r="BC667" s="361"/>
      <c r="BD667" s="128"/>
      <c r="BE667" s="128"/>
      <c r="BF667" s="361"/>
      <c r="BG667" s="133"/>
      <c r="BH667" s="361"/>
      <c r="BI667" s="361"/>
      <c r="BJ667" s="128"/>
      <c r="BK667" s="128"/>
      <c r="BL667" s="361"/>
      <c r="BM667" s="361"/>
      <c r="BN667" s="361"/>
      <c r="BO667" s="361"/>
      <c r="BP667" s="128"/>
      <c r="BQ667" s="128"/>
      <c r="BR667" s="361"/>
      <c r="BS667" s="361"/>
      <c r="BT667" s="361"/>
      <c r="BU667" s="361"/>
      <c r="BV667" s="128"/>
      <c r="BW667" s="128"/>
      <c r="BX667" s="361"/>
      <c r="BY667" s="361"/>
      <c r="BZ667" s="361"/>
      <c r="CA667" s="361"/>
      <c r="CB667" s="128"/>
      <c r="CC667" s="128"/>
      <c r="CD667" s="361"/>
      <c r="CE667" s="361"/>
    </row>
    <row r="668" spans="1:83" x14ac:dyDescent="0.5">
      <c r="A668" s="268"/>
      <c r="B668" s="181"/>
      <c r="C668" s="182"/>
      <c r="D668" s="183"/>
      <c r="E668" s="184"/>
      <c r="F668" s="185"/>
      <c r="G668" s="181"/>
      <c r="H668" s="187"/>
      <c r="I668" s="199"/>
      <c r="J668" s="186"/>
      <c r="K668" s="240"/>
      <c r="L668" s="558"/>
      <c r="M668" s="181"/>
      <c r="N668" s="237"/>
      <c r="O668" s="237"/>
      <c r="P668" s="237"/>
      <c r="Q668" s="190"/>
      <c r="R668" s="215"/>
      <c r="S668" s="216"/>
      <c r="T668" s="217"/>
      <c r="U668" s="544"/>
      <c r="V668" s="560"/>
      <c r="W668" s="561"/>
      <c r="X668" s="561"/>
      <c r="Y668" s="562"/>
      <c r="Z668" s="198"/>
      <c r="AA668" s="292">
        <v>18020073</v>
      </c>
      <c r="AB668" s="293">
        <v>115200.91</v>
      </c>
      <c r="AC668" s="532">
        <f t="shared" si="111"/>
        <v>8064.0636999999997</v>
      </c>
      <c r="AD668" s="532">
        <f t="shared" si="112"/>
        <v>123264.9737</v>
      </c>
      <c r="AE668" s="295">
        <v>43158</v>
      </c>
      <c r="AF668" s="296" t="s">
        <v>869</v>
      </c>
      <c r="AG668" s="296"/>
      <c r="AH668" s="296"/>
      <c r="AI668" s="308" t="s">
        <v>924</v>
      </c>
      <c r="AJ668" s="204"/>
      <c r="AK668" s="205"/>
      <c r="AL668" s="206"/>
      <c r="AM668" s="206"/>
      <c r="AN668" s="207"/>
      <c r="AO668" s="208"/>
      <c r="AP668" s="204"/>
      <c r="AQ668" s="200"/>
      <c r="AR668" s="207"/>
      <c r="AS668" s="207"/>
      <c r="AT668" s="207"/>
      <c r="AU668" s="209"/>
      <c r="AV668" s="365"/>
      <c r="AW668" s="365"/>
      <c r="AX668" s="204"/>
      <c r="AY668" s="204"/>
      <c r="AZ668" s="365"/>
      <c r="BA668" s="210"/>
      <c r="BB668" s="365"/>
      <c r="BC668" s="365"/>
      <c r="BD668" s="204"/>
      <c r="BE668" s="204"/>
      <c r="BF668" s="365"/>
      <c r="BG668" s="210"/>
      <c r="BH668" s="365"/>
      <c r="BI668" s="365"/>
      <c r="BJ668" s="204"/>
      <c r="BK668" s="204"/>
      <c r="BL668" s="365"/>
      <c r="BM668" s="365"/>
      <c r="BN668" s="365"/>
      <c r="BO668" s="365"/>
      <c r="BP668" s="204"/>
      <c r="BQ668" s="204"/>
      <c r="BR668" s="365"/>
      <c r="BS668" s="365"/>
      <c r="BT668" s="365"/>
      <c r="BU668" s="365"/>
      <c r="BV668" s="204"/>
      <c r="BW668" s="204"/>
      <c r="BX668" s="365"/>
      <c r="BY668" s="365"/>
      <c r="BZ668" s="365"/>
      <c r="CA668" s="365"/>
      <c r="CB668" s="204"/>
      <c r="CC668" s="204"/>
      <c r="CD668" s="365"/>
      <c r="CE668" s="365"/>
    </row>
    <row r="669" spans="1:83" x14ac:dyDescent="0.5">
      <c r="A669" s="259">
        <v>18025723</v>
      </c>
      <c r="B669" s="104">
        <v>18020182</v>
      </c>
      <c r="C669" s="105" t="s">
        <v>1410</v>
      </c>
      <c r="D669" s="106" t="s">
        <v>184</v>
      </c>
      <c r="E669" s="107" t="s">
        <v>1324</v>
      </c>
      <c r="F669" s="108" t="s">
        <v>2314</v>
      </c>
      <c r="G669" s="122">
        <v>43665</v>
      </c>
      <c r="H669" s="109">
        <v>19203</v>
      </c>
      <c r="I669" s="127" t="s">
        <v>869</v>
      </c>
      <c r="J669" s="122">
        <v>43665</v>
      </c>
      <c r="K669" s="547" t="s">
        <v>430</v>
      </c>
      <c r="L669" s="548" t="s">
        <v>431</v>
      </c>
      <c r="M669" s="104" t="s">
        <v>52</v>
      </c>
      <c r="N669" s="260">
        <v>176744.65</v>
      </c>
      <c r="O669" s="260">
        <v>12372.13</v>
      </c>
      <c r="P669" s="260">
        <f>SUM(N669:O669)</f>
        <v>189116.78</v>
      </c>
      <c r="Q669" s="212"/>
      <c r="R669" s="165"/>
      <c r="S669" s="166"/>
      <c r="T669" s="167"/>
      <c r="U669" s="568"/>
      <c r="V669" s="551">
        <f>N669</f>
        <v>176744.65</v>
      </c>
      <c r="W669" s="552">
        <v>0.23</v>
      </c>
      <c r="X669" s="552">
        <f>V669*W669/100</f>
        <v>406.51269500000001</v>
      </c>
      <c r="Y669" s="553">
        <v>0.2</v>
      </c>
      <c r="Z669" s="120">
        <f>V669*Y669/100</f>
        <v>353.48930000000001</v>
      </c>
      <c r="AA669" s="229">
        <v>18020074</v>
      </c>
      <c r="AB669" s="230">
        <v>53023.4</v>
      </c>
      <c r="AC669" s="234">
        <f t="shared" si="111"/>
        <v>3711.6379999999999</v>
      </c>
      <c r="AD669" s="234">
        <f t="shared" si="112"/>
        <v>56735.038</v>
      </c>
      <c r="AE669" s="221">
        <v>43158</v>
      </c>
      <c r="AF669" s="121" t="s">
        <v>869</v>
      </c>
      <c r="AG669" s="121"/>
      <c r="AH669" s="121"/>
      <c r="AI669" s="222" t="s">
        <v>924</v>
      </c>
      <c r="AJ669" s="128">
        <v>1</v>
      </c>
      <c r="AK669" s="129" t="s">
        <v>713</v>
      </c>
      <c r="AL669" s="130" t="s">
        <v>1205</v>
      </c>
      <c r="AM669" s="130"/>
      <c r="AN669" s="131">
        <v>1</v>
      </c>
      <c r="AO669" s="132" t="s">
        <v>636</v>
      </c>
      <c r="AP669" s="361"/>
      <c r="AQ669" s="361"/>
      <c r="AR669" s="128"/>
      <c r="AS669" s="128"/>
      <c r="AT669" s="361"/>
      <c r="AU669" s="133"/>
      <c r="AV669" s="361"/>
      <c r="AW669" s="361"/>
      <c r="AX669" s="128"/>
      <c r="AY669" s="128"/>
      <c r="AZ669" s="361"/>
      <c r="BA669" s="133"/>
      <c r="BB669" s="361"/>
      <c r="BC669" s="361"/>
      <c r="BD669" s="128"/>
      <c r="BE669" s="128"/>
      <c r="BF669" s="361"/>
      <c r="BG669" s="133"/>
      <c r="BH669" s="361"/>
      <c r="BI669" s="361"/>
      <c r="BJ669" s="128"/>
      <c r="BK669" s="128"/>
      <c r="BL669" s="361"/>
      <c r="BM669" s="361"/>
      <c r="BN669" s="361"/>
      <c r="BO669" s="361"/>
      <c r="BP669" s="128"/>
      <c r="BQ669" s="128"/>
      <c r="BR669" s="361"/>
      <c r="BS669" s="361"/>
      <c r="BT669" s="361"/>
      <c r="BU669" s="361"/>
      <c r="BV669" s="128"/>
      <c r="BW669" s="128"/>
      <c r="BX669" s="361"/>
      <c r="BY669" s="361"/>
      <c r="BZ669" s="361"/>
      <c r="CA669" s="361"/>
      <c r="CB669" s="128"/>
      <c r="CC669" s="128"/>
      <c r="CD669" s="361"/>
      <c r="CE669" s="361"/>
    </row>
    <row r="670" spans="1:83" x14ac:dyDescent="0.5">
      <c r="A670" s="268"/>
      <c r="B670" s="181"/>
      <c r="C670" s="182"/>
      <c r="D670" s="183"/>
      <c r="E670" s="184"/>
      <c r="F670" s="185"/>
      <c r="G670" s="186"/>
      <c r="H670" s="187"/>
      <c r="I670" s="199"/>
      <c r="J670" s="186"/>
      <c r="K670" s="240"/>
      <c r="L670" s="558"/>
      <c r="M670" s="181"/>
      <c r="N670" s="237"/>
      <c r="O670" s="237"/>
      <c r="P670" s="237"/>
      <c r="Q670" s="214"/>
      <c r="R670" s="191"/>
      <c r="S670" s="192"/>
      <c r="T670" s="193"/>
      <c r="U670" s="571"/>
      <c r="V670" s="560"/>
      <c r="W670" s="561"/>
      <c r="X670" s="561"/>
      <c r="Y670" s="562"/>
      <c r="Z670" s="198"/>
      <c r="AA670" s="200">
        <v>19070261</v>
      </c>
      <c r="AB670" s="201">
        <v>123721.26</v>
      </c>
      <c r="AC670" s="238">
        <f t="shared" si="111"/>
        <v>8660.4881999999998</v>
      </c>
      <c r="AD670" s="238">
        <f t="shared" si="112"/>
        <v>132381.7482</v>
      </c>
      <c r="AE670" s="203">
        <v>43669</v>
      </c>
      <c r="AF670" s="199" t="s">
        <v>869</v>
      </c>
      <c r="AG670" s="199"/>
      <c r="AH670" s="199"/>
      <c r="AI670" s="180" t="s">
        <v>2746</v>
      </c>
      <c r="AJ670" s="204"/>
      <c r="AK670" s="205"/>
      <c r="AL670" s="206"/>
      <c r="AM670" s="206"/>
      <c r="AN670" s="207"/>
      <c r="AO670" s="208"/>
      <c r="AP670" s="365"/>
      <c r="AQ670" s="365"/>
      <c r="AR670" s="204"/>
      <c r="AS670" s="204"/>
      <c r="AT670" s="365"/>
      <c r="AU670" s="210"/>
      <c r="AV670" s="365"/>
      <c r="AW670" s="365"/>
      <c r="AX670" s="204"/>
      <c r="AY670" s="204"/>
      <c r="AZ670" s="365"/>
      <c r="BA670" s="210"/>
      <c r="BB670" s="365"/>
      <c r="BC670" s="365"/>
      <c r="BD670" s="204"/>
      <c r="BE670" s="204"/>
      <c r="BF670" s="365"/>
      <c r="BG670" s="210"/>
      <c r="BH670" s="365"/>
      <c r="BI670" s="365"/>
      <c r="BJ670" s="204"/>
      <c r="BK670" s="204"/>
      <c r="BL670" s="365"/>
      <c r="BM670" s="365"/>
      <c r="BN670" s="365"/>
      <c r="BO670" s="365"/>
      <c r="BP670" s="204"/>
      <c r="BQ670" s="204"/>
      <c r="BR670" s="365"/>
      <c r="BS670" s="365"/>
      <c r="BT670" s="365"/>
      <c r="BU670" s="365"/>
      <c r="BV670" s="204"/>
      <c r="BW670" s="204"/>
      <c r="BX670" s="365"/>
      <c r="BY670" s="365"/>
      <c r="BZ670" s="365"/>
      <c r="CA670" s="365"/>
      <c r="CB670" s="204"/>
      <c r="CC670" s="204"/>
      <c r="CD670" s="365"/>
      <c r="CE670" s="365"/>
    </row>
    <row r="671" spans="1:83" x14ac:dyDescent="0.5">
      <c r="A671" s="227">
        <v>18025722</v>
      </c>
      <c r="B671" s="22" t="s">
        <v>432</v>
      </c>
      <c r="C671" s="55"/>
      <c r="D671" s="56"/>
      <c r="E671" s="57"/>
      <c r="F671" s="58"/>
      <c r="G671" s="59"/>
      <c r="H671" s="60"/>
      <c r="I671" s="269"/>
      <c r="J671" s="59"/>
      <c r="K671" s="42" t="s">
        <v>433</v>
      </c>
      <c r="L671" s="520" t="s">
        <v>434</v>
      </c>
      <c r="M671" s="22" t="s">
        <v>51</v>
      </c>
      <c r="N671" s="63">
        <v>14000</v>
      </c>
      <c r="O671" s="63">
        <f>N671*7/100</f>
        <v>980</v>
      </c>
      <c r="P671" s="63">
        <f>N671+O671</f>
        <v>14980</v>
      </c>
      <c r="AA671" s="40">
        <v>18090357</v>
      </c>
      <c r="AB671" s="41">
        <v>14000</v>
      </c>
      <c r="AC671" s="64">
        <f t="shared" si="111"/>
        <v>980</v>
      </c>
      <c r="AD671" s="64">
        <f t="shared" si="112"/>
        <v>14980</v>
      </c>
      <c r="AE671" s="53">
        <v>43392</v>
      </c>
      <c r="AF671" s="345" t="s">
        <v>869</v>
      </c>
      <c r="AG671" s="345"/>
      <c r="AH671" s="345"/>
      <c r="AI671" s="346" t="s">
        <v>1169</v>
      </c>
      <c r="AJ671" s="44">
        <v>1</v>
      </c>
      <c r="AP671" s="44">
        <v>2</v>
      </c>
      <c r="AV671" s="44">
        <v>3</v>
      </c>
      <c r="BB671" s="44">
        <v>4</v>
      </c>
      <c r="BH671" s="44">
        <v>5</v>
      </c>
      <c r="BN671" s="44">
        <v>6</v>
      </c>
      <c r="BT671" s="44">
        <v>7</v>
      </c>
      <c r="BZ671" s="44">
        <v>8</v>
      </c>
    </row>
    <row r="672" spans="1:83" x14ac:dyDescent="0.5">
      <c r="A672" s="227">
        <v>18025721</v>
      </c>
      <c r="B672" s="22">
        <v>18020183</v>
      </c>
      <c r="C672" s="23" t="s">
        <v>1411</v>
      </c>
      <c r="D672" s="24" t="s">
        <v>184</v>
      </c>
      <c r="E672" s="25" t="s">
        <v>185</v>
      </c>
      <c r="F672" s="26" t="s">
        <v>1400</v>
      </c>
      <c r="G672" s="62">
        <v>43162</v>
      </c>
      <c r="H672" s="27">
        <v>18087</v>
      </c>
      <c r="I672" s="39" t="s">
        <v>869</v>
      </c>
      <c r="J672" s="62">
        <v>43163</v>
      </c>
      <c r="K672" s="42" t="s">
        <v>19</v>
      </c>
      <c r="L672" s="520" t="s">
        <v>436</v>
      </c>
      <c r="M672" s="22" t="s">
        <v>51</v>
      </c>
      <c r="N672" s="63">
        <v>54600</v>
      </c>
      <c r="O672" s="63">
        <v>3822</v>
      </c>
      <c r="P672" s="63">
        <f>SUM(N672:O672)</f>
        <v>58422</v>
      </c>
      <c r="AA672" s="40">
        <v>18030090</v>
      </c>
      <c r="AB672" s="41">
        <v>54600</v>
      </c>
      <c r="AC672" s="63">
        <f t="shared" si="111"/>
        <v>3822</v>
      </c>
      <c r="AD672" s="63">
        <f t="shared" si="112"/>
        <v>58422</v>
      </c>
      <c r="AE672" s="53">
        <v>43197</v>
      </c>
      <c r="AF672" s="39" t="s">
        <v>869</v>
      </c>
      <c r="AI672" s="21" t="s">
        <v>1013</v>
      </c>
      <c r="AJ672" s="44">
        <v>1</v>
      </c>
      <c r="AK672" s="45" t="s">
        <v>843</v>
      </c>
      <c r="AM672" s="46" t="s">
        <v>1205</v>
      </c>
      <c r="AN672" s="47">
        <v>1</v>
      </c>
      <c r="AO672" s="48" t="s">
        <v>633</v>
      </c>
      <c r="AP672" s="356"/>
      <c r="AQ672" s="356"/>
      <c r="AR672" s="44"/>
      <c r="AS672" s="44"/>
      <c r="AT672" s="356"/>
      <c r="AU672" s="54"/>
      <c r="AV672" s="356"/>
      <c r="AW672" s="356"/>
      <c r="AX672" s="44"/>
      <c r="AY672" s="44"/>
      <c r="AZ672" s="356"/>
      <c r="BA672" s="54"/>
      <c r="BB672" s="356"/>
      <c r="BC672" s="356"/>
      <c r="BD672" s="44"/>
      <c r="BE672" s="44"/>
      <c r="BF672" s="356"/>
      <c r="BG672" s="54"/>
      <c r="BH672" s="356"/>
      <c r="BI672" s="356"/>
      <c r="BJ672" s="44"/>
      <c r="BK672" s="44"/>
      <c r="BL672" s="356"/>
      <c r="BM672" s="356"/>
      <c r="BN672" s="356"/>
      <c r="BO672" s="356"/>
      <c r="BP672" s="44"/>
      <c r="BQ672" s="44"/>
      <c r="BR672" s="356"/>
      <c r="BS672" s="356"/>
      <c r="BT672" s="356"/>
      <c r="BU672" s="356"/>
      <c r="BV672" s="44"/>
      <c r="BW672" s="44"/>
      <c r="BX672" s="356"/>
      <c r="BY672" s="356"/>
      <c r="BZ672" s="356"/>
      <c r="CA672" s="356"/>
      <c r="CB672" s="44"/>
      <c r="CC672" s="44"/>
      <c r="CD672" s="356"/>
      <c r="CE672" s="356"/>
    </row>
    <row r="673" spans="1:83" x14ac:dyDescent="0.5">
      <c r="A673" s="227">
        <v>18025720</v>
      </c>
      <c r="B673" s="22">
        <v>18020186</v>
      </c>
      <c r="C673" s="23" t="s">
        <v>1412</v>
      </c>
      <c r="D673" s="24" t="s">
        <v>184</v>
      </c>
      <c r="E673" s="25" t="s">
        <v>185</v>
      </c>
      <c r="F673" s="26" t="s">
        <v>1394</v>
      </c>
      <c r="G673" s="62">
        <v>43167</v>
      </c>
      <c r="H673" s="27">
        <v>18093</v>
      </c>
      <c r="I673" s="39" t="s">
        <v>869</v>
      </c>
      <c r="J673" s="62">
        <v>43167</v>
      </c>
      <c r="K673" s="42" t="s">
        <v>435</v>
      </c>
      <c r="L673" s="520" t="s">
        <v>444</v>
      </c>
      <c r="M673" s="22" t="s">
        <v>51</v>
      </c>
      <c r="N673" s="63">
        <v>145000</v>
      </c>
      <c r="O673" s="63">
        <v>10150</v>
      </c>
      <c r="P673" s="63">
        <f>SUM(N673:O673)</f>
        <v>155150</v>
      </c>
      <c r="AA673" s="40">
        <v>18030119</v>
      </c>
      <c r="AB673" s="41">
        <v>145000</v>
      </c>
      <c r="AC673" s="64">
        <f>AB673*7/100</f>
        <v>10150</v>
      </c>
      <c r="AD673" s="64">
        <f>AB673+AC673</f>
        <v>155150</v>
      </c>
      <c r="AE673" s="53">
        <v>43245</v>
      </c>
      <c r="AF673" s="39" t="s">
        <v>869</v>
      </c>
      <c r="AI673" s="21" t="s">
        <v>962</v>
      </c>
      <c r="AJ673" s="44">
        <v>1</v>
      </c>
      <c r="AK673" s="45" t="s">
        <v>835</v>
      </c>
      <c r="AM673" s="46" t="s">
        <v>1205</v>
      </c>
      <c r="AN673" s="47">
        <v>1</v>
      </c>
      <c r="AO673" s="48" t="s">
        <v>634</v>
      </c>
      <c r="AP673" s="356"/>
      <c r="AQ673" s="356"/>
      <c r="AR673" s="44"/>
      <c r="AS673" s="44"/>
      <c r="AT673" s="356"/>
      <c r="AU673" s="54"/>
      <c r="AV673" s="356"/>
      <c r="AW673" s="356"/>
      <c r="AX673" s="44"/>
      <c r="AY673" s="44"/>
      <c r="AZ673" s="356"/>
      <c r="BA673" s="54"/>
      <c r="BB673" s="356"/>
      <c r="BC673" s="356"/>
      <c r="BD673" s="44"/>
      <c r="BE673" s="44"/>
      <c r="BF673" s="356"/>
      <c r="BG673" s="54"/>
      <c r="BH673" s="356"/>
      <c r="BI673" s="356"/>
      <c r="BJ673" s="44"/>
      <c r="BK673" s="44"/>
      <c r="BL673" s="356"/>
      <c r="BM673" s="356"/>
      <c r="BN673" s="356"/>
      <c r="BO673" s="356"/>
      <c r="BP673" s="44"/>
      <c r="BQ673" s="44"/>
      <c r="BR673" s="356"/>
      <c r="BS673" s="356"/>
      <c r="BT673" s="356"/>
      <c r="BU673" s="356"/>
      <c r="BV673" s="44"/>
      <c r="BW673" s="44"/>
      <c r="BX673" s="356"/>
      <c r="BY673" s="356"/>
      <c r="BZ673" s="356"/>
      <c r="CA673" s="356"/>
      <c r="CB673" s="44"/>
      <c r="CC673" s="44"/>
      <c r="CD673" s="356"/>
      <c r="CE673" s="356"/>
    </row>
    <row r="674" spans="1:83" x14ac:dyDescent="0.5">
      <c r="A674" s="369">
        <v>18025719</v>
      </c>
      <c r="B674" s="370">
        <v>18020169</v>
      </c>
      <c r="C674" s="371" t="s">
        <v>1413</v>
      </c>
      <c r="D674" s="372" t="s">
        <v>184</v>
      </c>
      <c r="E674" s="107" t="s">
        <v>185</v>
      </c>
      <c r="F674" s="623">
        <v>110</v>
      </c>
      <c r="G674" s="122">
        <v>43603</v>
      </c>
      <c r="H674" s="109">
        <v>18164</v>
      </c>
      <c r="I674" s="368" t="s">
        <v>869</v>
      </c>
      <c r="J674" s="122">
        <v>43239</v>
      </c>
      <c r="K674" s="375" t="s">
        <v>435</v>
      </c>
      <c r="L674" s="375" t="s">
        <v>288</v>
      </c>
      <c r="M674" s="375" t="s">
        <v>51</v>
      </c>
      <c r="N674" s="376">
        <v>987900</v>
      </c>
      <c r="O674" s="376">
        <v>69153</v>
      </c>
      <c r="P674" s="376">
        <f>SUM(N674:O674)</f>
        <v>1057053</v>
      </c>
      <c r="Q674" s="470"/>
      <c r="R674" s="471"/>
      <c r="S674" s="472"/>
      <c r="T674" s="380"/>
      <c r="U674" s="473"/>
      <c r="V674" s="474"/>
      <c r="W674" s="475"/>
      <c r="X674" s="383"/>
      <c r="Y674" s="384"/>
      <c r="Z674" s="385"/>
      <c r="AA674" s="123">
        <v>18060199</v>
      </c>
      <c r="AB674" s="478">
        <v>697900</v>
      </c>
      <c r="AC674" s="478">
        <f>AB674*7/100</f>
        <v>48853</v>
      </c>
      <c r="AD674" s="478">
        <f>AB674+AC674</f>
        <v>746753</v>
      </c>
      <c r="AE674" s="126">
        <v>43324</v>
      </c>
      <c r="AF674" s="368" t="s">
        <v>869</v>
      </c>
      <c r="AG674" s="368"/>
      <c r="AH674" s="368"/>
      <c r="AI674" s="429" t="s">
        <v>1052</v>
      </c>
      <c r="AJ674" s="390">
        <v>1</v>
      </c>
      <c r="AK674" s="123" t="s">
        <v>795</v>
      </c>
      <c r="AL674" s="131"/>
      <c r="AM674" s="130" t="s">
        <v>1205</v>
      </c>
      <c r="AN674" s="131">
        <v>1</v>
      </c>
      <c r="AO674" s="132" t="s">
        <v>634</v>
      </c>
      <c r="AP674" s="128">
        <v>2</v>
      </c>
      <c r="AQ674" s="123" t="s">
        <v>723</v>
      </c>
      <c r="AR674" s="131"/>
      <c r="AS674" s="131" t="s">
        <v>1205</v>
      </c>
      <c r="AT674" s="131">
        <v>1</v>
      </c>
      <c r="AU674" s="169" t="s">
        <v>634</v>
      </c>
      <c r="AV674" s="128">
        <v>3</v>
      </c>
      <c r="AW674" s="123" t="s">
        <v>796</v>
      </c>
      <c r="AX674" s="131"/>
      <c r="AY674" s="131" t="s">
        <v>1205</v>
      </c>
      <c r="AZ674" s="131">
        <v>1</v>
      </c>
      <c r="BA674" s="169" t="s">
        <v>634</v>
      </c>
      <c r="BB674" s="128">
        <v>4</v>
      </c>
      <c r="BC674" s="123" t="s">
        <v>797</v>
      </c>
      <c r="BD674" s="131"/>
      <c r="BE674" s="131" t="s">
        <v>59</v>
      </c>
      <c r="BF674" s="131">
        <v>1</v>
      </c>
      <c r="BG674" s="169" t="s">
        <v>634</v>
      </c>
      <c r="BH674" s="361"/>
      <c r="BI674" s="361"/>
      <c r="BJ674" s="128"/>
      <c r="BK674" s="128"/>
      <c r="BL674" s="361"/>
      <c r="BM674" s="361"/>
      <c r="BN674" s="361"/>
      <c r="BO674" s="361"/>
      <c r="BP674" s="128"/>
      <c r="BQ674" s="128"/>
      <c r="BR674" s="361"/>
      <c r="BS674" s="361"/>
      <c r="BT674" s="361"/>
      <c r="BU674" s="361"/>
      <c r="BV674" s="128"/>
      <c r="BW674" s="128"/>
      <c r="BX674" s="361"/>
      <c r="BY674" s="361"/>
      <c r="BZ674" s="650"/>
      <c r="CA674" s="128"/>
      <c r="CB674" s="128"/>
      <c r="CC674" s="128"/>
      <c r="CD674" s="128"/>
      <c r="CE674" s="128"/>
    </row>
    <row r="675" spans="1:83" x14ac:dyDescent="0.5">
      <c r="A675" s="481"/>
      <c r="B675" s="256"/>
      <c r="C675" s="482"/>
      <c r="D675" s="483"/>
      <c r="E675" s="254" t="s">
        <v>185</v>
      </c>
      <c r="F675" s="250">
        <v>116</v>
      </c>
      <c r="G675" s="179">
        <v>43248</v>
      </c>
      <c r="H675" s="140">
        <v>18173</v>
      </c>
      <c r="I675" s="446"/>
      <c r="J675" s="176">
        <v>43249</v>
      </c>
      <c r="K675" s="433"/>
      <c r="L675" s="433"/>
      <c r="M675" s="433"/>
      <c r="N675" s="436"/>
      <c r="O675" s="436"/>
      <c r="P675" s="436"/>
      <c r="Q675" s="486"/>
      <c r="R675" s="487"/>
      <c r="S675" s="488"/>
      <c r="T675" s="440"/>
      <c r="U675" s="489"/>
      <c r="V675" s="490"/>
      <c r="W675" s="491"/>
      <c r="X675" s="443"/>
      <c r="Y675" s="444"/>
      <c r="Z675" s="445"/>
      <c r="AA675" s="154">
        <v>18050176</v>
      </c>
      <c r="AB675" s="494">
        <v>290000</v>
      </c>
      <c r="AC675" s="494">
        <f>AB675*7/100</f>
        <v>20300</v>
      </c>
      <c r="AD675" s="494">
        <f>AB675+AC675</f>
        <v>310300</v>
      </c>
      <c r="AE675" s="157">
        <v>43304</v>
      </c>
      <c r="AF675" s="446" t="s">
        <v>869</v>
      </c>
      <c r="AG675" s="446"/>
      <c r="AH675" s="446"/>
      <c r="AI675" s="577" t="s">
        <v>1074</v>
      </c>
      <c r="AJ675" s="453"/>
      <c r="AK675" s="159"/>
      <c r="AL675" s="161"/>
      <c r="AM675" s="161"/>
      <c r="AN675" s="161"/>
      <c r="AO675" s="162"/>
      <c r="AP675" s="158"/>
      <c r="AQ675" s="154"/>
      <c r="AR675" s="161"/>
      <c r="AS675" s="161"/>
      <c r="AT675" s="161"/>
      <c r="AU675" s="177"/>
      <c r="AV675" s="158"/>
      <c r="AW675" s="154"/>
      <c r="AX675" s="161"/>
      <c r="AY675" s="161"/>
      <c r="AZ675" s="161"/>
      <c r="BA675" s="177"/>
      <c r="BB675" s="158"/>
      <c r="BC675" s="154"/>
      <c r="BD675" s="161"/>
      <c r="BE675" s="161"/>
      <c r="BF675" s="161"/>
      <c r="BG675" s="177"/>
      <c r="BH675" s="458"/>
      <c r="BI675" s="458"/>
      <c r="BJ675" s="158"/>
      <c r="BK675" s="158"/>
      <c r="BL675" s="458"/>
      <c r="BM675" s="458"/>
      <c r="BN675" s="458"/>
      <c r="BO675" s="458"/>
      <c r="BP675" s="158"/>
      <c r="BQ675" s="158"/>
      <c r="BR675" s="458"/>
      <c r="BS675" s="458"/>
      <c r="BT675" s="458"/>
      <c r="BU675" s="458"/>
      <c r="BV675" s="158"/>
      <c r="BW675" s="158"/>
      <c r="BX675" s="458"/>
      <c r="BY675" s="158"/>
      <c r="BZ675" s="158"/>
      <c r="CA675" s="158"/>
      <c r="CB675" s="158"/>
      <c r="CC675" s="158"/>
      <c r="CD675" s="158"/>
      <c r="CE675" s="158"/>
    </row>
    <row r="676" spans="1:83" x14ac:dyDescent="0.5">
      <c r="A676" s="481"/>
      <c r="B676" s="256"/>
      <c r="C676" s="482"/>
      <c r="D676" s="483"/>
      <c r="E676" s="254" t="s">
        <v>185</v>
      </c>
      <c r="F676" s="250">
        <v>119</v>
      </c>
      <c r="G676" s="179">
        <v>43249</v>
      </c>
      <c r="H676" s="140">
        <v>18174</v>
      </c>
      <c r="I676" s="446"/>
      <c r="J676" s="176">
        <v>43250</v>
      </c>
      <c r="K676" s="433"/>
      <c r="L676" s="433"/>
      <c r="M676" s="433"/>
      <c r="N676" s="436"/>
      <c r="O676" s="436"/>
      <c r="P676" s="436"/>
      <c r="Q676" s="486"/>
      <c r="R676" s="487"/>
      <c r="S676" s="488"/>
      <c r="T676" s="440"/>
      <c r="U676" s="489"/>
      <c r="V676" s="490"/>
      <c r="W676" s="491"/>
      <c r="X676" s="443"/>
      <c r="Y676" s="444"/>
      <c r="Z676" s="445"/>
      <c r="AA676" s="154"/>
      <c r="AB676" s="494"/>
      <c r="AC676" s="585"/>
      <c r="AD676" s="585"/>
      <c r="AE676" s="256"/>
      <c r="AF676" s="446"/>
      <c r="AG676" s="446"/>
      <c r="AH676" s="446"/>
      <c r="AI676" s="577"/>
      <c r="AJ676" s="453"/>
      <c r="AK676" s="154"/>
      <c r="AL676" s="161"/>
      <c r="AM676" s="160"/>
      <c r="AN676" s="161"/>
      <c r="AO676" s="162"/>
      <c r="AP676" s="158"/>
      <c r="AQ676" s="154"/>
      <c r="AR676" s="161"/>
      <c r="AS676" s="161"/>
      <c r="AT676" s="161"/>
      <c r="AU676" s="177"/>
      <c r="AV676" s="158"/>
      <c r="AW676" s="154"/>
      <c r="AX676" s="161"/>
      <c r="AY676" s="161"/>
      <c r="AZ676" s="161"/>
      <c r="BA676" s="177"/>
      <c r="BB676" s="158"/>
      <c r="BC676" s="154"/>
      <c r="BD676" s="161"/>
      <c r="BE676" s="161"/>
      <c r="BF676" s="161"/>
      <c r="BG676" s="177"/>
      <c r="BH676" s="458"/>
      <c r="BI676" s="458"/>
      <c r="BJ676" s="158"/>
      <c r="BK676" s="158"/>
      <c r="BL676" s="458"/>
      <c r="BM676" s="458"/>
      <c r="BN676" s="458"/>
      <c r="BO676" s="458"/>
      <c r="BP676" s="158"/>
      <c r="BQ676" s="158"/>
      <c r="BR676" s="458"/>
      <c r="BS676" s="458"/>
      <c r="BT676" s="458"/>
      <c r="BU676" s="458"/>
      <c r="BV676" s="158"/>
      <c r="BW676" s="158"/>
      <c r="BX676" s="458"/>
      <c r="BY676" s="158"/>
      <c r="BZ676" s="158"/>
      <c r="CA676" s="158"/>
      <c r="CB676" s="158"/>
      <c r="CC676" s="158"/>
      <c r="CD676" s="158"/>
      <c r="CE676" s="158"/>
    </row>
    <row r="677" spans="1:83" x14ac:dyDescent="0.5">
      <c r="A677" s="396"/>
      <c r="B677" s="241"/>
      <c r="C677" s="397"/>
      <c r="D677" s="398"/>
      <c r="E677" s="651" t="s">
        <v>185</v>
      </c>
      <c r="F677" s="185">
        <v>131</v>
      </c>
      <c r="G677" s="186">
        <v>43259</v>
      </c>
      <c r="H677" s="187">
        <v>18190</v>
      </c>
      <c r="I677" s="412"/>
      <c r="J677" s="153">
        <v>43260</v>
      </c>
      <c r="K677" s="401"/>
      <c r="L677" s="401"/>
      <c r="M677" s="401"/>
      <c r="N677" s="402"/>
      <c r="O677" s="402"/>
      <c r="P677" s="402"/>
      <c r="Q677" s="586"/>
      <c r="R677" s="502"/>
      <c r="S677" s="503"/>
      <c r="T677" s="406"/>
      <c r="U677" s="504"/>
      <c r="V677" s="505"/>
      <c r="W677" s="506"/>
      <c r="X677" s="409"/>
      <c r="Y677" s="410"/>
      <c r="Z677" s="411"/>
      <c r="AA677" s="200"/>
      <c r="AB677" s="509"/>
      <c r="AC677" s="510"/>
      <c r="AD677" s="510"/>
      <c r="AE677" s="241"/>
      <c r="AF677" s="412"/>
      <c r="AG677" s="412"/>
      <c r="AH677" s="412"/>
      <c r="AI677" s="580"/>
      <c r="AJ677" s="420"/>
      <c r="AK677" s="205"/>
      <c r="AL677" s="206"/>
      <c r="AM677" s="206"/>
      <c r="AN677" s="207"/>
      <c r="AO677" s="208"/>
      <c r="AP677" s="204"/>
      <c r="AQ677" s="200"/>
      <c r="AR677" s="207"/>
      <c r="AS677" s="207"/>
      <c r="AT677" s="207"/>
      <c r="AU677" s="209"/>
      <c r="AV677" s="204"/>
      <c r="AW677" s="200"/>
      <c r="AX677" s="207"/>
      <c r="AY677" s="207"/>
      <c r="AZ677" s="207"/>
      <c r="BA677" s="209"/>
      <c r="BB677" s="204"/>
      <c r="BC677" s="200"/>
      <c r="BD677" s="207"/>
      <c r="BE677" s="207"/>
      <c r="BF677" s="207"/>
      <c r="BG677" s="209"/>
      <c r="BH677" s="365"/>
      <c r="BI677" s="365"/>
      <c r="BJ677" s="204"/>
      <c r="BK677" s="204"/>
      <c r="BL677" s="365"/>
      <c r="BM677" s="365"/>
      <c r="BN677" s="365"/>
      <c r="BO677" s="365"/>
      <c r="BP677" s="204"/>
      <c r="BQ677" s="204"/>
      <c r="BR677" s="365"/>
      <c r="BS677" s="365"/>
      <c r="BT677" s="365"/>
      <c r="BU677" s="365"/>
      <c r="BV677" s="204"/>
      <c r="BW677" s="204"/>
      <c r="BX677" s="365"/>
      <c r="BY677" s="204"/>
      <c r="BZ677" s="204"/>
      <c r="CA677" s="204"/>
      <c r="CB677" s="204"/>
      <c r="CC677" s="204"/>
      <c r="CD677" s="204"/>
      <c r="CE677" s="204"/>
    </row>
    <row r="678" spans="1:83" x14ac:dyDescent="0.5">
      <c r="A678" s="227">
        <v>18025718</v>
      </c>
      <c r="B678" s="22">
        <v>18020170</v>
      </c>
      <c r="C678" s="23" t="s">
        <v>1414</v>
      </c>
      <c r="D678" s="24" t="s">
        <v>184</v>
      </c>
      <c r="E678" s="25" t="s">
        <v>185</v>
      </c>
      <c r="F678" s="26" t="s">
        <v>1402</v>
      </c>
      <c r="G678" s="62">
        <v>43161</v>
      </c>
      <c r="H678" s="27">
        <v>18085</v>
      </c>
      <c r="I678" s="39" t="s">
        <v>869</v>
      </c>
      <c r="J678" s="62">
        <v>43134</v>
      </c>
      <c r="K678" s="42" t="s">
        <v>10</v>
      </c>
      <c r="L678" s="520" t="s">
        <v>526</v>
      </c>
      <c r="M678" s="22" t="s">
        <v>51</v>
      </c>
      <c r="N678" s="63">
        <v>93500</v>
      </c>
      <c r="O678" s="63">
        <v>6545</v>
      </c>
      <c r="P678" s="63">
        <f>SUM(N678:O678)</f>
        <v>100045</v>
      </c>
      <c r="AA678" s="40">
        <v>18030091</v>
      </c>
      <c r="AB678" s="41">
        <v>93500</v>
      </c>
      <c r="AC678" s="64">
        <f>AB678*7/100</f>
        <v>6545</v>
      </c>
      <c r="AD678" s="64">
        <f>AB678+AC678</f>
        <v>100045</v>
      </c>
      <c r="AE678" s="53">
        <v>43197</v>
      </c>
      <c r="AF678" s="39" t="s">
        <v>869</v>
      </c>
      <c r="AI678" s="21" t="s">
        <v>1020</v>
      </c>
      <c r="AJ678" s="44">
        <v>1</v>
      </c>
      <c r="AK678" s="45" t="s">
        <v>891</v>
      </c>
      <c r="AM678" s="46" t="s">
        <v>1205</v>
      </c>
      <c r="AN678" s="47">
        <v>1</v>
      </c>
      <c r="AO678" s="48" t="s">
        <v>633</v>
      </c>
      <c r="AP678" s="44">
        <v>2</v>
      </c>
      <c r="AQ678" s="40" t="s">
        <v>892</v>
      </c>
      <c r="AS678" s="131"/>
      <c r="AT678" s="47">
        <v>1</v>
      </c>
      <c r="AU678" s="59"/>
      <c r="AW678" s="54"/>
      <c r="AX678" s="44"/>
      <c r="AY678" s="44"/>
      <c r="AZ678" s="44"/>
      <c r="BA678" s="54"/>
      <c r="BC678" s="54"/>
      <c r="BD678" s="44"/>
      <c r="BE678" s="44"/>
      <c r="BF678" s="44"/>
      <c r="BG678" s="54"/>
      <c r="BI678" s="54"/>
      <c r="BJ678" s="44"/>
      <c r="BK678" s="44"/>
      <c r="BL678" s="44"/>
      <c r="BM678" s="44"/>
      <c r="BO678" s="54"/>
      <c r="BP678" s="44"/>
      <c r="BQ678" s="44"/>
      <c r="BR678" s="44"/>
      <c r="BS678" s="44"/>
      <c r="BU678" s="54"/>
      <c r="BV678" s="44"/>
      <c r="BW678" s="44"/>
      <c r="BX678" s="44"/>
      <c r="BY678" s="44"/>
      <c r="CA678" s="54"/>
      <c r="CB678" s="44"/>
      <c r="CC678" s="44"/>
      <c r="CD678" s="44"/>
      <c r="CE678" s="44"/>
    </row>
    <row r="679" spans="1:83" x14ac:dyDescent="0.5">
      <c r="A679" s="227">
        <v>18025717</v>
      </c>
      <c r="B679" s="22">
        <v>18020167</v>
      </c>
      <c r="C679" s="55"/>
      <c r="D679" s="56"/>
      <c r="E679" s="57"/>
      <c r="F679" s="58"/>
      <c r="G679" s="59"/>
      <c r="H679" s="60"/>
      <c r="I679" s="269"/>
      <c r="J679" s="59"/>
      <c r="K679" s="42" t="s">
        <v>461</v>
      </c>
      <c r="M679" s="22" t="s">
        <v>51</v>
      </c>
      <c r="N679" s="63">
        <v>21500</v>
      </c>
      <c r="O679" s="63">
        <f>N679*7/100</f>
        <v>1505</v>
      </c>
      <c r="P679" s="63">
        <f>N679+O679</f>
        <v>23005</v>
      </c>
      <c r="AA679" s="40">
        <v>18040153</v>
      </c>
      <c r="AB679" s="41">
        <v>21500</v>
      </c>
      <c r="AC679" s="64">
        <f>AB679*7/100</f>
        <v>1505</v>
      </c>
      <c r="AD679" s="64">
        <f>AB679+AC679</f>
        <v>23005</v>
      </c>
      <c r="AE679" s="53">
        <v>43240</v>
      </c>
      <c r="AF679" s="39" t="s">
        <v>869</v>
      </c>
      <c r="AI679" s="21" t="s">
        <v>964</v>
      </c>
      <c r="AJ679" s="44">
        <v>1</v>
      </c>
      <c r="AK679" s="45" t="s">
        <v>965</v>
      </c>
      <c r="AN679" s="47">
        <v>1</v>
      </c>
      <c r="AO679" s="102"/>
      <c r="AP679" s="44">
        <v>2</v>
      </c>
      <c r="AQ679" s="40" t="s">
        <v>966</v>
      </c>
      <c r="AT679" s="47">
        <v>1</v>
      </c>
      <c r="AU679" s="59"/>
      <c r="AW679" s="54"/>
      <c r="AX679" s="44"/>
      <c r="AY679" s="44"/>
      <c r="AZ679" s="44"/>
      <c r="BA679" s="54"/>
      <c r="BC679" s="54"/>
      <c r="BD679" s="44"/>
      <c r="BE679" s="44"/>
      <c r="BF679" s="44"/>
      <c r="BG679" s="54"/>
      <c r="BI679" s="54"/>
      <c r="BJ679" s="44"/>
      <c r="BK679" s="44"/>
      <c r="BL679" s="44"/>
      <c r="BM679" s="44"/>
      <c r="BO679" s="54"/>
      <c r="BP679" s="44"/>
      <c r="BQ679" s="44"/>
      <c r="BR679" s="44"/>
      <c r="BS679" s="44"/>
      <c r="BU679" s="54"/>
      <c r="BV679" s="44"/>
      <c r="BW679" s="44"/>
      <c r="BX679" s="44"/>
      <c r="BY679" s="44"/>
      <c r="CA679" s="54"/>
      <c r="CB679" s="44"/>
      <c r="CC679" s="44"/>
      <c r="CD679" s="44"/>
      <c r="CE679" s="44"/>
    </row>
    <row r="680" spans="1:83" s="95" customFormat="1" x14ac:dyDescent="0.5">
      <c r="A680" s="65">
        <v>18025716</v>
      </c>
      <c r="B680" s="66">
        <v>18020168</v>
      </c>
      <c r="C680" s="312"/>
      <c r="D680" s="56"/>
      <c r="E680" s="314"/>
      <c r="F680" s="315"/>
      <c r="G680" s="316"/>
      <c r="H680" s="317"/>
      <c r="I680" s="835"/>
      <c r="J680" s="316"/>
      <c r="K680" s="86" t="s">
        <v>462</v>
      </c>
      <c r="L680" s="589"/>
      <c r="M680" s="66" t="s">
        <v>51</v>
      </c>
      <c r="N680" s="590"/>
      <c r="O680" s="590"/>
      <c r="P680" s="590"/>
      <c r="Q680" s="74"/>
      <c r="R680" s="75"/>
      <c r="S680" s="76"/>
      <c r="T680" s="77"/>
      <c r="U680" s="591"/>
      <c r="V680" s="592"/>
      <c r="W680" s="593"/>
      <c r="X680" s="593"/>
      <c r="Y680" s="594"/>
      <c r="Z680" s="82"/>
      <c r="AA680" s="84"/>
      <c r="AB680" s="85"/>
      <c r="AC680" s="86"/>
      <c r="AD680" s="86"/>
      <c r="AE680" s="87"/>
      <c r="AF680" s="83"/>
      <c r="AG680" s="83"/>
      <c r="AH680" s="83"/>
      <c r="AI680" s="65"/>
      <c r="AJ680" s="44">
        <v>1</v>
      </c>
      <c r="AK680" s="45"/>
      <c r="AL680" s="46"/>
      <c r="AM680" s="46"/>
      <c r="AN680" s="47"/>
      <c r="AO680" s="48"/>
      <c r="AP680" s="44">
        <v>2</v>
      </c>
      <c r="AQ680" s="40"/>
      <c r="AR680" s="47"/>
      <c r="AS680" s="47"/>
      <c r="AT680" s="47"/>
      <c r="AU680" s="49"/>
      <c r="AV680" s="44">
        <v>3</v>
      </c>
      <c r="AW680" s="40"/>
      <c r="AX680" s="47"/>
      <c r="AY680" s="47"/>
      <c r="AZ680" s="47"/>
      <c r="BA680" s="49"/>
      <c r="BB680" s="44">
        <v>4</v>
      </c>
      <c r="BC680" s="40"/>
      <c r="BD680" s="47"/>
      <c r="BE680" s="47"/>
      <c r="BF680" s="47"/>
      <c r="BG680" s="49"/>
      <c r="BH680" s="44">
        <v>5</v>
      </c>
      <c r="BI680" s="40"/>
      <c r="BJ680" s="47"/>
      <c r="BK680" s="47"/>
      <c r="BL680" s="47"/>
      <c r="BM680" s="50"/>
      <c r="BN680" s="44">
        <v>6</v>
      </c>
      <c r="BO680" s="40"/>
      <c r="BP680" s="47"/>
      <c r="BQ680" s="47"/>
      <c r="BR680" s="47"/>
      <c r="BS680" s="50"/>
      <c r="BT680" s="44">
        <v>7</v>
      </c>
      <c r="BU680" s="40"/>
      <c r="BV680" s="47"/>
      <c r="BW680" s="47"/>
      <c r="BX680" s="47"/>
      <c r="BY680" s="50"/>
      <c r="BZ680" s="44">
        <v>8</v>
      </c>
      <c r="CA680" s="40"/>
      <c r="CB680" s="47"/>
      <c r="CC680" s="47"/>
      <c r="CD680" s="47"/>
      <c r="CE680" s="50"/>
    </row>
    <row r="681" spans="1:83" x14ac:dyDescent="0.5">
      <c r="A681" s="227">
        <v>18025715</v>
      </c>
      <c r="B681" s="22">
        <v>18020171</v>
      </c>
      <c r="C681" s="55"/>
      <c r="D681" s="56"/>
      <c r="E681" s="57"/>
      <c r="F681" s="58"/>
      <c r="G681" s="59"/>
      <c r="H681" s="60"/>
      <c r="I681" s="269" t="s">
        <v>869</v>
      </c>
      <c r="J681" s="59"/>
      <c r="K681" s="42" t="s">
        <v>19</v>
      </c>
      <c r="L681" s="520" t="s">
        <v>463</v>
      </c>
      <c r="M681" s="22" t="s">
        <v>51</v>
      </c>
      <c r="N681" s="63">
        <v>5000</v>
      </c>
      <c r="O681" s="63">
        <f>N681*7/100</f>
        <v>350</v>
      </c>
      <c r="P681" s="63">
        <f>N681+O681</f>
        <v>5350</v>
      </c>
      <c r="AA681" s="40">
        <v>18020078</v>
      </c>
      <c r="AB681" s="41">
        <v>5000</v>
      </c>
      <c r="AC681" s="64">
        <f t="shared" ref="AC681:AC691" si="113">AB681*7/100</f>
        <v>350</v>
      </c>
      <c r="AD681" s="64">
        <f t="shared" ref="AD681:AD691" si="114">AB681+AC681</f>
        <v>5350</v>
      </c>
      <c r="AE681" s="53">
        <v>43169</v>
      </c>
      <c r="AF681" s="39" t="s">
        <v>869</v>
      </c>
      <c r="AI681" s="21" t="s">
        <v>1003</v>
      </c>
      <c r="AJ681" s="44">
        <v>1</v>
      </c>
      <c r="AP681" s="44">
        <v>2</v>
      </c>
      <c r="AV681" s="44">
        <v>3</v>
      </c>
      <c r="BB681" s="44">
        <v>4</v>
      </c>
      <c r="BH681" s="44">
        <v>5</v>
      </c>
      <c r="BN681" s="44">
        <v>6</v>
      </c>
      <c r="BT681" s="44">
        <v>7</v>
      </c>
      <c r="BZ681" s="44">
        <v>8</v>
      </c>
    </row>
    <row r="682" spans="1:83" x14ac:dyDescent="0.5">
      <c r="A682" s="227">
        <v>18025714</v>
      </c>
      <c r="B682" s="22">
        <v>18020166</v>
      </c>
      <c r="C682" s="23" t="s">
        <v>1415</v>
      </c>
      <c r="D682" s="24" t="s">
        <v>184</v>
      </c>
      <c r="E682" s="25" t="s">
        <v>185</v>
      </c>
      <c r="F682" s="26" t="s">
        <v>1401</v>
      </c>
      <c r="G682" s="62">
        <v>43164</v>
      </c>
      <c r="H682" s="27">
        <v>18087</v>
      </c>
      <c r="I682" s="39" t="s">
        <v>869</v>
      </c>
      <c r="J682" s="62">
        <v>43136</v>
      </c>
      <c r="K682" s="42" t="s">
        <v>119</v>
      </c>
      <c r="L682" s="520" t="s">
        <v>529</v>
      </c>
      <c r="M682" s="22" t="s">
        <v>51</v>
      </c>
      <c r="N682" s="63">
        <v>128000</v>
      </c>
      <c r="O682" s="63">
        <v>8960</v>
      </c>
      <c r="P682" s="63">
        <f>SUM(N682:O682)</f>
        <v>136960</v>
      </c>
      <c r="AA682" s="40">
        <v>18030089</v>
      </c>
      <c r="AB682" s="41">
        <v>128000</v>
      </c>
      <c r="AC682" s="64">
        <f t="shared" si="113"/>
        <v>8960</v>
      </c>
      <c r="AD682" s="64">
        <f t="shared" si="114"/>
        <v>136960</v>
      </c>
      <c r="AE682" s="53">
        <v>43167</v>
      </c>
      <c r="AF682" s="39" t="s">
        <v>869</v>
      </c>
      <c r="AI682" s="21" t="s">
        <v>916</v>
      </c>
      <c r="AJ682" s="44">
        <v>1</v>
      </c>
      <c r="AK682" s="45" t="s">
        <v>893</v>
      </c>
      <c r="AL682" s="46" t="s">
        <v>1205</v>
      </c>
      <c r="AN682" s="47">
        <v>2</v>
      </c>
      <c r="AO682" s="48" t="s">
        <v>635</v>
      </c>
      <c r="AP682" s="44">
        <v>2</v>
      </c>
      <c r="AQ682" s="40" t="s">
        <v>894</v>
      </c>
      <c r="AT682" s="47">
        <v>2</v>
      </c>
      <c r="AU682" s="59"/>
      <c r="AW682" s="54"/>
      <c r="AX682" s="44"/>
      <c r="AY682" s="44"/>
      <c r="AZ682" s="44"/>
      <c r="BA682" s="54"/>
      <c r="BC682" s="54"/>
      <c r="BD682" s="44"/>
      <c r="BE682" s="44"/>
      <c r="BF682" s="44"/>
      <c r="BG682" s="54"/>
      <c r="BI682" s="54"/>
      <c r="BJ682" s="44"/>
      <c r="BK682" s="44"/>
      <c r="BL682" s="44"/>
      <c r="BM682" s="44"/>
      <c r="BO682" s="54"/>
      <c r="BP682" s="44"/>
      <c r="BQ682" s="44"/>
      <c r="BR682" s="44"/>
      <c r="BS682" s="44"/>
      <c r="BU682" s="54"/>
      <c r="BV682" s="44"/>
      <c r="BW682" s="44"/>
      <c r="BX682" s="44"/>
      <c r="BY682" s="44"/>
      <c r="CA682" s="54"/>
      <c r="CB682" s="44"/>
      <c r="CC682" s="44"/>
      <c r="CD682" s="44"/>
      <c r="CE682" s="44"/>
    </row>
    <row r="683" spans="1:83" x14ac:dyDescent="0.5">
      <c r="A683" s="227">
        <v>18025713</v>
      </c>
      <c r="B683" s="22">
        <v>18020165</v>
      </c>
      <c r="C683" s="23" t="s">
        <v>1416</v>
      </c>
      <c r="D683" s="24" t="s">
        <v>184</v>
      </c>
      <c r="E683" s="25" t="s">
        <v>185</v>
      </c>
      <c r="F683" s="26" t="s">
        <v>1405</v>
      </c>
      <c r="G683" s="62">
        <v>43160</v>
      </c>
      <c r="H683" s="27">
        <v>18081</v>
      </c>
      <c r="I683" s="39" t="s">
        <v>869</v>
      </c>
      <c r="J683" s="62">
        <v>43160</v>
      </c>
      <c r="K683" s="42" t="s">
        <v>15</v>
      </c>
      <c r="L683" s="520" t="s">
        <v>441</v>
      </c>
      <c r="M683" s="22" t="s">
        <v>51</v>
      </c>
      <c r="N683" s="63">
        <v>75180</v>
      </c>
      <c r="O683" s="63">
        <v>5262.6</v>
      </c>
      <c r="P683" s="63">
        <f>SUM(N683:O683)</f>
        <v>80442.600000000006</v>
      </c>
      <c r="AA683" s="40">
        <v>18030079</v>
      </c>
      <c r="AB683" s="41">
        <v>75180</v>
      </c>
      <c r="AC683" s="64">
        <f t="shared" si="113"/>
        <v>5262.6</v>
      </c>
      <c r="AD683" s="64">
        <f t="shared" si="114"/>
        <v>80442.600000000006</v>
      </c>
      <c r="AE683" s="53">
        <v>43206</v>
      </c>
      <c r="AF683" s="39" t="s">
        <v>869</v>
      </c>
      <c r="AI683" s="21" t="s">
        <v>922</v>
      </c>
      <c r="AJ683" s="44">
        <v>1</v>
      </c>
      <c r="AK683" s="45" t="s">
        <v>834</v>
      </c>
      <c r="AM683" s="46" t="s">
        <v>1205</v>
      </c>
      <c r="AN683" s="47">
        <v>1</v>
      </c>
      <c r="AO683" s="48" t="s">
        <v>633</v>
      </c>
      <c r="AP683" s="652"/>
      <c r="AQ683" s="652"/>
      <c r="AR683" s="653"/>
      <c r="AS683" s="653"/>
      <c r="AT683" s="652"/>
      <c r="AU683" s="652"/>
      <c r="AV683" s="652"/>
      <c r="AW683" s="652"/>
      <c r="AX683" s="653"/>
      <c r="AY683" s="653"/>
      <c r="AZ683" s="652"/>
      <c r="BA683" s="652"/>
      <c r="BB683" s="652"/>
      <c r="BC683" s="652"/>
      <c r="BD683" s="653"/>
      <c r="BE683" s="653"/>
      <c r="BF683" s="652"/>
      <c r="BG683" s="652"/>
      <c r="BH683" s="652"/>
      <c r="BI683" s="652"/>
      <c r="BJ683" s="653"/>
      <c r="BK683" s="653"/>
      <c r="BL683" s="652"/>
      <c r="BM683" s="652"/>
      <c r="BN683" s="652"/>
      <c r="BO683" s="652"/>
      <c r="BP683" s="653"/>
      <c r="BQ683" s="653"/>
      <c r="BR683" s="652"/>
      <c r="BS683" s="652"/>
      <c r="BT683" s="652"/>
      <c r="BU683" s="652"/>
      <c r="BV683" s="653"/>
      <c r="BW683" s="653"/>
      <c r="BX683" s="652"/>
      <c r="BY683" s="652"/>
      <c r="BZ683" s="652"/>
      <c r="CA683" s="652"/>
      <c r="CB683" s="653"/>
      <c r="CC683" s="653"/>
      <c r="CD683" s="652"/>
      <c r="CE683" s="652"/>
    </row>
    <row r="684" spans="1:83" x14ac:dyDescent="0.5">
      <c r="A684" s="259">
        <v>18025712</v>
      </c>
      <c r="B684" s="104" t="s">
        <v>464</v>
      </c>
      <c r="C684" s="105" t="s">
        <v>1417</v>
      </c>
      <c r="D684" s="106" t="s">
        <v>184</v>
      </c>
      <c r="E684" s="107" t="s">
        <v>185</v>
      </c>
      <c r="F684" s="108" t="s">
        <v>1408</v>
      </c>
      <c r="G684" s="211">
        <v>43157</v>
      </c>
      <c r="H684" s="164">
        <v>18077</v>
      </c>
      <c r="I684" s="127" t="s">
        <v>869</v>
      </c>
      <c r="J684" s="122">
        <v>43158</v>
      </c>
      <c r="K684" s="547" t="s">
        <v>319</v>
      </c>
      <c r="L684" s="547" t="s">
        <v>525</v>
      </c>
      <c r="M684" s="104" t="s">
        <v>52</v>
      </c>
      <c r="N684" s="260">
        <v>126168.22</v>
      </c>
      <c r="O684" s="260">
        <v>8831.7800000000007</v>
      </c>
      <c r="P684" s="260">
        <f>SUM(N684:O684)</f>
        <v>135000</v>
      </c>
      <c r="Q684" s="311"/>
      <c r="R684" s="113"/>
      <c r="S684" s="114"/>
      <c r="T684" s="115"/>
      <c r="U684" s="550">
        <v>3254.04</v>
      </c>
      <c r="V684" s="551"/>
      <c r="W684" s="552"/>
      <c r="X684" s="552">
        <v>273.55</v>
      </c>
      <c r="Y684" s="553"/>
      <c r="Z684" s="120"/>
      <c r="AA684" s="123">
        <v>18030095</v>
      </c>
      <c r="AB684" s="124">
        <v>126168.22</v>
      </c>
      <c r="AC684" s="260">
        <f t="shared" si="113"/>
        <v>8831.7754000000004</v>
      </c>
      <c r="AD684" s="260">
        <f t="shared" si="114"/>
        <v>134999.99540000001</v>
      </c>
      <c r="AE684" s="126">
        <v>43197</v>
      </c>
      <c r="AF684" s="127" t="s">
        <v>869</v>
      </c>
      <c r="AG684" s="127"/>
      <c r="AH684" s="127"/>
      <c r="AI684" s="103" t="s">
        <v>1021</v>
      </c>
      <c r="AJ684" s="128">
        <v>1</v>
      </c>
      <c r="AK684" s="129" t="s">
        <v>890</v>
      </c>
      <c r="AL684" s="130"/>
      <c r="AM684" s="130" t="s">
        <v>1205</v>
      </c>
      <c r="AN684" s="131">
        <v>10</v>
      </c>
      <c r="AO684" s="132" t="s">
        <v>634</v>
      </c>
      <c r="AP684" s="128"/>
      <c r="AQ684" s="133"/>
      <c r="AR684" s="128"/>
      <c r="AS684" s="128"/>
      <c r="AT684" s="128"/>
      <c r="AU684" s="133"/>
      <c r="AV684" s="128"/>
      <c r="AW684" s="133"/>
      <c r="AX684" s="128"/>
      <c r="AY684" s="128"/>
      <c r="AZ684" s="128"/>
      <c r="BA684" s="133"/>
      <c r="BB684" s="128"/>
      <c r="BC684" s="133"/>
      <c r="BD684" s="128"/>
      <c r="BE684" s="128"/>
      <c r="BF684" s="128"/>
      <c r="BG684" s="133"/>
      <c r="BH684" s="128"/>
      <c r="BI684" s="133"/>
      <c r="BJ684" s="128"/>
      <c r="BK684" s="128"/>
      <c r="BL684" s="128"/>
      <c r="BM684" s="128"/>
      <c r="BN684" s="128"/>
      <c r="BO684" s="133"/>
      <c r="BP684" s="128"/>
      <c r="BQ684" s="128"/>
      <c r="BR684" s="128"/>
      <c r="BS684" s="128"/>
      <c r="BT684" s="128"/>
      <c r="BU684" s="133"/>
      <c r="BV684" s="128"/>
      <c r="BW684" s="128"/>
      <c r="BX684" s="128"/>
      <c r="BY684" s="128"/>
      <c r="BZ684" s="128"/>
      <c r="CA684" s="133"/>
      <c r="CB684" s="128"/>
      <c r="CC684" s="128"/>
      <c r="CD684" s="128"/>
      <c r="CE684" s="128"/>
    </row>
    <row r="685" spans="1:83" x14ac:dyDescent="0.5">
      <c r="A685" s="262"/>
      <c r="B685" s="135"/>
      <c r="C685" s="136"/>
      <c r="D685" s="137"/>
      <c r="E685" s="138"/>
      <c r="F685" s="139"/>
      <c r="G685" s="170">
        <v>43157</v>
      </c>
      <c r="H685" s="251">
        <v>18078</v>
      </c>
      <c r="I685" s="152"/>
      <c r="J685" s="179"/>
      <c r="K685" s="255"/>
      <c r="L685" s="300"/>
      <c r="M685" s="135"/>
      <c r="N685" s="253"/>
      <c r="O685" s="253"/>
      <c r="P685" s="253"/>
      <c r="Q685" s="143"/>
      <c r="R685" s="144"/>
      <c r="S685" s="145"/>
      <c r="T685" s="146"/>
      <c r="U685" s="529"/>
      <c r="V685" s="555"/>
      <c r="W685" s="556"/>
      <c r="X685" s="556"/>
      <c r="Y685" s="557"/>
      <c r="Z685" s="151"/>
      <c r="AA685" s="154"/>
      <c r="AB685" s="155"/>
      <c r="AC685" s="253"/>
      <c r="AD685" s="253"/>
      <c r="AE685" s="157"/>
      <c r="AF685" s="152"/>
      <c r="AG685" s="152"/>
      <c r="AH685" s="152"/>
      <c r="AI685" s="134"/>
      <c r="AJ685" s="158"/>
      <c r="AK685" s="159"/>
      <c r="AL685" s="160"/>
      <c r="AM685" s="160"/>
      <c r="AN685" s="161"/>
      <c r="AO685" s="162"/>
      <c r="AP685" s="158"/>
      <c r="AQ685" s="163"/>
      <c r="AR685" s="158"/>
      <c r="AS685" s="158"/>
      <c r="AT685" s="158"/>
      <c r="AU685" s="163"/>
      <c r="AV685" s="158"/>
      <c r="AW685" s="163"/>
      <c r="AX685" s="158"/>
      <c r="AY685" s="158"/>
      <c r="AZ685" s="158"/>
      <c r="BA685" s="163"/>
      <c r="BB685" s="158"/>
      <c r="BC685" s="163"/>
      <c r="BD685" s="158"/>
      <c r="BE685" s="158"/>
      <c r="BF685" s="158"/>
      <c r="BG685" s="163"/>
      <c r="BH685" s="158"/>
      <c r="BI685" s="163"/>
      <c r="BJ685" s="158"/>
      <c r="BK685" s="158"/>
      <c r="BL685" s="158"/>
      <c r="BM685" s="158"/>
      <c r="BN685" s="158"/>
      <c r="BO685" s="163"/>
      <c r="BP685" s="158"/>
      <c r="BQ685" s="158"/>
      <c r="BR685" s="158"/>
      <c r="BS685" s="158"/>
      <c r="BT685" s="158"/>
      <c r="BU685" s="163"/>
      <c r="BV685" s="158"/>
      <c r="BW685" s="158"/>
      <c r="BX685" s="158"/>
      <c r="BY685" s="158"/>
      <c r="BZ685" s="158"/>
      <c r="CA685" s="163"/>
      <c r="CB685" s="158"/>
      <c r="CC685" s="158"/>
      <c r="CD685" s="158"/>
      <c r="CE685" s="158"/>
    </row>
    <row r="686" spans="1:83" x14ac:dyDescent="0.5">
      <c r="A686" s="268"/>
      <c r="B686" s="181"/>
      <c r="C686" s="182"/>
      <c r="D686" s="183"/>
      <c r="E686" s="184"/>
      <c r="F686" s="185"/>
      <c r="G686" s="186">
        <v>43157</v>
      </c>
      <c r="H686" s="187">
        <v>18079</v>
      </c>
      <c r="I686" s="199"/>
      <c r="J686" s="186"/>
      <c r="K686" s="240"/>
      <c r="L686" s="558"/>
      <c r="M686" s="181"/>
      <c r="N686" s="237"/>
      <c r="O686" s="237"/>
      <c r="P686" s="237"/>
      <c r="Q686" s="190"/>
      <c r="R686" s="215"/>
      <c r="S686" s="216"/>
      <c r="T686" s="217"/>
      <c r="U686" s="544"/>
      <c r="V686" s="560"/>
      <c r="W686" s="561"/>
      <c r="X686" s="561"/>
      <c r="Y686" s="562"/>
      <c r="Z686" s="198"/>
      <c r="AA686" s="200"/>
      <c r="AB686" s="201"/>
      <c r="AC686" s="237"/>
      <c r="AD686" s="237"/>
      <c r="AE686" s="203"/>
      <c r="AF686" s="199"/>
      <c r="AG686" s="199"/>
      <c r="AH686" s="199"/>
      <c r="AI686" s="180"/>
      <c r="AJ686" s="204"/>
      <c r="AK686" s="205"/>
      <c r="AL686" s="206"/>
      <c r="AM686" s="206"/>
      <c r="AN686" s="207"/>
      <c r="AO686" s="208"/>
      <c r="AP686" s="204"/>
      <c r="AQ686" s="210"/>
      <c r="AR686" s="204"/>
      <c r="AS686" s="204"/>
      <c r="AT686" s="204"/>
      <c r="AU686" s="210"/>
      <c r="AV686" s="204"/>
      <c r="AW686" s="210"/>
      <c r="AX686" s="204"/>
      <c r="AY686" s="204"/>
      <c r="AZ686" s="204"/>
      <c r="BA686" s="210"/>
      <c r="BB686" s="204"/>
      <c r="BC686" s="210"/>
      <c r="BD686" s="204"/>
      <c r="BE686" s="204"/>
      <c r="BF686" s="204"/>
      <c r="BG686" s="210"/>
      <c r="BH686" s="204"/>
      <c r="BI686" s="210"/>
      <c r="BJ686" s="204"/>
      <c r="BK686" s="204"/>
      <c r="BL686" s="204"/>
      <c r="BM686" s="204"/>
      <c r="BN686" s="204"/>
      <c r="BO686" s="210"/>
      <c r="BP686" s="204"/>
      <c r="BQ686" s="204"/>
      <c r="BR686" s="204"/>
      <c r="BS686" s="204"/>
      <c r="BT686" s="204"/>
      <c r="BU686" s="210"/>
      <c r="BV686" s="204"/>
      <c r="BW686" s="204"/>
      <c r="BX686" s="204"/>
      <c r="BY686" s="204"/>
      <c r="BZ686" s="204"/>
      <c r="CA686" s="210"/>
      <c r="CB686" s="204"/>
      <c r="CC686" s="204"/>
      <c r="CD686" s="204"/>
      <c r="CE686" s="204"/>
    </row>
    <row r="687" spans="1:83" x14ac:dyDescent="0.5">
      <c r="A687" s="227">
        <v>18025711</v>
      </c>
      <c r="B687" s="22">
        <v>18020156</v>
      </c>
      <c r="C687" s="55"/>
      <c r="D687" s="56"/>
      <c r="E687" s="57"/>
      <c r="F687" s="58"/>
      <c r="G687" s="59"/>
      <c r="H687" s="60"/>
      <c r="I687" s="269" t="s">
        <v>869</v>
      </c>
      <c r="J687" s="59"/>
      <c r="K687" s="42" t="s">
        <v>220</v>
      </c>
      <c r="L687" s="520" t="s">
        <v>465</v>
      </c>
      <c r="M687" s="22" t="s">
        <v>51</v>
      </c>
      <c r="N687" s="63">
        <v>24800</v>
      </c>
      <c r="O687" s="63">
        <f>N687*7/100</f>
        <v>1736</v>
      </c>
      <c r="P687" s="63">
        <f>N687+O687</f>
        <v>26536</v>
      </c>
      <c r="AA687" s="40">
        <v>18030082</v>
      </c>
      <c r="AB687" s="41">
        <v>24800</v>
      </c>
      <c r="AC687" s="64">
        <f t="shared" si="113"/>
        <v>1736</v>
      </c>
      <c r="AD687" s="64">
        <f t="shared" si="114"/>
        <v>26536</v>
      </c>
      <c r="AE687" s="53">
        <v>43195</v>
      </c>
      <c r="AF687" s="39" t="s">
        <v>869</v>
      </c>
      <c r="AI687" s="21" t="s">
        <v>1006</v>
      </c>
      <c r="AJ687" s="44">
        <v>1</v>
      </c>
      <c r="AP687" s="44">
        <v>2</v>
      </c>
      <c r="AV687" s="44">
        <v>3</v>
      </c>
      <c r="BB687" s="44">
        <v>4</v>
      </c>
      <c r="BH687" s="44">
        <v>5</v>
      </c>
      <c r="BN687" s="44">
        <v>6</v>
      </c>
      <c r="BT687" s="44">
        <v>7</v>
      </c>
      <c r="BZ687" s="44">
        <v>8</v>
      </c>
    </row>
    <row r="688" spans="1:83" x14ac:dyDescent="0.5">
      <c r="A688" s="227">
        <v>18025710</v>
      </c>
      <c r="B688" s="22">
        <v>18020155</v>
      </c>
      <c r="C688" s="55"/>
      <c r="D688" s="56"/>
      <c r="E688" s="57"/>
      <c r="F688" s="58"/>
      <c r="G688" s="59"/>
      <c r="H688" s="60"/>
      <c r="I688" s="269" t="s">
        <v>869</v>
      </c>
      <c r="J688" s="59"/>
      <c r="K688" s="42" t="s">
        <v>220</v>
      </c>
      <c r="L688" s="520" t="s">
        <v>467</v>
      </c>
      <c r="M688" s="22" t="s">
        <v>51</v>
      </c>
      <c r="N688" s="63">
        <v>46600</v>
      </c>
      <c r="O688" s="63">
        <f>N688*7/100</f>
        <v>3262</v>
      </c>
      <c r="P688" s="63">
        <f>N688+O688</f>
        <v>49862</v>
      </c>
      <c r="AA688" s="40">
        <v>18030083</v>
      </c>
      <c r="AB688" s="41">
        <v>46600</v>
      </c>
      <c r="AC688" s="63">
        <f t="shared" si="113"/>
        <v>3262</v>
      </c>
      <c r="AD688" s="63">
        <f t="shared" si="114"/>
        <v>49862</v>
      </c>
      <c r="AE688" s="53">
        <v>43195</v>
      </c>
      <c r="AF688" s="39" t="s">
        <v>869</v>
      </c>
      <c r="AI688" s="21" t="s">
        <v>1006</v>
      </c>
      <c r="AJ688" s="44">
        <v>1</v>
      </c>
      <c r="AP688" s="44">
        <v>2</v>
      </c>
      <c r="AV688" s="44">
        <v>3</v>
      </c>
      <c r="BB688" s="44">
        <v>4</v>
      </c>
      <c r="BH688" s="44">
        <v>5</v>
      </c>
      <c r="BN688" s="44">
        <v>6</v>
      </c>
      <c r="BT688" s="44">
        <v>7</v>
      </c>
      <c r="BZ688" s="44">
        <v>8</v>
      </c>
    </row>
    <row r="689" spans="1:83" x14ac:dyDescent="0.5">
      <c r="A689" s="227">
        <v>18025709</v>
      </c>
      <c r="B689" s="22" t="s">
        <v>468</v>
      </c>
      <c r="C689" s="23" t="s">
        <v>1418</v>
      </c>
      <c r="D689" s="24" t="s">
        <v>184</v>
      </c>
      <c r="E689" s="25" t="s">
        <v>185</v>
      </c>
      <c r="F689" s="26" t="s">
        <v>1407</v>
      </c>
      <c r="G689" s="62">
        <v>43157</v>
      </c>
      <c r="H689" s="27">
        <v>18080</v>
      </c>
      <c r="I689" s="39" t="s">
        <v>869</v>
      </c>
      <c r="J689" s="62">
        <v>43158</v>
      </c>
      <c r="K689" s="42" t="s">
        <v>469</v>
      </c>
      <c r="L689" s="520" t="s">
        <v>470</v>
      </c>
      <c r="M689" s="22" t="s">
        <v>52</v>
      </c>
      <c r="N689" s="63">
        <v>65420.56</v>
      </c>
      <c r="O689" s="63">
        <v>4579.4399999999996</v>
      </c>
      <c r="P689" s="63">
        <f t="shared" ref="P689:P694" si="115">SUM(N689:O689)</f>
        <v>70000</v>
      </c>
      <c r="X689" s="518">
        <v>210.6</v>
      </c>
      <c r="AA689" s="40">
        <v>18020068</v>
      </c>
      <c r="AB689" s="41">
        <v>65420.56</v>
      </c>
      <c r="AC689" s="64">
        <f t="shared" si="113"/>
        <v>4579.4391999999998</v>
      </c>
      <c r="AD689" s="64">
        <f t="shared" si="114"/>
        <v>69999.999199999991</v>
      </c>
      <c r="AE689" s="53">
        <v>43153</v>
      </c>
      <c r="AF689" s="39" t="s">
        <v>869</v>
      </c>
      <c r="AI689" s="21" t="s">
        <v>926</v>
      </c>
      <c r="AJ689" s="44">
        <v>1</v>
      </c>
      <c r="AK689" s="45" t="s">
        <v>838</v>
      </c>
      <c r="AM689" s="46" t="s">
        <v>1205</v>
      </c>
      <c r="AN689" s="47">
        <v>1</v>
      </c>
      <c r="AO689" s="48" t="s">
        <v>634</v>
      </c>
      <c r="AP689" s="44">
        <v>2</v>
      </c>
      <c r="AQ689" s="40" t="s">
        <v>661</v>
      </c>
      <c r="AS689" s="47" t="s">
        <v>1205</v>
      </c>
      <c r="AT689" s="47">
        <v>1</v>
      </c>
      <c r="AU689" s="49" t="s">
        <v>634</v>
      </c>
      <c r="AW689" s="54"/>
      <c r="AX689" s="44"/>
      <c r="AY689" s="44"/>
      <c r="AZ689" s="44"/>
      <c r="BA689" s="54"/>
      <c r="BC689" s="54"/>
      <c r="BD689" s="44"/>
      <c r="BE689" s="44"/>
      <c r="BF689" s="44"/>
      <c r="BG689" s="54"/>
      <c r="BI689" s="54"/>
      <c r="BJ689" s="44"/>
      <c r="BK689" s="44"/>
      <c r="BL689" s="44"/>
      <c r="BM689" s="44"/>
      <c r="BO689" s="54"/>
      <c r="BP689" s="44"/>
      <c r="BQ689" s="44"/>
      <c r="BR689" s="44"/>
      <c r="BS689" s="44"/>
      <c r="BU689" s="54"/>
      <c r="BV689" s="44"/>
      <c r="BW689" s="44"/>
      <c r="BX689" s="44"/>
      <c r="BY689" s="44"/>
      <c r="CA689" s="54"/>
      <c r="CB689" s="44"/>
      <c r="CC689" s="44"/>
      <c r="CD689" s="44"/>
      <c r="CE689" s="44"/>
    </row>
    <row r="690" spans="1:83" x14ac:dyDescent="0.5">
      <c r="A690" s="227">
        <v>18025708</v>
      </c>
      <c r="B690" s="22">
        <v>18020135</v>
      </c>
      <c r="C690" s="23" t="s">
        <v>1419</v>
      </c>
      <c r="D690" s="24" t="s">
        <v>184</v>
      </c>
      <c r="E690" s="25" t="s">
        <v>185</v>
      </c>
      <c r="F690" s="26">
        <v>107</v>
      </c>
      <c r="G690" s="62">
        <v>43224</v>
      </c>
      <c r="H690" s="27">
        <v>18159</v>
      </c>
      <c r="I690" s="39" t="s">
        <v>869</v>
      </c>
      <c r="J690" s="62">
        <v>43225</v>
      </c>
      <c r="K690" s="42" t="s">
        <v>438</v>
      </c>
      <c r="L690" s="520" t="s">
        <v>439</v>
      </c>
      <c r="M690" s="22" t="s">
        <v>52</v>
      </c>
      <c r="N690" s="63">
        <v>46475</v>
      </c>
      <c r="O690" s="63">
        <v>3253.25</v>
      </c>
      <c r="P690" s="63">
        <f t="shared" si="115"/>
        <v>49728.25</v>
      </c>
      <c r="AA690" s="40">
        <v>18040159</v>
      </c>
      <c r="AB690" s="41">
        <v>46475</v>
      </c>
      <c r="AC690" s="64">
        <f t="shared" si="113"/>
        <v>3253.25</v>
      </c>
      <c r="AD690" s="64">
        <f t="shared" si="114"/>
        <v>49728.25</v>
      </c>
      <c r="AE690" s="53">
        <v>43220</v>
      </c>
      <c r="AF690" s="39" t="s">
        <v>869</v>
      </c>
      <c r="AI690" s="21" t="s">
        <v>987</v>
      </c>
      <c r="AJ690" s="44">
        <v>1</v>
      </c>
      <c r="AK690" s="45" t="s">
        <v>661</v>
      </c>
      <c r="AM690" s="46" t="s">
        <v>1205</v>
      </c>
      <c r="AN690" s="47">
        <v>1</v>
      </c>
      <c r="AO690" s="48" t="s">
        <v>634</v>
      </c>
      <c r="AP690" s="44">
        <v>2</v>
      </c>
      <c r="AQ690" s="40" t="s">
        <v>759</v>
      </c>
      <c r="AS690" s="47" t="s">
        <v>1205</v>
      </c>
      <c r="AT690" s="47">
        <v>1</v>
      </c>
      <c r="AU690" s="49" t="s">
        <v>634</v>
      </c>
      <c r="AV690" s="356"/>
      <c r="AW690" s="356"/>
      <c r="AX690" s="44"/>
      <c r="AY690" s="44"/>
      <c r="AZ690" s="356"/>
      <c r="BA690" s="54"/>
      <c r="BB690" s="356"/>
      <c r="BC690" s="356"/>
      <c r="BD690" s="44"/>
      <c r="BE690" s="44"/>
      <c r="BF690" s="356"/>
      <c r="BG690" s="54"/>
      <c r="BH690" s="356"/>
      <c r="BI690" s="356"/>
      <c r="BJ690" s="44"/>
      <c r="BK690" s="44"/>
      <c r="BL690" s="356"/>
      <c r="BM690" s="356"/>
      <c r="BN690" s="356"/>
      <c r="BO690" s="356"/>
      <c r="BP690" s="44"/>
      <c r="BQ690" s="44"/>
      <c r="BR690" s="356"/>
      <c r="BS690" s="356"/>
      <c r="BT690" s="356"/>
      <c r="BU690" s="356"/>
      <c r="BV690" s="44"/>
      <c r="BW690" s="44"/>
      <c r="BX690" s="356"/>
      <c r="BY690" s="356"/>
      <c r="BZ690" s="356"/>
      <c r="CA690" s="44"/>
      <c r="CB690" s="44"/>
      <c r="CC690" s="44"/>
      <c r="CD690" s="44"/>
      <c r="CE690" s="44"/>
    </row>
    <row r="691" spans="1:83" x14ac:dyDescent="0.5">
      <c r="A691" s="227">
        <v>18025707</v>
      </c>
      <c r="B691" s="22">
        <v>18020141</v>
      </c>
      <c r="C691" s="23" t="s">
        <v>1420</v>
      </c>
      <c r="D691" s="24" t="s">
        <v>184</v>
      </c>
      <c r="G691" s="62"/>
      <c r="I691" s="39" t="s">
        <v>869</v>
      </c>
      <c r="K691" s="42" t="s">
        <v>471</v>
      </c>
      <c r="L691" s="520" t="s">
        <v>422</v>
      </c>
      <c r="M691" s="22" t="s">
        <v>51</v>
      </c>
      <c r="N691" s="63">
        <v>12850</v>
      </c>
      <c r="O691" s="63">
        <v>899.5</v>
      </c>
      <c r="P691" s="63">
        <f t="shared" si="115"/>
        <v>13749.5</v>
      </c>
      <c r="AA691" s="40">
        <v>18020055</v>
      </c>
      <c r="AB691" s="41">
        <v>12850</v>
      </c>
      <c r="AC691" s="64">
        <f t="shared" si="113"/>
        <v>899.5</v>
      </c>
      <c r="AD691" s="64">
        <f t="shared" si="114"/>
        <v>13749.5</v>
      </c>
      <c r="AE691" s="53">
        <v>43146</v>
      </c>
      <c r="AF691" s="39" t="s">
        <v>869</v>
      </c>
      <c r="AI691" s="21" t="s">
        <v>931</v>
      </c>
      <c r="AJ691" s="44">
        <v>1</v>
      </c>
      <c r="AK691" s="45" t="s">
        <v>714</v>
      </c>
      <c r="AM691" s="46" t="s">
        <v>1205</v>
      </c>
      <c r="AN691" s="47">
        <v>1</v>
      </c>
      <c r="AO691" s="48" t="s">
        <v>634</v>
      </c>
      <c r="AP691" s="356"/>
      <c r="AQ691" s="356"/>
      <c r="AR691" s="44"/>
      <c r="AS691" s="44"/>
      <c r="AT691" s="356"/>
      <c r="AU691" s="54"/>
      <c r="AV691" s="356"/>
      <c r="AW691" s="356"/>
      <c r="AX691" s="44"/>
      <c r="AY691" s="44"/>
      <c r="AZ691" s="356"/>
      <c r="BA691" s="54"/>
      <c r="BB691" s="356"/>
      <c r="BC691" s="356"/>
      <c r="BD691" s="44"/>
      <c r="BE691" s="44"/>
      <c r="BF691" s="356"/>
      <c r="BG691" s="54"/>
      <c r="BH691" s="356"/>
      <c r="BI691" s="356"/>
      <c r="BJ691" s="44"/>
      <c r="BK691" s="44"/>
      <c r="BL691" s="356"/>
      <c r="BM691" s="356"/>
      <c r="BN691" s="356"/>
      <c r="BO691" s="356"/>
      <c r="BP691" s="44"/>
      <c r="BQ691" s="44"/>
      <c r="BR691" s="356"/>
      <c r="BS691" s="356"/>
      <c r="BT691" s="356"/>
      <c r="BU691" s="356"/>
      <c r="BV691" s="44"/>
      <c r="BW691" s="44"/>
      <c r="BX691" s="356"/>
      <c r="BY691" s="356"/>
      <c r="BZ691" s="356"/>
      <c r="CA691" s="44"/>
      <c r="CB691" s="44"/>
      <c r="CC691" s="44"/>
      <c r="CD691" s="44"/>
      <c r="CE691" s="44"/>
    </row>
    <row r="692" spans="1:83" s="95" customFormat="1" x14ac:dyDescent="0.5">
      <c r="A692" s="65">
        <v>18025706</v>
      </c>
      <c r="B692" s="66">
        <v>18010046</v>
      </c>
      <c r="C692" s="67" t="s">
        <v>1421</v>
      </c>
      <c r="D692" s="24" t="s">
        <v>184</v>
      </c>
      <c r="E692" s="69" t="s">
        <v>185</v>
      </c>
      <c r="F692" s="70" t="s">
        <v>1419</v>
      </c>
      <c r="G692" s="634">
        <v>43148</v>
      </c>
      <c r="H692" s="71">
        <v>18064</v>
      </c>
      <c r="I692" s="83"/>
      <c r="J692" s="66"/>
      <c r="K692" s="86" t="s">
        <v>208</v>
      </c>
      <c r="L692" s="589" t="s">
        <v>472</v>
      </c>
      <c r="M692" s="66" t="s">
        <v>50</v>
      </c>
      <c r="N692" s="590">
        <v>146250</v>
      </c>
      <c r="O692" s="590">
        <v>10237.5</v>
      </c>
      <c r="P692" s="590">
        <f t="shared" si="115"/>
        <v>156487.5</v>
      </c>
      <c r="Q692" s="74"/>
      <c r="R692" s="75"/>
      <c r="S692" s="76"/>
      <c r="T692" s="77"/>
      <c r="U692" s="591">
        <v>7312.5</v>
      </c>
      <c r="V692" s="592"/>
      <c r="W692" s="593"/>
      <c r="X692" s="593">
        <v>611.32000000000005</v>
      </c>
      <c r="Y692" s="594"/>
      <c r="Z692" s="82"/>
      <c r="AA692" s="84"/>
      <c r="AB692" s="85"/>
      <c r="AC692" s="86"/>
      <c r="AD692" s="86"/>
      <c r="AE692" s="87"/>
      <c r="AF692" s="83"/>
      <c r="AG692" s="83"/>
      <c r="AH692" s="83"/>
      <c r="AI692" s="65"/>
      <c r="AJ692" s="44">
        <v>1</v>
      </c>
      <c r="AK692" s="45" t="s">
        <v>650</v>
      </c>
      <c r="AL692" s="46"/>
      <c r="AM692" s="46" t="s">
        <v>1205</v>
      </c>
      <c r="AN692" s="47">
        <v>2</v>
      </c>
      <c r="AO692" s="48" t="s">
        <v>634</v>
      </c>
      <c r="AP692" s="44">
        <v>2</v>
      </c>
      <c r="AQ692" s="40" t="s">
        <v>715</v>
      </c>
      <c r="AR692" s="47"/>
      <c r="AS692" s="47" t="s">
        <v>1205</v>
      </c>
      <c r="AT692" s="47">
        <v>1</v>
      </c>
      <c r="AU692" s="49" t="s">
        <v>634</v>
      </c>
      <c r="AV692" s="44">
        <v>3</v>
      </c>
      <c r="AW692" s="40" t="s">
        <v>716</v>
      </c>
      <c r="AX692" s="47"/>
      <c r="AY692" s="47" t="s">
        <v>1205</v>
      </c>
      <c r="AZ692" s="47">
        <v>1</v>
      </c>
      <c r="BA692" s="49" t="s">
        <v>634</v>
      </c>
      <c r="BB692" s="356"/>
      <c r="BC692" s="356"/>
      <c r="BD692" s="44"/>
      <c r="BE692" s="44"/>
      <c r="BF692" s="356"/>
      <c r="BG692" s="54"/>
      <c r="BH692" s="356"/>
      <c r="BI692" s="356"/>
      <c r="BJ692" s="44"/>
      <c r="BK692" s="44"/>
      <c r="BL692" s="356"/>
      <c r="BM692" s="356"/>
      <c r="BN692" s="356"/>
      <c r="BO692" s="356"/>
      <c r="BP692" s="44"/>
      <c r="BQ692" s="44"/>
      <c r="BR692" s="356"/>
      <c r="BS692" s="356"/>
      <c r="BT692" s="356"/>
      <c r="BU692" s="356"/>
      <c r="BV692" s="44"/>
      <c r="BW692" s="44"/>
      <c r="BX692" s="356"/>
      <c r="BY692" s="356"/>
      <c r="BZ692" s="356"/>
      <c r="CA692" s="356"/>
      <c r="CB692" s="44"/>
      <c r="CC692" s="44"/>
      <c r="CD692" s="356"/>
      <c r="CE692" s="356"/>
    </row>
    <row r="693" spans="1:83" x14ac:dyDescent="0.5">
      <c r="A693" s="227">
        <v>18025705</v>
      </c>
      <c r="B693" s="22">
        <v>18020125</v>
      </c>
      <c r="C693" s="23" t="s">
        <v>1422</v>
      </c>
      <c r="D693" s="24" t="s">
        <v>184</v>
      </c>
      <c r="E693" s="25" t="s">
        <v>185</v>
      </c>
      <c r="F693" s="26" t="s">
        <v>1412</v>
      </c>
      <c r="G693" s="62">
        <v>43150</v>
      </c>
      <c r="H693" s="27">
        <v>18065</v>
      </c>
      <c r="I693" s="39" t="s">
        <v>869</v>
      </c>
      <c r="J693" s="62">
        <v>43150</v>
      </c>
      <c r="K693" s="42" t="s">
        <v>20</v>
      </c>
      <c r="L693" s="520" t="s">
        <v>528</v>
      </c>
      <c r="M693" s="22" t="s">
        <v>51</v>
      </c>
      <c r="N693" s="63">
        <v>172000</v>
      </c>
      <c r="O693" s="63">
        <v>12040</v>
      </c>
      <c r="P693" s="63">
        <f t="shared" si="115"/>
        <v>184040</v>
      </c>
      <c r="AA693" s="40">
        <v>18020065</v>
      </c>
      <c r="AB693" s="41">
        <v>172000</v>
      </c>
      <c r="AC693" s="64">
        <f t="shared" ref="AC693:AC701" si="116">AB693*7/100</f>
        <v>12040</v>
      </c>
      <c r="AD693" s="64">
        <f t="shared" ref="AD693:AD701" si="117">AB693+AC693</f>
        <v>184040</v>
      </c>
      <c r="AE693" s="53">
        <v>43181</v>
      </c>
      <c r="AF693" s="39" t="s">
        <v>869</v>
      </c>
      <c r="AI693" s="21" t="s">
        <v>1004</v>
      </c>
      <c r="AJ693" s="44">
        <v>1</v>
      </c>
      <c r="AK693" s="45" t="s">
        <v>770</v>
      </c>
      <c r="AM693" s="46" t="s">
        <v>1205</v>
      </c>
      <c r="AN693" s="47">
        <v>1</v>
      </c>
      <c r="AO693" s="48" t="s">
        <v>633</v>
      </c>
      <c r="AQ693" s="54"/>
      <c r="AR693" s="44"/>
      <c r="AS693" s="44"/>
      <c r="AT693" s="44"/>
      <c r="AU693" s="54"/>
      <c r="AW693" s="54"/>
      <c r="AX693" s="44"/>
      <c r="AY693" s="44"/>
      <c r="AZ693" s="44"/>
      <c r="BA693" s="54"/>
      <c r="BC693" s="54"/>
      <c r="BD693" s="44"/>
      <c r="BE693" s="44"/>
      <c r="BF693" s="44"/>
      <c r="BG693" s="54"/>
      <c r="BI693" s="54"/>
      <c r="BJ693" s="44"/>
      <c r="BK693" s="44"/>
      <c r="BL693" s="44"/>
      <c r="BM693" s="44"/>
      <c r="BO693" s="54"/>
      <c r="BP693" s="44"/>
      <c r="BQ693" s="44"/>
      <c r="BR693" s="44"/>
      <c r="BS693" s="44"/>
      <c r="BU693" s="54"/>
      <c r="BV693" s="44"/>
      <c r="BW693" s="44"/>
      <c r="BX693" s="44"/>
      <c r="BY693" s="44"/>
      <c r="CA693" s="54"/>
      <c r="CB693" s="44"/>
      <c r="CC693" s="44"/>
      <c r="CD693" s="44"/>
      <c r="CE693" s="44"/>
    </row>
    <row r="694" spans="1:83" x14ac:dyDescent="0.5">
      <c r="A694" s="227">
        <v>18025704</v>
      </c>
      <c r="B694" s="22">
        <v>18020126</v>
      </c>
      <c r="C694" s="23" t="s">
        <v>1423</v>
      </c>
      <c r="D694" s="24" t="s">
        <v>184</v>
      </c>
      <c r="E694" s="25" t="s">
        <v>185</v>
      </c>
      <c r="F694" s="26" t="s">
        <v>1413</v>
      </c>
      <c r="G694" s="62">
        <v>43150</v>
      </c>
      <c r="H694" s="27">
        <v>18067</v>
      </c>
      <c r="I694" s="39" t="s">
        <v>869</v>
      </c>
      <c r="J694" s="62">
        <v>43150</v>
      </c>
      <c r="K694" s="42" t="s">
        <v>19</v>
      </c>
      <c r="L694" s="520" t="s">
        <v>527</v>
      </c>
      <c r="M694" s="22" t="s">
        <v>51</v>
      </c>
      <c r="N694" s="63">
        <v>61000</v>
      </c>
      <c r="O694" s="63">
        <v>4270</v>
      </c>
      <c r="P694" s="63">
        <f t="shared" si="115"/>
        <v>65270</v>
      </c>
      <c r="AA694" s="40">
        <v>18020064</v>
      </c>
      <c r="AB694" s="41">
        <v>61000</v>
      </c>
      <c r="AC694" s="64">
        <f t="shared" si="116"/>
        <v>4270</v>
      </c>
      <c r="AD694" s="64">
        <f t="shared" si="117"/>
        <v>65270</v>
      </c>
      <c r="AE694" s="53">
        <v>43181</v>
      </c>
      <c r="AF694" s="39" t="s">
        <v>869</v>
      </c>
      <c r="AI694" s="21" t="s">
        <v>1003</v>
      </c>
      <c r="AJ694" s="44">
        <v>1</v>
      </c>
      <c r="AK694" s="45" t="s">
        <v>885</v>
      </c>
      <c r="AM694" s="46" t="s">
        <v>1205</v>
      </c>
      <c r="AN694" s="47">
        <v>1</v>
      </c>
      <c r="AO694" s="48" t="s">
        <v>633</v>
      </c>
      <c r="AQ694" s="54"/>
      <c r="AR694" s="44"/>
      <c r="AS694" s="44"/>
      <c r="AT694" s="44"/>
      <c r="AU694" s="54"/>
      <c r="AW694" s="54"/>
      <c r="AX694" s="44"/>
      <c r="AY694" s="44"/>
      <c r="AZ694" s="44"/>
      <c r="BA694" s="54"/>
      <c r="BC694" s="54"/>
      <c r="BD694" s="44"/>
      <c r="BE694" s="44"/>
      <c r="BF694" s="44"/>
      <c r="BG694" s="54"/>
      <c r="BI694" s="54"/>
      <c r="BJ694" s="44"/>
      <c r="BK694" s="44"/>
      <c r="BL694" s="44"/>
      <c r="BM694" s="44"/>
      <c r="BO694" s="54"/>
      <c r="BP694" s="44"/>
      <c r="BQ694" s="44"/>
      <c r="BR694" s="44"/>
      <c r="BS694" s="44"/>
      <c r="BU694" s="54"/>
      <c r="BV694" s="44"/>
      <c r="BW694" s="44"/>
      <c r="BX694" s="44"/>
      <c r="BY694" s="44"/>
      <c r="CA694" s="54"/>
      <c r="CB694" s="44"/>
      <c r="CC694" s="44"/>
      <c r="CD694" s="44"/>
      <c r="CE694" s="44"/>
    </row>
    <row r="695" spans="1:83" x14ac:dyDescent="0.5">
      <c r="A695" s="227">
        <v>18025703</v>
      </c>
      <c r="B695" s="22">
        <v>17111261</v>
      </c>
      <c r="C695" s="55"/>
      <c r="D695" s="56"/>
      <c r="E695" s="57"/>
      <c r="F695" s="58"/>
      <c r="G695" s="59"/>
      <c r="H695" s="60"/>
      <c r="I695" s="269"/>
      <c r="J695" s="59"/>
      <c r="K695" s="42" t="s">
        <v>165</v>
      </c>
      <c r="L695" s="520" t="s">
        <v>473</v>
      </c>
      <c r="M695" s="22" t="s">
        <v>359</v>
      </c>
      <c r="N695" s="63">
        <v>20500</v>
      </c>
      <c r="O695" s="63">
        <f>N695*7/100</f>
        <v>1435</v>
      </c>
      <c r="P695" s="63">
        <f>N695+O695</f>
        <v>21935</v>
      </c>
      <c r="AA695" s="40">
        <v>18030086</v>
      </c>
      <c r="AB695" s="41">
        <v>20500</v>
      </c>
      <c r="AC695" s="64">
        <f t="shared" si="116"/>
        <v>1435</v>
      </c>
      <c r="AD695" s="64">
        <f t="shared" si="117"/>
        <v>21935</v>
      </c>
      <c r="AE695" s="53">
        <v>43197</v>
      </c>
      <c r="AF695" s="39" t="s">
        <v>869</v>
      </c>
      <c r="AI695" s="21" t="s">
        <v>995</v>
      </c>
      <c r="AJ695" s="44">
        <v>1</v>
      </c>
      <c r="AP695" s="44">
        <v>2</v>
      </c>
      <c r="AV695" s="44">
        <v>3</v>
      </c>
      <c r="BB695" s="44">
        <v>4</v>
      </c>
      <c r="BH695" s="44">
        <v>5</v>
      </c>
      <c r="BN695" s="44">
        <v>6</v>
      </c>
      <c r="BT695" s="44">
        <v>7</v>
      </c>
      <c r="BZ695" s="44">
        <v>8</v>
      </c>
    </row>
    <row r="696" spans="1:83" x14ac:dyDescent="0.5">
      <c r="A696" s="227">
        <v>18025702</v>
      </c>
      <c r="B696" s="22">
        <v>18020119</v>
      </c>
      <c r="C696" s="23" t="s">
        <v>1429</v>
      </c>
      <c r="D696" s="24" t="s">
        <v>184</v>
      </c>
      <c r="E696" s="25" t="s">
        <v>185</v>
      </c>
      <c r="F696" s="26" t="s">
        <v>1406</v>
      </c>
      <c r="G696" s="62">
        <v>43160</v>
      </c>
      <c r="H696" s="27">
        <v>18082</v>
      </c>
      <c r="I696" s="39" t="s">
        <v>869</v>
      </c>
      <c r="J696" s="62">
        <v>43161</v>
      </c>
      <c r="K696" s="42" t="s">
        <v>165</v>
      </c>
      <c r="L696" s="520" t="s">
        <v>440</v>
      </c>
      <c r="M696" s="22" t="s">
        <v>359</v>
      </c>
      <c r="N696" s="63">
        <v>62500</v>
      </c>
      <c r="O696" s="63">
        <v>4375</v>
      </c>
      <c r="P696" s="63">
        <f>SUM(N696:O696)</f>
        <v>66875</v>
      </c>
      <c r="AA696" s="40">
        <v>18030087</v>
      </c>
      <c r="AB696" s="41">
        <v>62500</v>
      </c>
      <c r="AC696" s="64">
        <f t="shared" si="116"/>
        <v>4375</v>
      </c>
      <c r="AD696" s="64">
        <f t="shared" si="117"/>
        <v>66875</v>
      </c>
      <c r="AE696" s="53">
        <v>43197</v>
      </c>
      <c r="AF696" s="39" t="s">
        <v>869</v>
      </c>
      <c r="AI696" s="21" t="s">
        <v>995</v>
      </c>
      <c r="AJ696" s="44">
        <v>1</v>
      </c>
      <c r="AK696" s="45" t="s">
        <v>833</v>
      </c>
      <c r="AM696" s="46" t="s">
        <v>1205</v>
      </c>
      <c r="AN696" s="47">
        <v>2</v>
      </c>
      <c r="AO696" s="48" t="s">
        <v>634</v>
      </c>
      <c r="AP696" s="356"/>
      <c r="AQ696" s="356"/>
      <c r="AR696" s="44"/>
      <c r="AS696" s="44"/>
      <c r="AT696" s="356"/>
      <c r="AU696" s="54"/>
      <c r="AV696" s="356"/>
      <c r="AW696" s="356"/>
      <c r="AX696" s="44"/>
      <c r="AY696" s="44"/>
      <c r="AZ696" s="356"/>
      <c r="BA696" s="54"/>
      <c r="BB696" s="356"/>
      <c r="BC696" s="356"/>
      <c r="BD696" s="44"/>
      <c r="BE696" s="44"/>
      <c r="BF696" s="356"/>
      <c r="BG696" s="54"/>
      <c r="BH696" s="356"/>
      <c r="BI696" s="356"/>
      <c r="BJ696" s="44"/>
      <c r="BK696" s="44"/>
      <c r="BL696" s="356"/>
      <c r="BM696" s="356"/>
      <c r="BN696" s="356"/>
      <c r="BO696" s="356"/>
      <c r="BP696" s="44"/>
      <c r="BQ696" s="44"/>
      <c r="BR696" s="356"/>
      <c r="BS696" s="356"/>
      <c r="BT696" s="356"/>
      <c r="BU696" s="356"/>
      <c r="BV696" s="44"/>
      <c r="BW696" s="44"/>
      <c r="BX696" s="356"/>
      <c r="BY696" s="356"/>
      <c r="BZ696" s="356"/>
      <c r="CA696" s="356"/>
      <c r="CB696" s="44"/>
      <c r="CC696" s="44"/>
      <c r="CD696" s="356"/>
      <c r="CE696" s="356"/>
    </row>
    <row r="697" spans="1:83" x14ac:dyDescent="0.5">
      <c r="A697" s="369">
        <v>18025701</v>
      </c>
      <c r="B697" s="370">
        <v>18020105</v>
      </c>
      <c r="C697" s="371" t="s">
        <v>1430</v>
      </c>
      <c r="D697" s="372" t="s">
        <v>184</v>
      </c>
      <c r="E697" s="646" t="s">
        <v>185</v>
      </c>
      <c r="F697" s="623" t="s">
        <v>1382</v>
      </c>
      <c r="G697" s="211">
        <v>43179</v>
      </c>
      <c r="H697" s="164">
        <v>18111</v>
      </c>
      <c r="I697" s="368" t="s">
        <v>869</v>
      </c>
      <c r="J697" s="211">
        <v>43179</v>
      </c>
      <c r="K697" s="375" t="s">
        <v>15</v>
      </c>
      <c r="L697" s="375" t="s">
        <v>437</v>
      </c>
      <c r="M697" s="375" t="s">
        <v>51</v>
      </c>
      <c r="N697" s="376">
        <v>454140</v>
      </c>
      <c r="O697" s="376">
        <v>31789.8</v>
      </c>
      <c r="P697" s="376">
        <f>SUM(N697:O697)</f>
        <v>485929.8</v>
      </c>
      <c r="Q697" s="470"/>
      <c r="R697" s="471"/>
      <c r="S697" s="472"/>
      <c r="T697" s="380"/>
      <c r="U697" s="473"/>
      <c r="V697" s="474"/>
      <c r="W697" s="475"/>
      <c r="X697" s="475"/>
      <c r="Y697" s="476"/>
      <c r="Z697" s="477"/>
      <c r="AA697" s="123">
        <v>18060191</v>
      </c>
      <c r="AB697" s="376">
        <v>233400</v>
      </c>
      <c r="AC697" s="388">
        <f t="shared" si="116"/>
        <v>16338</v>
      </c>
      <c r="AD697" s="422">
        <f t="shared" si="117"/>
        <v>249738</v>
      </c>
      <c r="AE697" s="221">
        <v>43301</v>
      </c>
      <c r="AF697" s="654" t="s">
        <v>869</v>
      </c>
      <c r="AG697" s="655"/>
      <c r="AH697" s="654"/>
      <c r="AI697" s="656" t="s">
        <v>972</v>
      </c>
      <c r="AJ697" s="390">
        <v>1</v>
      </c>
      <c r="AK697" s="394" t="s">
        <v>798</v>
      </c>
      <c r="AL697" s="392"/>
      <c r="AM697" s="392" t="s">
        <v>1205</v>
      </c>
      <c r="AN697" s="392">
        <v>1</v>
      </c>
      <c r="AO697" s="393" t="s">
        <v>633</v>
      </c>
      <c r="AP697" s="390">
        <v>2</v>
      </c>
      <c r="AQ697" s="394" t="s">
        <v>799</v>
      </c>
      <c r="AR697" s="392"/>
      <c r="AS697" s="392" t="s">
        <v>1205</v>
      </c>
      <c r="AT697" s="392">
        <v>1</v>
      </c>
      <c r="AU697" s="393" t="s">
        <v>633</v>
      </c>
      <c r="AV697" s="390">
        <v>3</v>
      </c>
      <c r="AW697" s="394" t="s">
        <v>800</v>
      </c>
      <c r="AX697" s="392" t="s">
        <v>1205</v>
      </c>
      <c r="AY697" s="392"/>
      <c r="AZ697" s="392">
        <v>2</v>
      </c>
      <c r="BA697" s="393" t="s">
        <v>635</v>
      </c>
      <c r="BB697" s="361"/>
      <c r="BC697" s="361"/>
      <c r="BD697" s="128"/>
      <c r="BE697" s="128"/>
      <c r="BF697" s="361"/>
      <c r="BG697" s="361"/>
      <c r="BH697" s="395"/>
      <c r="BI697" s="395"/>
      <c r="BJ697" s="390"/>
      <c r="BK697" s="390"/>
      <c r="BL697" s="395"/>
      <c r="BM697" s="395"/>
      <c r="BN697" s="395"/>
      <c r="BO697" s="361"/>
      <c r="BP697" s="128"/>
      <c r="BQ697" s="128"/>
      <c r="BR697" s="361"/>
      <c r="BS697" s="361"/>
      <c r="BT697" s="361"/>
      <c r="BU697" s="361"/>
      <c r="BV697" s="128"/>
      <c r="BW697" s="128"/>
      <c r="BX697" s="361"/>
      <c r="BY697" s="361"/>
      <c r="BZ697" s="361"/>
      <c r="CA697" s="361"/>
      <c r="CB697" s="128"/>
      <c r="CC697" s="128"/>
      <c r="CD697" s="361"/>
      <c r="CE697" s="361"/>
    </row>
    <row r="698" spans="1:83" x14ac:dyDescent="0.5">
      <c r="A698" s="396"/>
      <c r="B698" s="241"/>
      <c r="C698" s="397"/>
      <c r="D698" s="398"/>
      <c r="E698" s="184" t="s">
        <v>185</v>
      </c>
      <c r="F698" s="185">
        <v>120</v>
      </c>
      <c r="G698" s="186">
        <v>43252</v>
      </c>
      <c r="H698" s="187">
        <v>18181</v>
      </c>
      <c r="I698" s="412"/>
      <c r="J698" s="186">
        <v>43256</v>
      </c>
      <c r="K698" s="401"/>
      <c r="L698" s="401"/>
      <c r="M698" s="401"/>
      <c r="N698" s="402"/>
      <c r="O698" s="402"/>
      <c r="P698" s="402"/>
      <c r="Q698" s="586"/>
      <c r="R698" s="502"/>
      <c r="S698" s="503"/>
      <c r="T698" s="406"/>
      <c r="U698" s="504"/>
      <c r="V698" s="505"/>
      <c r="W698" s="506"/>
      <c r="X698" s="506"/>
      <c r="Y698" s="507"/>
      <c r="Z698" s="508"/>
      <c r="AA698" s="223">
        <v>18030111</v>
      </c>
      <c r="AB698" s="657">
        <v>220740</v>
      </c>
      <c r="AC698" s="402">
        <f t="shared" si="116"/>
        <v>15451.8</v>
      </c>
      <c r="AD698" s="657">
        <f t="shared" si="117"/>
        <v>236191.8</v>
      </c>
      <c r="AE698" s="203">
        <v>43225</v>
      </c>
      <c r="AF698" s="412" t="s">
        <v>869</v>
      </c>
      <c r="AG698" s="460"/>
      <c r="AH698" s="412"/>
      <c r="AI698" s="580" t="s">
        <v>1017</v>
      </c>
      <c r="AJ698" s="420"/>
      <c r="AK698" s="413"/>
      <c r="AL698" s="418"/>
      <c r="AM698" s="418"/>
      <c r="AN698" s="418"/>
      <c r="AO698" s="419"/>
      <c r="AP698" s="420"/>
      <c r="AQ698" s="413"/>
      <c r="AR698" s="418"/>
      <c r="AS698" s="418"/>
      <c r="AT698" s="418"/>
      <c r="AU698" s="419"/>
      <c r="AV698" s="420"/>
      <c r="AW698" s="413"/>
      <c r="AX698" s="418"/>
      <c r="AY698" s="418"/>
      <c r="AZ698" s="418"/>
      <c r="BA698" s="419"/>
      <c r="BB698" s="365"/>
      <c r="BC698" s="365"/>
      <c r="BD698" s="204"/>
      <c r="BE698" s="204"/>
      <c r="BF698" s="365"/>
      <c r="BG698" s="365"/>
      <c r="BH698" s="416"/>
      <c r="BI698" s="416"/>
      <c r="BJ698" s="420"/>
      <c r="BK698" s="420"/>
      <c r="BL698" s="416"/>
      <c r="BM698" s="416"/>
      <c r="BN698" s="416"/>
      <c r="BO698" s="365"/>
      <c r="BP698" s="204"/>
      <c r="BQ698" s="204"/>
      <c r="BR698" s="365"/>
      <c r="BS698" s="365"/>
      <c r="BT698" s="365"/>
      <c r="BU698" s="365"/>
      <c r="BV698" s="204"/>
      <c r="BW698" s="204"/>
      <c r="BX698" s="365"/>
      <c r="BY698" s="365"/>
      <c r="BZ698" s="365"/>
      <c r="CA698" s="365"/>
      <c r="CB698" s="204"/>
      <c r="CC698" s="204"/>
      <c r="CD698" s="365"/>
      <c r="CE698" s="365"/>
    </row>
    <row r="699" spans="1:83" x14ac:dyDescent="0.5">
      <c r="A699" s="259">
        <v>18025700</v>
      </c>
      <c r="B699" s="104">
        <v>18020106</v>
      </c>
      <c r="C699" s="105" t="s">
        <v>1424</v>
      </c>
      <c r="D699" s="106" t="s">
        <v>184</v>
      </c>
      <c r="E699" s="107" t="s">
        <v>185</v>
      </c>
      <c r="F699" s="108" t="s">
        <v>1415</v>
      </c>
      <c r="G699" s="211">
        <v>43147</v>
      </c>
      <c r="H699" s="164">
        <v>18063</v>
      </c>
      <c r="I699" s="127" t="s">
        <v>869</v>
      </c>
      <c r="J699" s="122">
        <v>43147</v>
      </c>
      <c r="K699" s="547" t="s">
        <v>15</v>
      </c>
      <c r="L699" s="548" t="s">
        <v>474</v>
      </c>
      <c r="M699" s="104" t="s">
        <v>51</v>
      </c>
      <c r="N699" s="260">
        <v>237960</v>
      </c>
      <c r="O699" s="260">
        <v>16657.2</v>
      </c>
      <c r="P699" s="260">
        <f>SUM(N699:O699)</f>
        <v>254617.2</v>
      </c>
      <c r="Q699" s="311"/>
      <c r="R699" s="113"/>
      <c r="S699" s="114"/>
      <c r="T699" s="115"/>
      <c r="U699" s="550"/>
      <c r="V699" s="551"/>
      <c r="W699" s="552"/>
      <c r="X699" s="552"/>
      <c r="Y699" s="553"/>
      <c r="Z699" s="120"/>
      <c r="AA699" s="123">
        <v>18020062</v>
      </c>
      <c r="AB699" s="124">
        <v>237960</v>
      </c>
      <c r="AC699" s="261">
        <f t="shared" si="116"/>
        <v>16657.2</v>
      </c>
      <c r="AD699" s="261">
        <f t="shared" si="117"/>
        <v>254617.2</v>
      </c>
      <c r="AE699" s="126">
        <v>43195</v>
      </c>
      <c r="AF699" s="127" t="s">
        <v>869</v>
      </c>
      <c r="AG699" s="127"/>
      <c r="AH699" s="127"/>
      <c r="AI699" s="103" t="s">
        <v>933</v>
      </c>
      <c r="AJ699" s="128">
        <v>1</v>
      </c>
      <c r="AK699" s="129" t="s">
        <v>799</v>
      </c>
      <c r="AL699" s="130"/>
      <c r="AM699" s="130" t="s">
        <v>1205</v>
      </c>
      <c r="AN699" s="131">
        <v>2</v>
      </c>
      <c r="AO699" s="132" t="s">
        <v>633</v>
      </c>
      <c r="AP699" s="128">
        <v>2</v>
      </c>
      <c r="AQ699" s="123" t="s">
        <v>884</v>
      </c>
      <c r="AR699" s="392" t="s">
        <v>1205</v>
      </c>
      <c r="AS699" s="131"/>
      <c r="AT699" s="131">
        <v>2</v>
      </c>
      <c r="AU699" s="169" t="s">
        <v>633</v>
      </c>
      <c r="AV699" s="128"/>
      <c r="AW699" s="133"/>
      <c r="AX699" s="128"/>
      <c r="AY699" s="128"/>
      <c r="AZ699" s="128"/>
      <c r="BA699" s="133"/>
      <c r="BB699" s="128"/>
      <c r="BC699" s="133"/>
      <c r="BD699" s="128"/>
      <c r="BE699" s="128"/>
      <c r="BF699" s="128"/>
      <c r="BG699" s="133"/>
      <c r="BH699" s="128"/>
      <c r="BI699" s="133"/>
      <c r="BJ699" s="128"/>
      <c r="BK699" s="128"/>
      <c r="BL699" s="128"/>
      <c r="BM699" s="128"/>
      <c r="BN699" s="128"/>
      <c r="BO699" s="133"/>
      <c r="BP699" s="128"/>
      <c r="BQ699" s="128"/>
      <c r="BR699" s="128"/>
      <c r="BS699" s="128"/>
      <c r="BT699" s="128"/>
      <c r="BU699" s="133"/>
      <c r="BV699" s="128"/>
      <c r="BW699" s="128"/>
      <c r="BX699" s="128"/>
      <c r="BY699" s="128"/>
      <c r="BZ699" s="128"/>
      <c r="CA699" s="133"/>
      <c r="CB699" s="128"/>
      <c r="CC699" s="128"/>
      <c r="CD699" s="128"/>
      <c r="CE699" s="128"/>
    </row>
    <row r="700" spans="1:83" x14ac:dyDescent="0.5">
      <c r="A700" s="268"/>
      <c r="B700" s="181"/>
      <c r="C700" s="182"/>
      <c r="D700" s="183"/>
      <c r="E700" s="184"/>
      <c r="F700" s="185"/>
      <c r="G700" s="186">
        <v>43174</v>
      </c>
      <c r="H700" s="187">
        <v>18105</v>
      </c>
      <c r="I700" s="199"/>
      <c r="J700" s="186"/>
      <c r="K700" s="240"/>
      <c r="L700" s="558"/>
      <c r="M700" s="181"/>
      <c r="N700" s="237"/>
      <c r="O700" s="237"/>
      <c r="P700" s="237"/>
      <c r="Q700" s="190"/>
      <c r="R700" s="215"/>
      <c r="S700" s="216"/>
      <c r="T700" s="217"/>
      <c r="U700" s="544"/>
      <c r="V700" s="560"/>
      <c r="W700" s="561"/>
      <c r="X700" s="561"/>
      <c r="Y700" s="562"/>
      <c r="Z700" s="198"/>
      <c r="AA700" s="200"/>
      <c r="AB700" s="201"/>
      <c r="AC700" s="238"/>
      <c r="AD700" s="238"/>
      <c r="AE700" s="203"/>
      <c r="AF700" s="199"/>
      <c r="AG700" s="199"/>
      <c r="AH700" s="199"/>
      <c r="AI700" s="180"/>
      <c r="AJ700" s="204"/>
      <c r="AK700" s="205"/>
      <c r="AL700" s="206"/>
      <c r="AM700" s="206"/>
      <c r="AN700" s="207"/>
      <c r="AO700" s="208"/>
      <c r="AP700" s="204"/>
      <c r="AQ700" s="200"/>
      <c r="AR700" s="454"/>
      <c r="AS700" s="207"/>
      <c r="AT700" s="207"/>
      <c r="AU700" s="209"/>
      <c r="AV700" s="204"/>
      <c r="AW700" s="210"/>
      <c r="AX700" s="204"/>
      <c r="AY700" s="204"/>
      <c r="AZ700" s="204"/>
      <c r="BA700" s="210"/>
      <c r="BB700" s="204"/>
      <c r="BC700" s="210"/>
      <c r="BD700" s="204"/>
      <c r="BE700" s="204"/>
      <c r="BF700" s="204"/>
      <c r="BG700" s="210"/>
      <c r="BH700" s="204"/>
      <c r="BI700" s="210"/>
      <c r="BJ700" s="204"/>
      <c r="BK700" s="204"/>
      <c r="BL700" s="204"/>
      <c r="BM700" s="204"/>
      <c r="BN700" s="204"/>
      <c r="BO700" s="210"/>
      <c r="BP700" s="204"/>
      <c r="BQ700" s="204"/>
      <c r="BR700" s="204"/>
      <c r="BS700" s="204"/>
      <c r="BT700" s="204"/>
      <c r="BU700" s="210"/>
      <c r="BV700" s="204"/>
      <c r="BW700" s="204"/>
      <c r="BX700" s="204"/>
      <c r="BY700" s="204"/>
      <c r="BZ700" s="204"/>
      <c r="CA700" s="210"/>
      <c r="CB700" s="204"/>
      <c r="CC700" s="204"/>
      <c r="CD700" s="204"/>
      <c r="CE700" s="204"/>
    </row>
    <row r="701" spans="1:83" x14ac:dyDescent="0.5">
      <c r="A701" s="227">
        <v>18025699</v>
      </c>
      <c r="B701" s="22">
        <v>18020104</v>
      </c>
      <c r="C701" s="23" t="s">
        <v>1425</v>
      </c>
      <c r="D701" s="24" t="s">
        <v>184</v>
      </c>
      <c r="E701" s="25" t="s">
        <v>185</v>
      </c>
      <c r="F701" s="26" t="s">
        <v>1416</v>
      </c>
      <c r="G701" s="62">
        <v>43147</v>
      </c>
      <c r="H701" s="27">
        <v>18062</v>
      </c>
      <c r="I701" s="39" t="s">
        <v>869</v>
      </c>
      <c r="J701" s="62">
        <v>43147</v>
      </c>
      <c r="K701" s="42" t="s">
        <v>15</v>
      </c>
      <c r="L701" s="520" t="s">
        <v>475</v>
      </c>
      <c r="M701" s="22" t="s">
        <v>51</v>
      </c>
      <c r="N701" s="63">
        <v>134300</v>
      </c>
      <c r="O701" s="63">
        <v>9401</v>
      </c>
      <c r="P701" s="63">
        <f>SUM(N701:O701)</f>
        <v>143701</v>
      </c>
      <c r="AA701" s="40">
        <v>18020061</v>
      </c>
      <c r="AB701" s="41">
        <v>134300</v>
      </c>
      <c r="AC701" s="64">
        <f t="shared" si="116"/>
        <v>9401</v>
      </c>
      <c r="AD701" s="64">
        <f t="shared" si="117"/>
        <v>143701</v>
      </c>
      <c r="AE701" s="53">
        <v>43195</v>
      </c>
      <c r="AF701" s="39" t="s">
        <v>869</v>
      </c>
      <c r="AI701" s="21" t="s">
        <v>933</v>
      </c>
      <c r="AJ701" s="44">
        <v>1</v>
      </c>
      <c r="AK701" s="45" t="s">
        <v>798</v>
      </c>
      <c r="AM701" s="46" t="s">
        <v>1205</v>
      </c>
      <c r="AN701" s="47">
        <v>1</v>
      </c>
      <c r="AO701" s="48" t="s">
        <v>633</v>
      </c>
      <c r="AQ701" s="54"/>
      <c r="AR701" s="44"/>
      <c r="AS701" s="44"/>
      <c r="AT701" s="44"/>
      <c r="AU701" s="54"/>
      <c r="AW701" s="54"/>
      <c r="AX701" s="44"/>
      <c r="AY701" s="44"/>
      <c r="AZ701" s="44"/>
      <c r="BA701" s="54"/>
      <c r="BC701" s="54"/>
      <c r="BD701" s="44"/>
      <c r="BE701" s="44"/>
      <c r="BF701" s="44"/>
      <c r="BG701" s="54"/>
      <c r="BI701" s="54"/>
      <c r="BJ701" s="44"/>
      <c r="BK701" s="44"/>
      <c r="BL701" s="44"/>
      <c r="BM701" s="44"/>
      <c r="BO701" s="54"/>
      <c r="BP701" s="44"/>
      <c r="BQ701" s="44"/>
      <c r="BR701" s="44"/>
      <c r="BS701" s="44"/>
      <c r="BU701" s="54"/>
      <c r="BV701" s="44"/>
      <c r="BW701" s="44"/>
      <c r="BX701" s="44"/>
      <c r="BY701" s="44"/>
      <c r="CA701" s="54"/>
      <c r="CB701" s="44"/>
      <c r="CC701" s="44"/>
      <c r="CD701" s="44"/>
      <c r="CE701" s="44"/>
    </row>
    <row r="702" spans="1:83" x14ac:dyDescent="0.5">
      <c r="B702" s="22" t="s">
        <v>402</v>
      </c>
      <c r="C702" s="23" t="s">
        <v>1426</v>
      </c>
      <c r="D702" s="24" t="s">
        <v>184</v>
      </c>
      <c r="J702" s="62"/>
      <c r="K702" s="42" t="s">
        <v>1714</v>
      </c>
      <c r="L702" s="520" t="s">
        <v>160</v>
      </c>
      <c r="AJ702" s="44">
        <v>1</v>
      </c>
      <c r="AP702" s="44">
        <v>2</v>
      </c>
      <c r="AV702" s="44">
        <v>3</v>
      </c>
      <c r="BB702" s="44">
        <v>4</v>
      </c>
      <c r="BH702" s="44">
        <v>5</v>
      </c>
      <c r="BN702" s="44">
        <v>6</v>
      </c>
      <c r="BT702" s="44">
        <v>7</v>
      </c>
      <c r="BZ702" s="44">
        <v>8</v>
      </c>
    </row>
    <row r="703" spans="1:83" s="95" customFormat="1" x14ac:dyDescent="0.5">
      <c r="A703" s="65">
        <v>18015698</v>
      </c>
      <c r="B703" s="66">
        <v>18010092</v>
      </c>
      <c r="C703" s="67" t="s">
        <v>1420</v>
      </c>
      <c r="D703" s="24" t="s">
        <v>184</v>
      </c>
      <c r="E703" s="69"/>
      <c r="F703" s="70"/>
      <c r="G703" s="66"/>
      <c r="H703" s="71"/>
      <c r="I703" s="83"/>
      <c r="J703" s="66"/>
      <c r="K703" s="86" t="s">
        <v>471</v>
      </c>
      <c r="L703" s="589" t="s">
        <v>160</v>
      </c>
      <c r="M703" s="66" t="s">
        <v>51</v>
      </c>
      <c r="N703" s="590"/>
      <c r="O703" s="590"/>
      <c r="P703" s="590"/>
      <c r="Q703" s="74"/>
      <c r="R703" s="75"/>
      <c r="S703" s="76"/>
      <c r="T703" s="77"/>
      <c r="U703" s="591"/>
      <c r="V703" s="592"/>
      <c r="W703" s="593"/>
      <c r="X703" s="593"/>
      <c r="Y703" s="594"/>
      <c r="Z703" s="82"/>
      <c r="AA703" s="84"/>
      <c r="AB703" s="85"/>
      <c r="AC703" s="86"/>
      <c r="AD703" s="86"/>
      <c r="AE703" s="87"/>
      <c r="AF703" s="83"/>
      <c r="AG703" s="83"/>
      <c r="AH703" s="83"/>
      <c r="AI703" s="65"/>
      <c r="AJ703" s="44">
        <v>1</v>
      </c>
      <c r="AK703" s="45"/>
      <c r="AL703" s="46"/>
      <c r="AM703" s="46"/>
      <c r="AN703" s="47"/>
      <c r="AO703" s="48"/>
      <c r="AP703" s="44">
        <v>2</v>
      </c>
      <c r="AQ703" s="40"/>
      <c r="AR703" s="47"/>
      <c r="AS703" s="47"/>
      <c r="AT703" s="47"/>
      <c r="AU703" s="49"/>
      <c r="AV703" s="44">
        <v>3</v>
      </c>
      <c r="AW703" s="40"/>
      <c r="AX703" s="47"/>
      <c r="AY703" s="47"/>
      <c r="AZ703" s="47"/>
      <c r="BA703" s="49"/>
      <c r="BB703" s="44">
        <v>4</v>
      </c>
      <c r="BC703" s="40"/>
      <c r="BD703" s="47"/>
      <c r="BE703" s="47"/>
      <c r="BF703" s="47"/>
      <c r="BG703" s="49"/>
      <c r="BH703" s="44">
        <v>5</v>
      </c>
      <c r="BI703" s="40"/>
      <c r="BJ703" s="47"/>
      <c r="BK703" s="47"/>
      <c r="BL703" s="47"/>
      <c r="BM703" s="50"/>
      <c r="BN703" s="44">
        <v>6</v>
      </c>
      <c r="BO703" s="40"/>
      <c r="BP703" s="47"/>
      <c r="BQ703" s="47"/>
      <c r="BR703" s="47"/>
      <c r="BS703" s="50"/>
      <c r="BT703" s="44">
        <v>7</v>
      </c>
      <c r="BU703" s="40"/>
      <c r="BV703" s="47"/>
      <c r="BW703" s="47"/>
      <c r="BX703" s="47"/>
      <c r="BY703" s="50"/>
      <c r="BZ703" s="44">
        <v>8</v>
      </c>
      <c r="CA703" s="40"/>
      <c r="CB703" s="47"/>
      <c r="CC703" s="47"/>
      <c r="CD703" s="47"/>
      <c r="CE703" s="50"/>
    </row>
    <row r="704" spans="1:83" x14ac:dyDescent="0.5">
      <c r="A704" s="227">
        <v>18015697</v>
      </c>
      <c r="B704" s="22">
        <v>18010097</v>
      </c>
      <c r="C704" s="23" t="s">
        <v>1427</v>
      </c>
      <c r="D704" s="24" t="s">
        <v>184</v>
      </c>
      <c r="E704" s="25" t="s">
        <v>185</v>
      </c>
      <c r="F704" s="26" t="s">
        <v>1410</v>
      </c>
      <c r="G704" s="62">
        <v>43152</v>
      </c>
      <c r="H704" s="27">
        <v>18069</v>
      </c>
      <c r="I704" s="39" t="s">
        <v>869</v>
      </c>
      <c r="J704" s="62">
        <v>43144</v>
      </c>
      <c r="K704" s="42" t="s">
        <v>10</v>
      </c>
      <c r="L704" s="520" t="s">
        <v>476</v>
      </c>
      <c r="M704" s="22" t="s">
        <v>51</v>
      </c>
      <c r="N704" s="63">
        <v>170000</v>
      </c>
      <c r="O704" s="63">
        <v>11900</v>
      </c>
      <c r="P704" s="63">
        <f t="shared" ref="P704:P712" si="118">SUM(N704:O704)</f>
        <v>181900</v>
      </c>
      <c r="AA704" s="40">
        <v>18020067</v>
      </c>
      <c r="AB704" s="41">
        <v>170000</v>
      </c>
      <c r="AC704" s="64">
        <f>AB704*7/100</f>
        <v>11900</v>
      </c>
      <c r="AD704" s="64">
        <f>AB704+AC704</f>
        <v>181900</v>
      </c>
      <c r="AE704" s="53">
        <v>43197</v>
      </c>
      <c r="AF704" s="39" t="s">
        <v>869</v>
      </c>
      <c r="AI704" s="21" t="s">
        <v>920</v>
      </c>
      <c r="AJ704" s="44">
        <v>1</v>
      </c>
      <c r="AK704" s="45" t="s">
        <v>889</v>
      </c>
      <c r="AL704" s="46" t="s">
        <v>1205</v>
      </c>
      <c r="AN704" s="47">
        <v>2</v>
      </c>
      <c r="AO704" s="48" t="s">
        <v>635</v>
      </c>
      <c r="AQ704" s="54"/>
      <c r="AR704" s="44"/>
      <c r="AS704" s="44"/>
      <c r="AT704" s="44"/>
      <c r="AU704" s="54"/>
      <c r="AW704" s="54"/>
      <c r="AX704" s="44"/>
      <c r="AY704" s="44"/>
      <c r="AZ704" s="44"/>
      <c r="BA704" s="54"/>
      <c r="BC704" s="54"/>
      <c r="BD704" s="44"/>
      <c r="BE704" s="44"/>
      <c r="BF704" s="44"/>
      <c r="BG704" s="54"/>
      <c r="BI704" s="54"/>
      <c r="BJ704" s="44"/>
      <c r="BK704" s="44"/>
      <c r="BL704" s="44"/>
      <c r="BM704" s="44"/>
      <c r="BO704" s="54"/>
      <c r="BP704" s="44"/>
      <c r="BQ704" s="44"/>
      <c r="BR704" s="44"/>
      <c r="BS704" s="44"/>
      <c r="BU704" s="54"/>
      <c r="BV704" s="44"/>
      <c r="BW704" s="44"/>
      <c r="BX704" s="44"/>
      <c r="BY704" s="44"/>
      <c r="CA704" s="54"/>
      <c r="CB704" s="44"/>
      <c r="CC704" s="44"/>
      <c r="CD704" s="44"/>
      <c r="CE704" s="44"/>
    </row>
    <row r="705" spans="1:83" x14ac:dyDescent="0.5">
      <c r="A705" s="227">
        <v>18015696</v>
      </c>
      <c r="B705" s="22">
        <v>18010075</v>
      </c>
      <c r="C705" s="23" t="s">
        <v>1428</v>
      </c>
      <c r="D705" s="24" t="s">
        <v>184</v>
      </c>
      <c r="E705" s="25" t="s">
        <v>185</v>
      </c>
      <c r="F705" s="26" t="s">
        <v>1423</v>
      </c>
      <c r="G705" s="62">
        <v>43150</v>
      </c>
      <c r="H705" s="27">
        <v>18068</v>
      </c>
      <c r="I705" s="39" t="s">
        <v>869</v>
      </c>
      <c r="J705" s="62">
        <v>43151</v>
      </c>
      <c r="K705" s="42" t="s">
        <v>304</v>
      </c>
      <c r="L705" s="520" t="s">
        <v>477</v>
      </c>
      <c r="M705" s="22" t="s">
        <v>50</v>
      </c>
      <c r="N705" s="63">
        <v>66950</v>
      </c>
      <c r="O705" s="63">
        <v>4686.5</v>
      </c>
      <c r="P705" s="63">
        <f t="shared" si="118"/>
        <v>71636.5</v>
      </c>
      <c r="U705" s="516">
        <v>127</v>
      </c>
      <c r="X705" s="518">
        <v>280</v>
      </c>
      <c r="AA705" s="40">
        <v>18020077</v>
      </c>
      <c r="AB705" s="41">
        <v>66950</v>
      </c>
      <c r="AC705" s="64">
        <f>AB705*7/100</f>
        <v>4686.5</v>
      </c>
      <c r="AD705" s="64">
        <f>AB705+AC705</f>
        <v>71636.5</v>
      </c>
      <c r="AE705" s="53">
        <v>43189</v>
      </c>
      <c r="AF705" s="39" t="s">
        <v>869</v>
      </c>
      <c r="AI705" s="21" t="s">
        <v>1002</v>
      </c>
      <c r="AJ705" s="44">
        <v>1</v>
      </c>
      <c r="AK705" s="45" t="s">
        <v>879</v>
      </c>
      <c r="AM705" s="46" t="s">
        <v>1205</v>
      </c>
      <c r="AN705" s="47">
        <v>1</v>
      </c>
      <c r="AO705" s="48" t="s">
        <v>634</v>
      </c>
      <c r="AP705" s="44">
        <v>2</v>
      </c>
      <c r="AQ705" s="40" t="s">
        <v>880</v>
      </c>
      <c r="AS705" s="46" t="s">
        <v>1205</v>
      </c>
      <c r="AT705" s="47">
        <v>1</v>
      </c>
      <c r="AU705" s="49" t="s">
        <v>636</v>
      </c>
      <c r="AW705" s="54"/>
      <c r="AX705" s="44"/>
      <c r="AY705" s="44"/>
      <c r="AZ705" s="44"/>
      <c r="BA705" s="54"/>
      <c r="BC705" s="54"/>
      <c r="BD705" s="44"/>
      <c r="BE705" s="44"/>
      <c r="BF705" s="44"/>
      <c r="BG705" s="54"/>
      <c r="BI705" s="54"/>
      <c r="BJ705" s="44"/>
      <c r="BK705" s="44"/>
      <c r="BL705" s="44"/>
      <c r="BM705" s="44"/>
      <c r="BO705" s="54"/>
      <c r="BP705" s="44"/>
      <c r="BQ705" s="44"/>
      <c r="BR705" s="44"/>
      <c r="BS705" s="44"/>
      <c r="BU705" s="54"/>
      <c r="BV705" s="44"/>
      <c r="BW705" s="44"/>
      <c r="BX705" s="44"/>
      <c r="BY705" s="44"/>
      <c r="CA705" s="54"/>
      <c r="CB705" s="44"/>
      <c r="CC705" s="44"/>
      <c r="CD705" s="44"/>
      <c r="CE705" s="44"/>
    </row>
    <row r="706" spans="1:83" x14ac:dyDescent="0.5">
      <c r="A706" s="259">
        <v>18015695</v>
      </c>
      <c r="B706" s="104" t="s">
        <v>367</v>
      </c>
      <c r="C706" s="105" t="s">
        <v>1431</v>
      </c>
      <c r="D706" s="106" t="s">
        <v>184</v>
      </c>
      <c r="E706" s="107" t="s">
        <v>185</v>
      </c>
      <c r="F706" s="108">
        <v>149</v>
      </c>
      <c r="G706" s="211">
        <v>43285</v>
      </c>
      <c r="H706" s="164">
        <v>18220</v>
      </c>
      <c r="I706" s="127" t="s">
        <v>869</v>
      </c>
      <c r="J706" s="122">
        <v>43286</v>
      </c>
      <c r="K706" s="547" t="s">
        <v>319</v>
      </c>
      <c r="L706" s="548" t="s">
        <v>368</v>
      </c>
      <c r="M706" s="104" t="s">
        <v>52</v>
      </c>
      <c r="N706" s="260">
        <v>93457.94</v>
      </c>
      <c r="O706" s="260">
        <v>6542.06</v>
      </c>
      <c r="P706" s="260">
        <f t="shared" si="118"/>
        <v>100000</v>
      </c>
      <c r="Q706" s="311"/>
      <c r="R706" s="113"/>
      <c r="S706" s="114"/>
      <c r="T706" s="115"/>
      <c r="U706" s="550"/>
      <c r="V706" s="551"/>
      <c r="W706" s="552"/>
      <c r="X706" s="552"/>
      <c r="Y706" s="553"/>
      <c r="Z706" s="120"/>
      <c r="AA706" s="123">
        <v>18070273</v>
      </c>
      <c r="AB706" s="124">
        <v>93457.94</v>
      </c>
      <c r="AC706" s="261">
        <f>AB706*7/100</f>
        <v>6542.055800000001</v>
      </c>
      <c r="AD706" s="261">
        <f>AB706+AC706</f>
        <v>99999.995800000004</v>
      </c>
      <c r="AE706" s="126">
        <v>43323</v>
      </c>
      <c r="AF706" s="127" t="s">
        <v>869</v>
      </c>
      <c r="AG706" s="127"/>
      <c r="AH706" s="127"/>
      <c r="AI706" s="103" t="s">
        <v>1064</v>
      </c>
      <c r="AJ706" s="128">
        <v>1</v>
      </c>
      <c r="AK706" s="129" t="s">
        <v>593</v>
      </c>
      <c r="AL706" s="130"/>
      <c r="AM706" s="130" t="s">
        <v>1205</v>
      </c>
      <c r="AN706" s="131">
        <v>4</v>
      </c>
      <c r="AO706" s="132" t="s">
        <v>634</v>
      </c>
      <c r="AP706" s="361"/>
      <c r="AQ706" s="361"/>
      <c r="AR706" s="128"/>
      <c r="AS706" s="128"/>
      <c r="AT706" s="361"/>
      <c r="AU706" s="133"/>
      <c r="AV706" s="361"/>
      <c r="AW706" s="361"/>
      <c r="AX706" s="128"/>
      <c r="AY706" s="128"/>
      <c r="AZ706" s="361"/>
      <c r="BA706" s="133"/>
      <c r="BB706" s="361"/>
      <c r="BC706" s="361"/>
      <c r="BD706" s="128"/>
      <c r="BE706" s="128"/>
      <c r="BF706" s="361"/>
      <c r="BG706" s="133"/>
      <c r="BH706" s="361"/>
      <c r="BI706" s="361"/>
      <c r="BJ706" s="128"/>
      <c r="BK706" s="128"/>
      <c r="BL706" s="361"/>
      <c r="BM706" s="361"/>
      <c r="BN706" s="361"/>
      <c r="BO706" s="361"/>
      <c r="BP706" s="128"/>
      <c r="BQ706" s="128"/>
      <c r="BR706" s="361"/>
      <c r="BS706" s="361"/>
      <c r="BT706" s="361"/>
      <c r="BU706" s="361"/>
      <c r="BV706" s="128"/>
      <c r="BW706" s="128"/>
      <c r="BX706" s="361"/>
      <c r="BY706" s="361"/>
      <c r="BZ706" s="361"/>
      <c r="CA706" s="128"/>
      <c r="CB706" s="128"/>
      <c r="CC706" s="128"/>
      <c r="CD706" s="128"/>
      <c r="CE706" s="128"/>
    </row>
    <row r="707" spans="1:83" x14ac:dyDescent="0.5">
      <c r="A707" s="268"/>
      <c r="B707" s="181"/>
      <c r="C707" s="182"/>
      <c r="D707" s="183"/>
      <c r="E707" s="184"/>
      <c r="F707" s="185"/>
      <c r="G707" s="186">
        <v>43285</v>
      </c>
      <c r="H707" s="187">
        <v>18221</v>
      </c>
      <c r="I707" s="199"/>
      <c r="J707" s="186"/>
      <c r="K707" s="240"/>
      <c r="L707" s="558"/>
      <c r="M707" s="181"/>
      <c r="N707" s="237"/>
      <c r="O707" s="237"/>
      <c r="P707" s="237"/>
      <c r="Q707" s="190"/>
      <c r="R707" s="215"/>
      <c r="S707" s="216"/>
      <c r="T707" s="217"/>
      <c r="U707" s="544"/>
      <c r="V707" s="560"/>
      <c r="W707" s="561"/>
      <c r="X707" s="561"/>
      <c r="Y707" s="562"/>
      <c r="Z707" s="198"/>
      <c r="AA707" s="200"/>
      <c r="AB707" s="201"/>
      <c r="AC707" s="238"/>
      <c r="AD707" s="238"/>
      <c r="AE707" s="203"/>
      <c r="AF707" s="199"/>
      <c r="AG707" s="199"/>
      <c r="AH707" s="199"/>
      <c r="AI707" s="180"/>
      <c r="AJ707" s="204"/>
      <c r="AK707" s="205"/>
      <c r="AL707" s="206"/>
      <c r="AM707" s="206"/>
      <c r="AN707" s="207"/>
      <c r="AO707" s="208"/>
      <c r="AP707" s="365"/>
      <c r="AQ707" s="365"/>
      <c r="AR707" s="204"/>
      <c r="AS707" s="204"/>
      <c r="AT707" s="365"/>
      <c r="AU707" s="210"/>
      <c r="AV707" s="365"/>
      <c r="AW707" s="365"/>
      <c r="AX707" s="204"/>
      <c r="AY707" s="204"/>
      <c r="AZ707" s="365"/>
      <c r="BA707" s="210"/>
      <c r="BB707" s="365"/>
      <c r="BC707" s="365"/>
      <c r="BD707" s="204"/>
      <c r="BE707" s="204"/>
      <c r="BF707" s="365"/>
      <c r="BG707" s="210"/>
      <c r="BH707" s="365"/>
      <c r="BI707" s="365"/>
      <c r="BJ707" s="204"/>
      <c r="BK707" s="204"/>
      <c r="BL707" s="365"/>
      <c r="BM707" s="365"/>
      <c r="BN707" s="365"/>
      <c r="BO707" s="365"/>
      <c r="BP707" s="204"/>
      <c r="BQ707" s="204"/>
      <c r="BR707" s="365"/>
      <c r="BS707" s="365"/>
      <c r="BT707" s="365"/>
      <c r="BU707" s="365"/>
      <c r="BV707" s="204"/>
      <c r="BW707" s="204"/>
      <c r="BX707" s="365"/>
      <c r="BY707" s="365"/>
      <c r="BZ707" s="365"/>
      <c r="CA707" s="204"/>
      <c r="CB707" s="204"/>
      <c r="CC707" s="204"/>
      <c r="CD707" s="204"/>
      <c r="CE707" s="204"/>
    </row>
    <row r="708" spans="1:83" x14ac:dyDescent="0.5">
      <c r="A708" s="259">
        <v>18015694</v>
      </c>
      <c r="B708" s="104" t="s">
        <v>364</v>
      </c>
      <c r="C708" s="105" t="s">
        <v>1432</v>
      </c>
      <c r="D708" s="106" t="s">
        <v>184</v>
      </c>
      <c r="E708" s="107" t="s">
        <v>185</v>
      </c>
      <c r="F708" s="108">
        <v>148</v>
      </c>
      <c r="G708" s="211">
        <v>43285</v>
      </c>
      <c r="H708" s="164">
        <v>18222</v>
      </c>
      <c r="I708" s="127" t="s">
        <v>869</v>
      </c>
      <c r="J708" s="122">
        <v>43286</v>
      </c>
      <c r="K708" s="547" t="s">
        <v>365</v>
      </c>
      <c r="L708" s="548" t="s">
        <v>366</v>
      </c>
      <c r="M708" s="104" t="s">
        <v>52</v>
      </c>
      <c r="N708" s="260">
        <v>93457.94</v>
      </c>
      <c r="O708" s="260">
        <v>6542.06</v>
      </c>
      <c r="P708" s="260">
        <f t="shared" si="118"/>
        <v>100000</v>
      </c>
      <c r="Q708" s="311"/>
      <c r="R708" s="113"/>
      <c r="S708" s="114"/>
      <c r="T708" s="115"/>
      <c r="U708" s="550"/>
      <c r="V708" s="551"/>
      <c r="W708" s="552"/>
      <c r="X708" s="552"/>
      <c r="Y708" s="553"/>
      <c r="Z708" s="120"/>
      <c r="AA708" s="123">
        <v>18070274</v>
      </c>
      <c r="AB708" s="124">
        <v>93457.94</v>
      </c>
      <c r="AC708" s="261">
        <f>AB708*7/100</f>
        <v>6542.055800000001</v>
      </c>
      <c r="AD708" s="261">
        <f>AB708+AC708</f>
        <v>99999.995800000004</v>
      </c>
      <c r="AE708" s="126">
        <v>43323</v>
      </c>
      <c r="AF708" s="127" t="s">
        <v>869</v>
      </c>
      <c r="AG708" s="127"/>
      <c r="AH708" s="127"/>
      <c r="AI708" s="103" t="s">
        <v>1064</v>
      </c>
      <c r="AJ708" s="128">
        <v>1</v>
      </c>
      <c r="AK708" s="129" t="s">
        <v>593</v>
      </c>
      <c r="AL708" s="130"/>
      <c r="AM708" s="130" t="s">
        <v>1205</v>
      </c>
      <c r="AN708" s="131">
        <v>4</v>
      </c>
      <c r="AO708" s="132" t="s">
        <v>634</v>
      </c>
      <c r="AP708" s="361"/>
      <c r="AQ708" s="361"/>
      <c r="AR708" s="128"/>
      <c r="AS708" s="128"/>
      <c r="AT708" s="361"/>
      <c r="AU708" s="133"/>
      <c r="AV708" s="361"/>
      <c r="AW708" s="361"/>
      <c r="AX708" s="128"/>
      <c r="AY708" s="128"/>
      <c r="AZ708" s="361"/>
      <c r="BA708" s="133"/>
      <c r="BB708" s="361"/>
      <c r="BC708" s="361"/>
      <c r="BD708" s="128"/>
      <c r="BE708" s="128"/>
      <c r="BF708" s="361"/>
      <c r="BG708" s="133"/>
      <c r="BH708" s="361"/>
      <c r="BI708" s="361"/>
      <c r="BJ708" s="128"/>
      <c r="BK708" s="128"/>
      <c r="BL708" s="361"/>
      <c r="BM708" s="361"/>
      <c r="BN708" s="361"/>
      <c r="BO708" s="361"/>
      <c r="BP708" s="128"/>
      <c r="BQ708" s="128"/>
      <c r="BR708" s="361"/>
      <c r="BS708" s="361"/>
      <c r="BT708" s="361"/>
      <c r="BU708" s="361"/>
      <c r="BV708" s="128"/>
      <c r="BW708" s="128"/>
      <c r="BX708" s="361"/>
      <c r="BY708" s="361"/>
      <c r="BZ708" s="361"/>
      <c r="CA708" s="128"/>
      <c r="CB708" s="128"/>
      <c r="CC708" s="128"/>
      <c r="CD708" s="128"/>
      <c r="CE708" s="128"/>
    </row>
    <row r="709" spans="1:83" x14ac:dyDescent="0.5">
      <c r="A709" s="262"/>
      <c r="B709" s="135"/>
      <c r="C709" s="136"/>
      <c r="D709" s="137"/>
      <c r="E709" s="138"/>
      <c r="F709" s="139"/>
      <c r="G709" s="179">
        <v>43285</v>
      </c>
      <c r="H709" s="140">
        <v>18223</v>
      </c>
      <c r="I709" s="152"/>
      <c r="J709" s="179"/>
      <c r="K709" s="255"/>
      <c r="L709" s="300"/>
      <c r="M709" s="135"/>
      <c r="N709" s="253"/>
      <c r="O709" s="253"/>
      <c r="P709" s="253"/>
      <c r="Q709" s="143"/>
      <c r="R709" s="144"/>
      <c r="S709" s="145"/>
      <c r="T709" s="146"/>
      <c r="U709" s="529"/>
      <c r="V709" s="555"/>
      <c r="W709" s="556"/>
      <c r="X709" s="556"/>
      <c r="Y709" s="557"/>
      <c r="Z709" s="151"/>
      <c r="AA709" s="154"/>
      <c r="AB709" s="155"/>
      <c r="AC709" s="263"/>
      <c r="AD709" s="263"/>
      <c r="AE709" s="157"/>
      <c r="AF709" s="152"/>
      <c r="AG709" s="152"/>
      <c r="AH709" s="152"/>
      <c r="AI709" s="134"/>
      <c r="AJ709" s="158"/>
      <c r="AK709" s="159"/>
      <c r="AL709" s="160"/>
      <c r="AM709" s="160"/>
      <c r="AN709" s="161"/>
      <c r="AO709" s="162"/>
      <c r="AP709" s="458"/>
      <c r="AQ709" s="458"/>
      <c r="AR709" s="158"/>
      <c r="AS709" s="339"/>
      <c r="AT709" s="458"/>
      <c r="AU709" s="163"/>
      <c r="AV709" s="458"/>
      <c r="AW709" s="458"/>
      <c r="AX709" s="158"/>
      <c r="AY709" s="158"/>
      <c r="AZ709" s="458"/>
      <c r="BA709" s="163"/>
      <c r="BB709" s="458"/>
      <c r="BC709" s="458"/>
      <c r="BD709" s="158"/>
      <c r="BE709" s="158"/>
      <c r="BF709" s="458"/>
      <c r="BG709" s="163"/>
      <c r="BH709" s="458"/>
      <c r="BI709" s="458"/>
      <c r="BJ709" s="158"/>
      <c r="BK709" s="158"/>
      <c r="BL709" s="458"/>
      <c r="BM709" s="458"/>
      <c r="BN709" s="458"/>
      <c r="BO709" s="458"/>
      <c r="BP709" s="158"/>
      <c r="BQ709" s="158"/>
      <c r="BR709" s="458"/>
      <c r="BS709" s="458"/>
      <c r="BT709" s="458"/>
      <c r="BU709" s="458"/>
      <c r="BV709" s="158"/>
      <c r="BW709" s="158"/>
      <c r="BX709" s="458"/>
      <c r="BY709" s="458"/>
      <c r="BZ709" s="458"/>
      <c r="CA709" s="158"/>
      <c r="CB709" s="158"/>
      <c r="CC709" s="158"/>
      <c r="CD709" s="158"/>
      <c r="CE709" s="158"/>
    </row>
    <row r="710" spans="1:83" x14ac:dyDescent="0.5">
      <c r="A710" s="259">
        <v>18015693</v>
      </c>
      <c r="B710" s="104">
        <v>17121308</v>
      </c>
      <c r="C710" s="105" t="s">
        <v>1433</v>
      </c>
      <c r="D710" s="106" t="s">
        <v>184</v>
      </c>
      <c r="E710" s="107" t="s">
        <v>185</v>
      </c>
      <c r="F710" s="108" t="s">
        <v>1425</v>
      </c>
      <c r="G710" s="211">
        <v>43139</v>
      </c>
      <c r="H710" s="164">
        <v>18046</v>
      </c>
      <c r="I710" s="127" t="s">
        <v>869</v>
      </c>
      <c r="J710" s="122">
        <v>43140</v>
      </c>
      <c r="K710" s="547" t="s">
        <v>319</v>
      </c>
      <c r="L710" s="548" t="s">
        <v>478</v>
      </c>
      <c r="M710" s="104" t="s">
        <v>52</v>
      </c>
      <c r="N710" s="260">
        <v>86915.89</v>
      </c>
      <c r="O710" s="260">
        <v>6084.11</v>
      </c>
      <c r="P710" s="260">
        <f t="shared" si="118"/>
        <v>93000</v>
      </c>
      <c r="Q710" s="311"/>
      <c r="R710" s="113"/>
      <c r="S710" s="114"/>
      <c r="T710" s="115"/>
      <c r="U710" s="550">
        <v>145.83000000000001</v>
      </c>
      <c r="V710" s="551"/>
      <c r="W710" s="552"/>
      <c r="X710" s="552">
        <v>131.24</v>
      </c>
      <c r="Y710" s="553"/>
      <c r="Z710" s="120"/>
      <c r="AA710" s="123">
        <v>18020056</v>
      </c>
      <c r="AB710" s="124">
        <v>86915.89</v>
      </c>
      <c r="AC710" s="261">
        <f t="shared" ref="AC710:AC718" si="119">AB710*7/100</f>
        <v>6084.1122999999998</v>
      </c>
      <c r="AD710" s="261">
        <f t="shared" ref="AD710:AD718" si="120">AB710+AC710</f>
        <v>93000.002299999993</v>
      </c>
      <c r="AE710" s="126">
        <v>43176</v>
      </c>
      <c r="AF710" s="127" t="s">
        <v>869</v>
      </c>
      <c r="AG710" s="127"/>
      <c r="AH710" s="127"/>
      <c r="AI710" s="103" t="s">
        <v>902</v>
      </c>
      <c r="AJ710" s="128">
        <v>1</v>
      </c>
      <c r="AK710" s="129" t="s">
        <v>658</v>
      </c>
      <c r="AL710" s="130"/>
      <c r="AM710" s="130" t="s">
        <v>1205</v>
      </c>
      <c r="AN710" s="131">
        <v>1</v>
      </c>
      <c r="AO710" s="132" t="s">
        <v>634</v>
      </c>
      <c r="AP710" s="128">
        <v>2</v>
      </c>
      <c r="AQ710" s="123" t="s">
        <v>657</v>
      </c>
      <c r="AR710" s="131"/>
      <c r="AS710" s="130" t="s">
        <v>1205</v>
      </c>
      <c r="AT710" s="131">
        <v>1</v>
      </c>
      <c r="AU710" s="169" t="s">
        <v>634</v>
      </c>
      <c r="AV710" s="128"/>
      <c r="AW710" s="133"/>
      <c r="AX710" s="128"/>
      <c r="AY710" s="128"/>
      <c r="AZ710" s="128"/>
      <c r="BA710" s="133"/>
      <c r="BB710" s="128"/>
      <c r="BC710" s="133"/>
      <c r="BD710" s="128"/>
      <c r="BE710" s="128"/>
      <c r="BF710" s="128"/>
      <c r="BG710" s="133"/>
      <c r="BH710" s="128"/>
      <c r="BI710" s="133"/>
      <c r="BJ710" s="128"/>
      <c r="BK710" s="128"/>
      <c r="BL710" s="128"/>
      <c r="BM710" s="128"/>
      <c r="BN710" s="128"/>
      <c r="BO710" s="133"/>
      <c r="BP710" s="128"/>
      <c r="BQ710" s="128"/>
      <c r="BR710" s="128"/>
      <c r="BS710" s="128"/>
      <c r="BT710" s="128"/>
      <c r="BU710" s="133"/>
      <c r="BV710" s="128"/>
      <c r="BW710" s="128"/>
      <c r="BX710" s="128"/>
      <c r="BY710" s="128"/>
      <c r="BZ710" s="128"/>
      <c r="CA710" s="133"/>
      <c r="CB710" s="128"/>
      <c r="CC710" s="128"/>
      <c r="CD710" s="128"/>
      <c r="CE710" s="128"/>
    </row>
    <row r="711" spans="1:83" x14ac:dyDescent="0.5">
      <c r="A711" s="262"/>
      <c r="B711" s="135"/>
      <c r="C711" s="136"/>
      <c r="D711" s="137"/>
      <c r="E711" s="138"/>
      <c r="F711" s="139"/>
      <c r="G711" s="179">
        <v>43139</v>
      </c>
      <c r="H711" s="140">
        <v>18047</v>
      </c>
      <c r="I711" s="152"/>
      <c r="J711" s="179"/>
      <c r="K711" s="255"/>
      <c r="L711" s="300"/>
      <c r="M711" s="135"/>
      <c r="N711" s="253"/>
      <c r="O711" s="253"/>
      <c r="P711" s="253"/>
      <c r="Q711" s="143"/>
      <c r="R711" s="144"/>
      <c r="S711" s="145"/>
      <c r="T711" s="146"/>
      <c r="U711" s="529"/>
      <c r="V711" s="555"/>
      <c r="W711" s="556"/>
      <c r="X711" s="556"/>
      <c r="Y711" s="557"/>
      <c r="Z711" s="151"/>
      <c r="AA711" s="154"/>
      <c r="AB711" s="155"/>
      <c r="AC711" s="263"/>
      <c r="AD711" s="263"/>
      <c r="AE711" s="157"/>
      <c r="AF711" s="152"/>
      <c r="AG711" s="152"/>
      <c r="AH711" s="152"/>
      <c r="AI711" s="134"/>
      <c r="AJ711" s="158"/>
      <c r="AK711" s="159"/>
      <c r="AL711" s="160"/>
      <c r="AM711" s="160"/>
      <c r="AN711" s="161"/>
      <c r="AO711" s="162"/>
      <c r="AP711" s="158"/>
      <c r="AQ711" s="154"/>
      <c r="AR711" s="161"/>
      <c r="AS711" s="160"/>
      <c r="AT711" s="161"/>
      <c r="AU711" s="177"/>
      <c r="AV711" s="158"/>
      <c r="AW711" s="163"/>
      <c r="AX711" s="158"/>
      <c r="AY711" s="158"/>
      <c r="AZ711" s="158"/>
      <c r="BA711" s="163"/>
      <c r="BB711" s="158"/>
      <c r="BC711" s="163"/>
      <c r="BD711" s="158"/>
      <c r="BE711" s="158"/>
      <c r="BF711" s="158"/>
      <c r="BG711" s="163"/>
      <c r="BH711" s="158"/>
      <c r="BI711" s="163"/>
      <c r="BJ711" s="158"/>
      <c r="BK711" s="158"/>
      <c r="BL711" s="158"/>
      <c r="BM711" s="158"/>
      <c r="BN711" s="158"/>
      <c r="BO711" s="163"/>
      <c r="BP711" s="158"/>
      <c r="BQ711" s="158"/>
      <c r="BR711" s="158"/>
      <c r="BS711" s="158"/>
      <c r="BT711" s="158"/>
      <c r="BU711" s="163"/>
      <c r="BV711" s="158"/>
      <c r="BW711" s="158"/>
      <c r="BX711" s="158"/>
      <c r="BY711" s="158"/>
      <c r="BZ711" s="158"/>
      <c r="CA711" s="163"/>
      <c r="CB711" s="158"/>
      <c r="CC711" s="158"/>
      <c r="CD711" s="158"/>
      <c r="CE711" s="158"/>
    </row>
    <row r="712" spans="1:83" x14ac:dyDescent="0.5">
      <c r="A712" s="259">
        <v>18015692</v>
      </c>
      <c r="B712" s="104" t="s">
        <v>479</v>
      </c>
      <c r="C712" s="105" t="s">
        <v>1434</v>
      </c>
      <c r="D712" s="106" t="s">
        <v>184</v>
      </c>
      <c r="E712" s="107" t="s">
        <v>185</v>
      </c>
      <c r="F712" s="108" t="s">
        <v>1424</v>
      </c>
      <c r="G712" s="211">
        <v>43139</v>
      </c>
      <c r="H712" s="164">
        <v>18048</v>
      </c>
      <c r="I712" s="127" t="s">
        <v>869</v>
      </c>
      <c r="J712" s="122">
        <v>43140</v>
      </c>
      <c r="K712" s="547" t="s">
        <v>319</v>
      </c>
      <c r="L712" s="548" t="s">
        <v>480</v>
      </c>
      <c r="M712" s="104" t="s">
        <v>52</v>
      </c>
      <c r="N712" s="260">
        <v>93457.94</v>
      </c>
      <c r="O712" s="260">
        <v>6542.06</v>
      </c>
      <c r="P712" s="260">
        <f t="shared" si="118"/>
        <v>100000</v>
      </c>
      <c r="Q712" s="311"/>
      <c r="R712" s="113"/>
      <c r="S712" s="114"/>
      <c r="T712" s="115"/>
      <c r="U712" s="550">
        <v>163.31</v>
      </c>
      <c r="V712" s="551"/>
      <c r="W712" s="552"/>
      <c r="X712" s="552">
        <v>187.81</v>
      </c>
      <c r="Y712" s="553"/>
      <c r="Z712" s="120"/>
      <c r="AA712" s="123">
        <v>18020057</v>
      </c>
      <c r="AB712" s="124">
        <v>93457.94</v>
      </c>
      <c r="AC712" s="261">
        <f t="shared" si="119"/>
        <v>6542.055800000001</v>
      </c>
      <c r="AD712" s="261">
        <f t="shared" si="120"/>
        <v>99999.995800000004</v>
      </c>
      <c r="AE712" s="126">
        <v>43176</v>
      </c>
      <c r="AF712" s="127" t="s">
        <v>869</v>
      </c>
      <c r="AG712" s="127"/>
      <c r="AH712" s="127"/>
      <c r="AI712" s="103" t="s">
        <v>902</v>
      </c>
      <c r="AJ712" s="128">
        <v>1</v>
      </c>
      <c r="AK712" s="129" t="s">
        <v>593</v>
      </c>
      <c r="AL712" s="130"/>
      <c r="AM712" s="130" t="s">
        <v>1205</v>
      </c>
      <c r="AN712" s="131">
        <v>4</v>
      </c>
      <c r="AO712" s="132" t="s">
        <v>634</v>
      </c>
      <c r="AP712" s="128"/>
      <c r="AQ712" s="133"/>
      <c r="AR712" s="128"/>
      <c r="AS712" s="128"/>
      <c r="AT712" s="128"/>
      <c r="AU712" s="133"/>
      <c r="AV712" s="128"/>
      <c r="AW712" s="133"/>
      <c r="AX712" s="128"/>
      <c r="AY712" s="128"/>
      <c r="AZ712" s="128"/>
      <c r="BA712" s="133"/>
      <c r="BB712" s="128"/>
      <c r="BC712" s="133"/>
      <c r="BD712" s="128"/>
      <c r="BE712" s="128"/>
      <c r="BF712" s="128"/>
      <c r="BG712" s="133"/>
      <c r="BH712" s="128"/>
      <c r="BI712" s="133"/>
      <c r="BJ712" s="128"/>
      <c r="BK712" s="128"/>
      <c r="BL712" s="128"/>
      <c r="BM712" s="128"/>
      <c r="BN712" s="128"/>
      <c r="BO712" s="133"/>
      <c r="BP712" s="128"/>
      <c r="BQ712" s="128"/>
      <c r="BR712" s="128"/>
      <c r="BS712" s="128"/>
      <c r="BT712" s="128"/>
      <c r="BU712" s="133"/>
      <c r="BV712" s="128"/>
      <c r="BW712" s="128"/>
      <c r="BX712" s="128"/>
      <c r="BY712" s="128"/>
      <c r="BZ712" s="128"/>
      <c r="CA712" s="133"/>
      <c r="CB712" s="128"/>
      <c r="CC712" s="128"/>
      <c r="CD712" s="128"/>
      <c r="CE712" s="128"/>
    </row>
    <row r="713" spans="1:83" x14ac:dyDescent="0.5">
      <c r="A713" s="268"/>
      <c r="B713" s="181"/>
      <c r="C713" s="182"/>
      <c r="D713" s="183"/>
      <c r="E713" s="184"/>
      <c r="F713" s="185"/>
      <c r="G713" s="186">
        <v>43139</v>
      </c>
      <c r="H713" s="187">
        <v>18049</v>
      </c>
      <c r="I713" s="199"/>
      <c r="J713" s="186"/>
      <c r="K713" s="240"/>
      <c r="L713" s="558"/>
      <c r="M713" s="181"/>
      <c r="N713" s="237"/>
      <c r="O713" s="237"/>
      <c r="P713" s="237"/>
      <c r="Q713" s="190"/>
      <c r="R713" s="215"/>
      <c r="S713" s="216"/>
      <c r="T713" s="217"/>
      <c r="U713" s="544"/>
      <c r="V713" s="560"/>
      <c r="W713" s="561"/>
      <c r="X713" s="561"/>
      <c r="Y713" s="562"/>
      <c r="Z713" s="198"/>
      <c r="AA713" s="200"/>
      <c r="AB713" s="201"/>
      <c r="AC713" s="238"/>
      <c r="AD713" s="238"/>
      <c r="AE713" s="203"/>
      <c r="AF713" s="199"/>
      <c r="AG713" s="199"/>
      <c r="AH713" s="199"/>
      <c r="AI713" s="180"/>
      <c r="AJ713" s="204"/>
      <c r="AK713" s="205"/>
      <c r="AL713" s="206"/>
      <c r="AM713" s="206"/>
      <c r="AN713" s="207"/>
      <c r="AO713" s="208"/>
      <c r="AP713" s="204"/>
      <c r="AQ713" s="210"/>
      <c r="AR713" s="204"/>
      <c r="AS713" s="204"/>
      <c r="AT713" s="204"/>
      <c r="AU713" s="210"/>
      <c r="AV713" s="204"/>
      <c r="AW713" s="210"/>
      <c r="AX713" s="204"/>
      <c r="AY713" s="204"/>
      <c r="AZ713" s="204"/>
      <c r="BA713" s="210"/>
      <c r="BB713" s="204"/>
      <c r="BC713" s="210"/>
      <c r="BD713" s="204"/>
      <c r="BE713" s="204"/>
      <c r="BF713" s="204"/>
      <c r="BG713" s="210"/>
      <c r="BH713" s="204"/>
      <c r="BI713" s="210"/>
      <c r="BJ713" s="204"/>
      <c r="BK713" s="204"/>
      <c r="BL713" s="204"/>
      <c r="BM713" s="204"/>
      <c r="BN713" s="204"/>
      <c r="BO713" s="210"/>
      <c r="BP713" s="204"/>
      <c r="BQ713" s="204"/>
      <c r="BR713" s="204"/>
      <c r="BS713" s="204"/>
      <c r="BT713" s="204"/>
      <c r="BU713" s="210"/>
      <c r="BV713" s="204"/>
      <c r="BW713" s="204"/>
      <c r="BX713" s="204"/>
      <c r="BY713" s="204"/>
      <c r="BZ713" s="204"/>
      <c r="CA713" s="210"/>
      <c r="CB713" s="204"/>
      <c r="CC713" s="204"/>
      <c r="CD713" s="204"/>
      <c r="CE713" s="204"/>
    </row>
    <row r="714" spans="1:83" x14ac:dyDescent="0.5">
      <c r="A714" s="227">
        <v>18015691</v>
      </c>
      <c r="B714" s="22">
        <v>18010098</v>
      </c>
      <c r="C714" s="55"/>
      <c r="D714" s="56"/>
      <c r="E714" s="57"/>
      <c r="F714" s="58"/>
      <c r="G714" s="59"/>
      <c r="H714" s="60"/>
      <c r="I714" s="269" t="s">
        <v>869</v>
      </c>
      <c r="J714" s="59"/>
      <c r="K714" s="42" t="s">
        <v>481</v>
      </c>
      <c r="L714" s="520" t="s">
        <v>482</v>
      </c>
      <c r="M714" s="22" t="s">
        <v>51</v>
      </c>
      <c r="N714" s="63">
        <v>42900</v>
      </c>
      <c r="O714" s="63">
        <f>N714*7/100</f>
        <v>3003</v>
      </c>
      <c r="P714" s="63">
        <f>N714+O714</f>
        <v>45903</v>
      </c>
      <c r="AA714" s="40">
        <v>18020048</v>
      </c>
      <c r="AB714" s="41">
        <v>42900</v>
      </c>
      <c r="AC714" s="64">
        <f t="shared" si="119"/>
        <v>3003</v>
      </c>
      <c r="AD714" s="64">
        <f t="shared" si="120"/>
        <v>45903</v>
      </c>
      <c r="AE714" s="53">
        <v>43173</v>
      </c>
      <c r="AF714" s="39" t="s">
        <v>869</v>
      </c>
      <c r="AI714" s="21" t="s">
        <v>1007</v>
      </c>
      <c r="AJ714" s="44">
        <v>1</v>
      </c>
      <c r="AP714" s="44">
        <v>2</v>
      </c>
      <c r="AV714" s="44">
        <v>3</v>
      </c>
      <c r="BB714" s="44">
        <v>4</v>
      </c>
      <c r="BH714" s="44">
        <v>5</v>
      </c>
      <c r="BN714" s="44">
        <v>6</v>
      </c>
      <c r="BT714" s="44">
        <v>7</v>
      </c>
      <c r="BZ714" s="44">
        <v>8</v>
      </c>
    </row>
    <row r="715" spans="1:83" x14ac:dyDescent="0.5">
      <c r="A715" s="227">
        <v>18015690</v>
      </c>
      <c r="B715" s="22">
        <v>18010090</v>
      </c>
      <c r="C715" s="23" t="s">
        <v>1435</v>
      </c>
      <c r="D715" s="24" t="s">
        <v>184</v>
      </c>
      <c r="E715" s="25" t="s">
        <v>185</v>
      </c>
      <c r="F715" s="26" t="s">
        <v>1427</v>
      </c>
      <c r="G715" s="62">
        <v>43138</v>
      </c>
      <c r="H715" s="27">
        <v>18039</v>
      </c>
      <c r="I715" s="39" t="s">
        <v>869</v>
      </c>
      <c r="J715" s="62">
        <v>43138</v>
      </c>
      <c r="K715" s="42" t="s">
        <v>15</v>
      </c>
      <c r="L715" s="520" t="s">
        <v>483</v>
      </c>
      <c r="M715" s="22" t="s">
        <v>51</v>
      </c>
      <c r="N715" s="63">
        <v>5000</v>
      </c>
      <c r="O715" s="63">
        <v>350</v>
      </c>
      <c r="P715" s="63">
        <f>SUM(N715:O715)</f>
        <v>5350</v>
      </c>
      <c r="AA715" s="40">
        <v>18020047</v>
      </c>
      <c r="AB715" s="41">
        <v>5000</v>
      </c>
      <c r="AC715" s="64">
        <f t="shared" si="119"/>
        <v>350</v>
      </c>
      <c r="AD715" s="64">
        <f t="shared" si="120"/>
        <v>5350</v>
      </c>
      <c r="AE715" s="53">
        <v>43185</v>
      </c>
      <c r="AF715" s="39" t="s">
        <v>869</v>
      </c>
      <c r="AI715" s="21" t="s">
        <v>932</v>
      </c>
      <c r="AJ715" s="44">
        <v>1</v>
      </c>
      <c r="AK715" s="45" t="s">
        <v>650</v>
      </c>
      <c r="AM715" s="46" t="s">
        <v>1205</v>
      </c>
      <c r="AN715" s="47">
        <v>1</v>
      </c>
      <c r="AO715" s="48" t="s">
        <v>633</v>
      </c>
      <c r="AQ715" s="54"/>
      <c r="AR715" s="44"/>
      <c r="AS715" s="44"/>
      <c r="AT715" s="44"/>
      <c r="AU715" s="54"/>
      <c r="AW715" s="54"/>
      <c r="AX715" s="44"/>
      <c r="AY715" s="44"/>
      <c r="AZ715" s="44"/>
      <c r="BA715" s="54"/>
      <c r="BC715" s="54"/>
      <c r="BD715" s="44"/>
      <c r="BE715" s="44"/>
      <c r="BF715" s="44"/>
      <c r="BG715" s="54"/>
      <c r="BI715" s="54"/>
      <c r="BJ715" s="44"/>
      <c r="BK715" s="44"/>
      <c r="BL715" s="44"/>
      <c r="BM715" s="44"/>
      <c r="BO715" s="54"/>
      <c r="BP715" s="44"/>
      <c r="BQ715" s="44"/>
      <c r="BR715" s="44"/>
      <c r="BS715" s="44"/>
      <c r="BU715" s="54"/>
      <c r="BV715" s="44"/>
      <c r="BW715" s="44"/>
      <c r="BX715" s="44"/>
      <c r="BY715" s="44"/>
      <c r="CA715" s="54"/>
      <c r="CB715" s="44"/>
      <c r="CC715" s="44"/>
      <c r="CD715" s="44"/>
      <c r="CE715" s="44"/>
    </row>
    <row r="716" spans="1:83" x14ac:dyDescent="0.5">
      <c r="A716" s="227">
        <v>18015689</v>
      </c>
      <c r="B716" s="22">
        <v>18010089</v>
      </c>
      <c r="C716" s="23" t="s">
        <v>1436</v>
      </c>
      <c r="D716" s="24" t="s">
        <v>184</v>
      </c>
      <c r="G716" s="62">
        <v>43153</v>
      </c>
      <c r="H716" s="27">
        <v>18072</v>
      </c>
      <c r="I716" s="39" t="s">
        <v>869</v>
      </c>
      <c r="K716" s="42" t="s">
        <v>15</v>
      </c>
      <c r="L716" s="520" t="s">
        <v>484</v>
      </c>
      <c r="M716" s="22" t="s">
        <v>51</v>
      </c>
      <c r="N716" s="63">
        <v>455832</v>
      </c>
      <c r="O716" s="63">
        <v>31908.240000000002</v>
      </c>
      <c r="P716" s="63">
        <f>SUM(N716:O716)</f>
        <v>487740.24</v>
      </c>
      <c r="AA716" s="40">
        <v>18020069</v>
      </c>
      <c r="AB716" s="41">
        <v>455832</v>
      </c>
      <c r="AC716" s="64">
        <f t="shared" si="119"/>
        <v>31908.240000000002</v>
      </c>
      <c r="AD716" s="64">
        <f t="shared" si="120"/>
        <v>487740.24</v>
      </c>
      <c r="AE716" s="53">
        <v>43198</v>
      </c>
      <c r="AF716" s="39" t="s">
        <v>869</v>
      </c>
      <c r="AI716" s="21" t="s">
        <v>923</v>
      </c>
      <c r="AJ716" s="44">
        <v>1</v>
      </c>
      <c r="AK716" s="45" t="s">
        <v>717</v>
      </c>
      <c r="AL716" s="46" t="s">
        <v>1205</v>
      </c>
      <c r="AN716" s="47">
        <v>6</v>
      </c>
      <c r="AO716" s="48" t="s">
        <v>635</v>
      </c>
      <c r="AP716" s="356"/>
      <c r="AQ716" s="356"/>
      <c r="AR716" s="44"/>
      <c r="AS716" s="44"/>
      <c r="AT716" s="356"/>
      <c r="AU716" s="54"/>
      <c r="AV716" s="356"/>
      <c r="AW716" s="356"/>
      <c r="AX716" s="44"/>
      <c r="AY716" s="44"/>
      <c r="AZ716" s="356"/>
      <c r="BA716" s="54"/>
      <c r="BB716" s="356"/>
      <c r="BC716" s="356"/>
      <c r="BD716" s="44"/>
      <c r="BE716" s="44"/>
      <c r="BF716" s="356"/>
      <c r="BG716" s="54"/>
      <c r="BH716" s="356"/>
      <c r="BI716" s="356"/>
      <c r="BJ716" s="44"/>
      <c r="BK716" s="44"/>
      <c r="BL716" s="356"/>
      <c r="BM716" s="356"/>
      <c r="BN716" s="356"/>
      <c r="BO716" s="356"/>
      <c r="BP716" s="44"/>
      <c r="BQ716" s="44"/>
      <c r="BR716" s="356"/>
      <c r="BS716" s="356"/>
      <c r="BT716" s="356"/>
      <c r="BU716" s="356"/>
      <c r="BV716" s="44"/>
      <c r="BW716" s="44"/>
      <c r="BX716" s="356"/>
      <c r="BY716" s="1990"/>
      <c r="BZ716" s="1990"/>
      <c r="CA716" s="44"/>
      <c r="CB716" s="44"/>
      <c r="CC716" s="44"/>
      <c r="CD716" s="44"/>
      <c r="CE716" s="44"/>
    </row>
    <row r="717" spans="1:83" x14ac:dyDescent="0.5">
      <c r="A717" s="227">
        <v>18015688</v>
      </c>
      <c r="B717" s="22">
        <v>18010088</v>
      </c>
      <c r="C717" s="23" t="s">
        <v>1437</v>
      </c>
      <c r="D717" s="24" t="s">
        <v>184</v>
      </c>
      <c r="E717" s="25" t="s">
        <v>185</v>
      </c>
      <c r="F717" s="26" t="s">
        <v>1414</v>
      </c>
      <c r="G717" s="62">
        <v>43150</v>
      </c>
      <c r="H717" s="27">
        <v>18066</v>
      </c>
      <c r="I717" s="39" t="s">
        <v>869</v>
      </c>
      <c r="J717" s="62">
        <v>43150</v>
      </c>
      <c r="K717" s="42" t="s">
        <v>20</v>
      </c>
      <c r="L717" s="520" t="s">
        <v>485</v>
      </c>
      <c r="M717" s="22" t="s">
        <v>51</v>
      </c>
      <c r="N717" s="63">
        <v>40360</v>
      </c>
      <c r="O717" s="63">
        <v>2825.2</v>
      </c>
      <c r="P717" s="63">
        <f t="shared" ref="P717:P729" si="121">SUM(N717:O717)</f>
        <v>43185.2</v>
      </c>
      <c r="AA717" s="40">
        <v>18020066</v>
      </c>
      <c r="AB717" s="41">
        <v>40360</v>
      </c>
      <c r="AC717" s="64">
        <f t="shared" si="119"/>
        <v>2825.2</v>
      </c>
      <c r="AD717" s="63">
        <f t="shared" si="120"/>
        <v>43185.2</v>
      </c>
      <c r="AE717" s="53">
        <v>43181</v>
      </c>
      <c r="AF717" s="39" t="s">
        <v>869</v>
      </c>
      <c r="AI717" s="21" t="s">
        <v>1004</v>
      </c>
      <c r="AJ717" s="44">
        <v>1</v>
      </c>
      <c r="AK717" s="45" t="s">
        <v>886</v>
      </c>
      <c r="AL717" s="46" t="s">
        <v>1205</v>
      </c>
      <c r="AN717" s="47">
        <v>1</v>
      </c>
      <c r="AO717" s="48" t="s">
        <v>635</v>
      </c>
      <c r="AQ717" s="54"/>
      <c r="AR717" s="44"/>
      <c r="AS717" s="44"/>
      <c r="AT717" s="44"/>
      <c r="AU717" s="54"/>
      <c r="AW717" s="54"/>
      <c r="AX717" s="44"/>
      <c r="AY717" s="44"/>
      <c r="AZ717" s="44"/>
      <c r="BA717" s="54"/>
      <c r="BC717" s="54"/>
      <c r="BD717" s="44"/>
      <c r="BE717" s="44"/>
      <c r="BF717" s="44"/>
      <c r="BG717" s="54"/>
      <c r="BI717" s="54"/>
      <c r="BJ717" s="44"/>
      <c r="BK717" s="44"/>
      <c r="BL717" s="44"/>
      <c r="BM717" s="44"/>
      <c r="BO717" s="54"/>
      <c r="BP717" s="44"/>
      <c r="BQ717" s="44"/>
      <c r="BR717" s="44"/>
      <c r="BS717" s="44"/>
      <c r="BU717" s="54"/>
      <c r="BV717" s="44"/>
      <c r="BW717" s="44"/>
      <c r="BX717" s="44"/>
      <c r="BY717" s="44"/>
      <c r="CA717" s="54"/>
      <c r="CB717" s="44"/>
      <c r="CC717" s="44"/>
      <c r="CD717" s="44"/>
      <c r="CE717" s="44"/>
    </row>
    <row r="718" spans="1:83" x14ac:dyDescent="0.5">
      <c r="A718" s="259">
        <v>18015687</v>
      </c>
      <c r="B718" s="104">
        <v>18010054</v>
      </c>
      <c r="C718" s="105" t="s">
        <v>1438</v>
      </c>
      <c r="D718" s="106" t="s">
        <v>184</v>
      </c>
      <c r="E718" s="107" t="s">
        <v>185</v>
      </c>
      <c r="F718" s="108" t="s">
        <v>1379</v>
      </c>
      <c r="G718" s="211">
        <v>43183</v>
      </c>
      <c r="H718" s="164">
        <v>18121</v>
      </c>
      <c r="I718" s="127" t="s">
        <v>869</v>
      </c>
      <c r="J718" s="122">
        <v>43185</v>
      </c>
      <c r="K718" s="547" t="s">
        <v>486</v>
      </c>
      <c r="L718" s="548" t="s">
        <v>524</v>
      </c>
      <c r="M718" s="104" t="s">
        <v>50</v>
      </c>
      <c r="N718" s="260">
        <v>1876800</v>
      </c>
      <c r="O718" s="260">
        <v>131376</v>
      </c>
      <c r="P718" s="260">
        <f t="shared" si="121"/>
        <v>2008176</v>
      </c>
      <c r="Q718" s="311"/>
      <c r="R718" s="113"/>
      <c r="S718" s="114"/>
      <c r="T718" s="115"/>
      <c r="U718" s="550">
        <v>93840</v>
      </c>
      <c r="V718" s="551"/>
      <c r="W718" s="552"/>
      <c r="X718" s="552">
        <v>6597</v>
      </c>
      <c r="Y718" s="553"/>
      <c r="Z718" s="120"/>
      <c r="AA718" s="123">
        <v>18030120</v>
      </c>
      <c r="AB718" s="124">
        <v>1876800</v>
      </c>
      <c r="AC718" s="261">
        <f t="shared" si="119"/>
        <v>131376</v>
      </c>
      <c r="AD718" s="261">
        <f t="shared" si="120"/>
        <v>2008176</v>
      </c>
      <c r="AE718" s="126">
        <v>43245</v>
      </c>
      <c r="AF718" s="127" t="s">
        <v>869</v>
      </c>
      <c r="AG718" s="127"/>
      <c r="AH718" s="127"/>
      <c r="AI718" s="103" t="s">
        <v>962</v>
      </c>
      <c r="AJ718" s="128">
        <v>1</v>
      </c>
      <c r="AK718" s="129" t="s">
        <v>853</v>
      </c>
      <c r="AL718" s="130" t="s">
        <v>1205</v>
      </c>
      <c r="AM718" s="130"/>
      <c r="AN718" s="131">
        <v>1</v>
      </c>
      <c r="AO718" s="132" t="s">
        <v>634</v>
      </c>
      <c r="AP718" s="128">
        <v>2</v>
      </c>
      <c r="AQ718" s="123" t="s">
        <v>854</v>
      </c>
      <c r="AR718" s="131" t="s">
        <v>1205</v>
      </c>
      <c r="AS718" s="131"/>
      <c r="AT718" s="131">
        <v>1</v>
      </c>
      <c r="AU718" s="169" t="s">
        <v>636</v>
      </c>
      <c r="AV718" s="128">
        <v>3</v>
      </c>
      <c r="AW718" s="123" t="s">
        <v>855</v>
      </c>
      <c r="AX718" s="131"/>
      <c r="AY718" s="131" t="s">
        <v>1205</v>
      </c>
      <c r="AZ718" s="131">
        <v>1</v>
      </c>
      <c r="BA718" s="169" t="s">
        <v>634</v>
      </c>
      <c r="BB718" s="361"/>
      <c r="BC718" s="361"/>
      <c r="BD718" s="128"/>
      <c r="BE718" s="128"/>
      <c r="BF718" s="361"/>
      <c r="BG718" s="133"/>
      <c r="BH718" s="361"/>
      <c r="BI718" s="361"/>
      <c r="BJ718" s="128"/>
      <c r="BK718" s="128"/>
      <c r="BL718" s="361"/>
      <c r="BM718" s="361"/>
      <c r="BN718" s="361"/>
      <c r="BO718" s="361"/>
      <c r="BP718" s="128"/>
      <c r="BQ718" s="128"/>
      <c r="BR718" s="361"/>
      <c r="BS718" s="361"/>
      <c r="BT718" s="361"/>
      <c r="BU718" s="361"/>
      <c r="BV718" s="128"/>
      <c r="BW718" s="128"/>
      <c r="BX718" s="361"/>
      <c r="BY718" s="361"/>
      <c r="BZ718" s="361"/>
      <c r="CA718" s="361"/>
      <c r="CB718" s="128"/>
      <c r="CC718" s="128"/>
      <c r="CD718" s="361"/>
      <c r="CE718" s="361"/>
    </row>
    <row r="719" spans="1:83" x14ac:dyDescent="0.5">
      <c r="A719" s="262"/>
      <c r="B719" s="135"/>
      <c r="C719" s="136"/>
      <c r="D719" s="137"/>
      <c r="E719" s="138"/>
      <c r="F719" s="139"/>
      <c r="G719" s="178">
        <v>43183</v>
      </c>
      <c r="H719" s="171">
        <v>18122</v>
      </c>
      <c r="I719" s="152"/>
      <c r="J719" s="179"/>
      <c r="K719" s="255"/>
      <c r="L719" s="300"/>
      <c r="M719" s="135"/>
      <c r="N719" s="253"/>
      <c r="O719" s="253"/>
      <c r="P719" s="253"/>
      <c r="Q719" s="143"/>
      <c r="R719" s="144"/>
      <c r="S719" s="145"/>
      <c r="T719" s="146"/>
      <c r="U719" s="529"/>
      <c r="V719" s="555"/>
      <c r="W719" s="556"/>
      <c r="X719" s="556"/>
      <c r="Y719" s="557"/>
      <c r="Z719" s="151"/>
      <c r="AA719" s="154"/>
      <c r="AB719" s="155"/>
      <c r="AC719" s="263"/>
      <c r="AD719" s="263"/>
      <c r="AE719" s="157"/>
      <c r="AF719" s="152"/>
      <c r="AG719" s="152"/>
      <c r="AH719" s="152"/>
      <c r="AI719" s="134"/>
      <c r="AJ719" s="158"/>
      <c r="AK719" s="159"/>
      <c r="AL719" s="160"/>
      <c r="AM719" s="160"/>
      <c r="AN719" s="161"/>
      <c r="AO719" s="162"/>
      <c r="AP719" s="158"/>
      <c r="AQ719" s="154"/>
      <c r="AR719" s="161"/>
      <c r="AS719" s="161"/>
      <c r="AT719" s="161"/>
      <c r="AU719" s="177"/>
      <c r="AV719" s="158"/>
      <c r="AW719" s="154"/>
      <c r="AX719" s="161"/>
      <c r="AY719" s="161"/>
      <c r="AZ719" s="161"/>
      <c r="BA719" s="177"/>
      <c r="BB719" s="458"/>
      <c r="BC719" s="458"/>
      <c r="BD719" s="158"/>
      <c r="BE719" s="158"/>
      <c r="BF719" s="458"/>
      <c r="BG719" s="163"/>
      <c r="BH719" s="458"/>
      <c r="BI719" s="458"/>
      <c r="BJ719" s="158"/>
      <c r="BK719" s="158"/>
      <c r="BL719" s="458"/>
      <c r="BM719" s="458"/>
      <c r="BN719" s="458"/>
      <c r="BO719" s="458"/>
      <c r="BP719" s="158"/>
      <c r="BQ719" s="158"/>
      <c r="BR719" s="458"/>
      <c r="BS719" s="458"/>
      <c r="BT719" s="458"/>
      <c r="BU719" s="458"/>
      <c r="BV719" s="158"/>
      <c r="BW719" s="158"/>
      <c r="BX719" s="458"/>
      <c r="BY719" s="458"/>
      <c r="BZ719" s="458"/>
      <c r="CA719" s="458"/>
      <c r="CB719" s="158"/>
      <c r="CC719" s="158"/>
      <c r="CD719" s="458"/>
      <c r="CE719" s="458"/>
    </row>
    <row r="720" spans="1:83" x14ac:dyDescent="0.5">
      <c r="A720" s="262"/>
      <c r="B720" s="135"/>
      <c r="C720" s="136"/>
      <c r="D720" s="137"/>
      <c r="E720" s="138"/>
      <c r="F720" s="139"/>
      <c r="G720" s="178">
        <v>43183</v>
      </c>
      <c r="H720" s="171">
        <v>18123</v>
      </c>
      <c r="I720" s="152"/>
      <c r="J720" s="179"/>
      <c r="K720" s="255"/>
      <c r="L720" s="300"/>
      <c r="M720" s="135"/>
      <c r="N720" s="253"/>
      <c r="O720" s="253"/>
      <c r="P720" s="253"/>
      <c r="Q720" s="143"/>
      <c r="R720" s="144"/>
      <c r="S720" s="145"/>
      <c r="T720" s="146"/>
      <c r="U720" s="529"/>
      <c r="V720" s="555"/>
      <c r="W720" s="556"/>
      <c r="X720" s="556"/>
      <c r="Y720" s="557"/>
      <c r="Z720" s="151"/>
      <c r="AA720" s="154"/>
      <c r="AB720" s="155"/>
      <c r="AC720" s="263"/>
      <c r="AD720" s="263"/>
      <c r="AE720" s="157"/>
      <c r="AF720" s="152"/>
      <c r="AG720" s="152"/>
      <c r="AH720" s="152"/>
      <c r="AI720" s="134"/>
      <c r="AJ720" s="158"/>
      <c r="AK720" s="159"/>
      <c r="AL720" s="160"/>
      <c r="AM720" s="160"/>
      <c r="AN720" s="161"/>
      <c r="AO720" s="162"/>
      <c r="AP720" s="158"/>
      <c r="AQ720" s="154"/>
      <c r="AR720" s="161"/>
      <c r="AS720" s="161"/>
      <c r="AT720" s="161"/>
      <c r="AU720" s="177"/>
      <c r="AV720" s="158"/>
      <c r="AW720" s="154"/>
      <c r="AX720" s="161"/>
      <c r="AY720" s="161"/>
      <c r="AZ720" s="161"/>
      <c r="BA720" s="177"/>
      <c r="BB720" s="458"/>
      <c r="BC720" s="458"/>
      <c r="BD720" s="158"/>
      <c r="BE720" s="158"/>
      <c r="BF720" s="458"/>
      <c r="BG720" s="163"/>
      <c r="BH720" s="458"/>
      <c r="BI720" s="458"/>
      <c r="BJ720" s="158"/>
      <c r="BK720" s="158"/>
      <c r="BL720" s="458"/>
      <c r="BM720" s="458"/>
      <c r="BN720" s="458"/>
      <c r="BO720" s="458"/>
      <c r="BP720" s="158"/>
      <c r="BQ720" s="158"/>
      <c r="BR720" s="458"/>
      <c r="BS720" s="458"/>
      <c r="BT720" s="458"/>
      <c r="BU720" s="458"/>
      <c r="BV720" s="158"/>
      <c r="BW720" s="158"/>
      <c r="BX720" s="458"/>
      <c r="BY720" s="458"/>
      <c r="BZ720" s="458"/>
      <c r="CA720" s="458"/>
      <c r="CB720" s="158"/>
      <c r="CC720" s="158"/>
      <c r="CD720" s="458"/>
      <c r="CE720" s="458"/>
    </row>
    <row r="721" spans="1:83" x14ac:dyDescent="0.5">
      <c r="A721" s="262"/>
      <c r="B721" s="135"/>
      <c r="C721" s="136"/>
      <c r="D721" s="137"/>
      <c r="E721" s="138"/>
      <c r="F721" s="139"/>
      <c r="G721" s="170">
        <v>43183</v>
      </c>
      <c r="H721" s="251">
        <v>18124</v>
      </c>
      <c r="I721" s="152"/>
      <c r="J721" s="179"/>
      <c r="K721" s="255"/>
      <c r="L721" s="300"/>
      <c r="M721" s="135"/>
      <c r="N721" s="253"/>
      <c r="O721" s="253"/>
      <c r="P721" s="253"/>
      <c r="Q721" s="143"/>
      <c r="R721" s="144"/>
      <c r="S721" s="145"/>
      <c r="T721" s="146"/>
      <c r="U721" s="529"/>
      <c r="V721" s="555"/>
      <c r="W721" s="556"/>
      <c r="X721" s="556"/>
      <c r="Y721" s="557"/>
      <c r="Z721" s="151"/>
      <c r="AA721" s="154"/>
      <c r="AB721" s="155"/>
      <c r="AC721" s="263"/>
      <c r="AD721" s="263"/>
      <c r="AE721" s="157"/>
      <c r="AF721" s="152"/>
      <c r="AG721" s="152"/>
      <c r="AH721" s="152"/>
      <c r="AI721" s="134"/>
      <c r="AJ721" s="158"/>
      <c r="AK721" s="159"/>
      <c r="AL721" s="160"/>
      <c r="AM721" s="160"/>
      <c r="AN721" s="161"/>
      <c r="AO721" s="162"/>
      <c r="AP721" s="158"/>
      <c r="AQ721" s="154"/>
      <c r="AR721" s="161"/>
      <c r="AS721" s="161"/>
      <c r="AT721" s="161"/>
      <c r="AU721" s="177"/>
      <c r="AV721" s="158"/>
      <c r="AW721" s="154"/>
      <c r="AX721" s="161"/>
      <c r="AY721" s="161"/>
      <c r="AZ721" s="161"/>
      <c r="BA721" s="177"/>
      <c r="BB721" s="458"/>
      <c r="BC721" s="458"/>
      <c r="BD721" s="158"/>
      <c r="BE721" s="158"/>
      <c r="BF721" s="458"/>
      <c r="BG721" s="163"/>
      <c r="BH721" s="458"/>
      <c r="BI721" s="458"/>
      <c r="BJ721" s="158"/>
      <c r="BK721" s="158"/>
      <c r="BL721" s="458"/>
      <c r="BM721" s="458"/>
      <c r="BN721" s="458"/>
      <c r="BO721" s="458"/>
      <c r="BP721" s="158"/>
      <c r="BQ721" s="158"/>
      <c r="BR721" s="458"/>
      <c r="BS721" s="458"/>
      <c r="BT721" s="458"/>
      <c r="BU721" s="458"/>
      <c r="BV721" s="158"/>
      <c r="BW721" s="158"/>
      <c r="BX721" s="458"/>
      <c r="BY721" s="458"/>
      <c r="BZ721" s="458"/>
      <c r="CA721" s="458"/>
      <c r="CB721" s="158"/>
      <c r="CC721" s="158"/>
      <c r="CD721" s="458"/>
      <c r="CE721" s="458"/>
    </row>
    <row r="722" spans="1:83" x14ac:dyDescent="0.5">
      <c r="A722" s="268"/>
      <c r="B722" s="181"/>
      <c r="C722" s="182"/>
      <c r="D722" s="183"/>
      <c r="E722" s="184"/>
      <c r="F722" s="185"/>
      <c r="G722" s="186">
        <v>43183</v>
      </c>
      <c r="H722" s="187">
        <v>18125</v>
      </c>
      <c r="I722" s="199"/>
      <c r="J722" s="186"/>
      <c r="K722" s="240"/>
      <c r="L722" s="558"/>
      <c r="M722" s="181"/>
      <c r="N722" s="237"/>
      <c r="O722" s="237"/>
      <c r="P722" s="237"/>
      <c r="Q722" s="190"/>
      <c r="R722" s="215"/>
      <c r="S722" s="216"/>
      <c r="T722" s="217"/>
      <c r="U722" s="544"/>
      <c r="V722" s="560"/>
      <c r="W722" s="561"/>
      <c r="X722" s="561"/>
      <c r="Y722" s="562"/>
      <c r="Z722" s="198"/>
      <c r="AA722" s="200"/>
      <c r="AB722" s="201"/>
      <c r="AC722" s="238"/>
      <c r="AD722" s="238"/>
      <c r="AE722" s="203"/>
      <c r="AF722" s="199"/>
      <c r="AG722" s="199"/>
      <c r="AH722" s="199"/>
      <c r="AI722" s="180"/>
      <c r="AJ722" s="204"/>
      <c r="AK722" s="205"/>
      <c r="AL722" s="206"/>
      <c r="AM722" s="206"/>
      <c r="AN722" s="207"/>
      <c r="AO722" s="208"/>
      <c r="AP722" s="204"/>
      <c r="AQ722" s="200"/>
      <c r="AR722" s="207"/>
      <c r="AS722" s="207"/>
      <c r="AT722" s="207"/>
      <c r="AU722" s="209"/>
      <c r="AV722" s="204"/>
      <c r="AW722" s="200"/>
      <c r="AX722" s="207"/>
      <c r="AY722" s="207"/>
      <c r="AZ722" s="207"/>
      <c r="BA722" s="209"/>
      <c r="BB722" s="365"/>
      <c r="BC722" s="365"/>
      <c r="BD722" s="204"/>
      <c r="BE722" s="204"/>
      <c r="BF722" s="365"/>
      <c r="BG722" s="210"/>
      <c r="BH722" s="365"/>
      <c r="BI722" s="365"/>
      <c r="BJ722" s="204"/>
      <c r="BK722" s="204"/>
      <c r="BL722" s="365"/>
      <c r="BM722" s="365"/>
      <c r="BN722" s="365"/>
      <c r="BO722" s="365"/>
      <c r="BP722" s="204"/>
      <c r="BQ722" s="204"/>
      <c r="BR722" s="365"/>
      <c r="BS722" s="365"/>
      <c r="BT722" s="365"/>
      <c r="BU722" s="365"/>
      <c r="BV722" s="204"/>
      <c r="BW722" s="204"/>
      <c r="BX722" s="365"/>
      <c r="BY722" s="365"/>
      <c r="BZ722" s="365"/>
      <c r="CA722" s="365"/>
      <c r="CB722" s="204"/>
      <c r="CC722" s="204"/>
      <c r="CD722" s="365"/>
      <c r="CE722" s="365"/>
    </row>
    <row r="723" spans="1:83" x14ac:dyDescent="0.5">
      <c r="A723" s="227">
        <v>18015686</v>
      </c>
      <c r="B723" s="22">
        <v>18010056</v>
      </c>
      <c r="C723" s="23" t="s">
        <v>1439</v>
      </c>
      <c r="D723" s="24" t="s">
        <v>184</v>
      </c>
      <c r="E723" s="25" t="s">
        <v>185</v>
      </c>
      <c r="F723" s="26" t="s">
        <v>1420</v>
      </c>
      <c r="G723" s="62">
        <v>43138</v>
      </c>
      <c r="H723" s="27">
        <v>18038</v>
      </c>
      <c r="I723" s="39" t="s">
        <v>869</v>
      </c>
      <c r="J723" s="62">
        <v>43139</v>
      </c>
      <c r="K723" s="42" t="s">
        <v>15</v>
      </c>
      <c r="L723" s="520" t="s">
        <v>487</v>
      </c>
      <c r="M723" s="22" t="s">
        <v>51</v>
      </c>
      <c r="N723" s="63">
        <v>33600</v>
      </c>
      <c r="O723" s="63">
        <v>2352</v>
      </c>
      <c r="P723" s="63">
        <f t="shared" si="121"/>
        <v>35952</v>
      </c>
      <c r="AA723" s="40">
        <v>18020046</v>
      </c>
      <c r="AB723" s="41">
        <v>33600</v>
      </c>
      <c r="AC723" s="64">
        <f t="shared" ref="AC723:AC733" si="122">AB723*7/100</f>
        <v>2352</v>
      </c>
      <c r="AD723" s="64">
        <f t="shared" ref="AD723:AD733" si="123">AB723+AC723</f>
        <v>35952</v>
      </c>
      <c r="AE723" s="53">
        <v>43185</v>
      </c>
      <c r="AF723" s="39" t="s">
        <v>869</v>
      </c>
      <c r="AI723" s="21" t="s">
        <v>933</v>
      </c>
      <c r="AJ723" s="44">
        <v>1</v>
      </c>
      <c r="AK723" s="45" t="s">
        <v>876</v>
      </c>
      <c r="AL723" s="46" t="s">
        <v>1205</v>
      </c>
      <c r="AN723" s="47">
        <v>1</v>
      </c>
      <c r="AO723" s="48" t="s">
        <v>633</v>
      </c>
      <c r="AQ723" s="54"/>
      <c r="AR723" s="44"/>
      <c r="AS723" s="44"/>
      <c r="AT723" s="44"/>
      <c r="AU723" s="54"/>
      <c r="AW723" s="54"/>
      <c r="AX723" s="44"/>
      <c r="AY723" s="44"/>
      <c r="AZ723" s="44"/>
      <c r="BA723" s="54"/>
      <c r="BC723" s="54"/>
      <c r="BD723" s="44"/>
      <c r="BE723" s="44"/>
      <c r="BF723" s="44"/>
      <c r="BG723" s="54"/>
      <c r="BI723" s="54"/>
      <c r="BJ723" s="44"/>
      <c r="BK723" s="44"/>
      <c r="BL723" s="44"/>
      <c r="BM723" s="44"/>
      <c r="BO723" s="54"/>
      <c r="BP723" s="44"/>
      <c r="BQ723" s="44"/>
      <c r="BR723" s="44"/>
      <c r="BS723" s="44"/>
      <c r="BU723" s="54"/>
      <c r="BV723" s="44"/>
      <c r="BW723" s="44"/>
      <c r="BX723" s="44"/>
      <c r="BY723" s="44"/>
      <c r="CA723" s="54"/>
      <c r="CB723" s="44"/>
      <c r="CC723" s="44"/>
      <c r="CD723" s="44"/>
      <c r="CE723" s="44"/>
    </row>
    <row r="724" spans="1:83" x14ac:dyDescent="0.5">
      <c r="A724" s="227">
        <v>18015685</v>
      </c>
      <c r="B724" s="22">
        <v>18010053</v>
      </c>
      <c r="C724" s="23" t="s">
        <v>1440</v>
      </c>
      <c r="D724" s="24" t="s">
        <v>184</v>
      </c>
      <c r="E724" s="25" t="s">
        <v>185</v>
      </c>
      <c r="F724" s="26" t="s">
        <v>1417</v>
      </c>
      <c r="G724" s="62">
        <v>43147</v>
      </c>
      <c r="H724" s="27">
        <v>18061</v>
      </c>
      <c r="I724" s="39" t="s">
        <v>869</v>
      </c>
      <c r="J724" s="62">
        <v>43148</v>
      </c>
      <c r="K724" s="42" t="s">
        <v>307</v>
      </c>
      <c r="L724" s="520" t="s">
        <v>488</v>
      </c>
      <c r="M724" s="22" t="s">
        <v>52</v>
      </c>
      <c r="N724" s="63">
        <v>42780</v>
      </c>
      <c r="O724" s="63">
        <v>2994.6</v>
      </c>
      <c r="P724" s="63">
        <f t="shared" si="121"/>
        <v>45774.6</v>
      </c>
      <c r="U724" s="516">
        <v>1789</v>
      </c>
      <c r="X724" s="518">
        <v>149.56</v>
      </c>
      <c r="AA724" s="40">
        <v>18020045</v>
      </c>
      <c r="AB724" s="41">
        <v>42780</v>
      </c>
      <c r="AC724" s="64">
        <f t="shared" si="122"/>
        <v>2994.6</v>
      </c>
      <c r="AD724" s="64">
        <f t="shared" si="123"/>
        <v>45774.6</v>
      </c>
      <c r="AE724" s="53">
        <v>43137</v>
      </c>
      <c r="AF724" s="39" t="s">
        <v>869</v>
      </c>
      <c r="AI724" s="21" t="s">
        <v>930</v>
      </c>
      <c r="AJ724" s="44">
        <v>1</v>
      </c>
      <c r="AK724" s="45" t="s">
        <v>883</v>
      </c>
      <c r="AM724" s="46" t="s">
        <v>1205</v>
      </c>
      <c r="AN724" s="47">
        <v>2</v>
      </c>
      <c r="AO724" s="48" t="s">
        <v>636</v>
      </c>
      <c r="AP724" s="44">
        <v>2</v>
      </c>
      <c r="AQ724" s="40" t="s">
        <v>755</v>
      </c>
      <c r="AS724" s="47" t="s">
        <v>1205</v>
      </c>
      <c r="AT724" s="47">
        <v>3</v>
      </c>
      <c r="AU724" s="49" t="s">
        <v>634</v>
      </c>
      <c r="AW724" s="54"/>
      <c r="AX724" s="44"/>
      <c r="AY724" s="44"/>
      <c r="AZ724" s="44"/>
      <c r="BA724" s="54"/>
      <c r="BC724" s="54"/>
      <c r="BD724" s="44"/>
      <c r="BE724" s="44"/>
      <c r="BF724" s="44"/>
      <c r="BG724" s="54"/>
      <c r="BI724" s="54"/>
      <c r="BJ724" s="44"/>
      <c r="BK724" s="44"/>
      <c r="BL724" s="44"/>
      <c r="BM724" s="44"/>
      <c r="BO724" s="54"/>
      <c r="BP724" s="44"/>
      <c r="BQ724" s="44"/>
      <c r="BR724" s="44"/>
      <c r="BS724" s="44"/>
      <c r="BU724" s="54"/>
      <c r="BV724" s="44"/>
      <c r="BW724" s="44"/>
      <c r="BX724" s="44"/>
      <c r="BY724" s="44"/>
      <c r="CA724" s="54"/>
      <c r="CB724" s="44"/>
      <c r="CC724" s="44"/>
      <c r="CD724" s="44"/>
      <c r="CE724" s="44"/>
    </row>
    <row r="725" spans="1:83" x14ac:dyDescent="0.5">
      <c r="A725" s="227">
        <v>18015684</v>
      </c>
      <c r="B725" s="22" t="s">
        <v>489</v>
      </c>
      <c r="C725" s="23" t="s">
        <v>1441</v>
      </c>
      <c r="D725" s="24" t="s">
        <v>184</v>
      </c>
      <c r="E725" s="25" t="s">
        <v>185</v>
      </c>
      <c r="F725" s="26" t="s">
        <v>1430</v>
      </c>
      <c r="I725" s="39" t="s">
        <v>869</v>
      </c>
      <c r="J725" s="62">
        <v>43144</v>
      </c>
      <c r="K725" s="42" t="s">
        <v>490</v>
      </c>
      <c r="L725" s="520" t="s">
        <v>491</v>
      </c>
      <c r="M725" s="22" t="s">
        <v>52</v>
      </c>
      <c r="N725" s="63">
        <v>116450</v>
      </c>
      <c r="O725" s="63">
        <v>8151.5</v>
      </c>
      <c r="P725" s="63">
        <f t="shared" si="121"/>
        <v>124601.5</v>
      </c>
      <c r="U725" s="516">
        <v>5822.5</v>
      </c>
      <c r="X725" s="518">
        <v>475.69</v>
      </c>
      <c r="AA725" s="40">
        <v>18020044</v>
      </c>
      <c r="AB725" s="41">
        <v>116450</v>
      </c>
      <c r="AC725" s="64">
        <f t="shared" si="122"/>
        <v>8151.5</v>
      </c>
      <c r="AD725" s="64">
        <f t="shared" si="123"/>
        <v>124601.5</v>
      </c>
      <c r="AE725" s="53">
        <v>43137</v>
      </c>
      <c r="AF725" s="39" t="s">
        <v>869</v>
      </c>
      <c r="AI725" s="21" t="s">
        <v>929</v>
      </c>
      <c r="AJ725" s="44">
        <v>1</v>
      </c>
      <c r="AK725" s="45" t="s">
        <v>877</v>
      </c>
      <c r="AM725" s="46" t="s">
        <v>1205</v>
      </c>
      <c r="AN725" s="47">
        <v>1</v>
      </c>
      <c r="AO725" s="48" t="s">
        <v>634</v>
      </c>
      <c r="AP725" s="44">
        <v>2</v>
      </c>
      <c r="AQ725" s="40" t="s">
        <v>600</v>
      </c>
      <c r="AS725" s="47" t="s">
        <v>1205</v>
      </c>
      <c r="AT725" s="47">
        <v>3</v>
      </c>
      <c r="AU725" s="49" t="s">
        <v>636</v>
      </c>
      <c r="AW725" s="54"/>
      <c r="AX725" s="44"/>
      <c r="AY725" s="44"/>
      <c r="AZ725" s="44"/>
      <c r="BA725" s="54"/>
      <c r="BC725" s="54"/>
      <c r="BD725" s="44"/>
      <c r="BE725" s="44"/>
      <c r="BF725" s="44"/>
      <c r="BG725" s="54"/>
      <c r="BI725" s="54"/>
      <c r="BJ725" s="44"/>
      <c r="BK725" s="44"/>
      <c r="BL725" s="44"/>
      <c r="BM725" s="44"/>
      <c r="BO725" s="54"/>
      <c r="BP725" s="44"/>
      <c r="BQ725" s="44"/>
      <c r="BR725" s="44"/>
      <c r="BS725" s="44"/>
      <c r="BU725" s="54"/>
      <c r="BV725" s="44"/>
      <c r="BW725" s="44"/>
      <c r="BX725" s="44"/>
      <c r="BY725" s="44"/>
      <c r="CA725" s="54"/>
      <c r="CB725" s="44"/>
      <c r="CC725" s="44"/>
      <c r="CD725" s="44"/>
      <c r="CE725" s="44"/>
    </row>
    <row r="726" spans="1:83" x14ac:dyDescent="0.5">
      <c r="A726" s="259">
        <v>18015683</v>
      </c>
      <c r="B726" s="104">
        <v>18010050</v>
      </c>
      <c r="C726" s="105" t="s">
        <v>1442</v>
      </c>
      <c r="D726" s="106" t="s">
        <v>184</v>
      </c>
      <c r="E726" s="107" t="s">
        <v>185</v>
      </c>
      <c r="F726" s="108" t="s">
        <v>1418</v>
      </c>
      <c r="G726" s="211">
        <v>43145</v>
      </c>
      <c r="H726" s="164">
        <v>18058</v>
      </c>
      <c r="I726" s="127" t="s">
        <v>869</v>
      </c>
      <c r="J726" s="122">
        <v>43146</v>
      </c>
      <c r="K726" s="547" t="s">
        <v>492</v>
      </c>
      <c r="L726" s="547" t="s">
        <v>493</v>
      </c>
      <c r="M726" s="104" t="s">
        <v>51</v>
      </c>
      <c r="N726" s="260">
        <v>702800</v>
      </c>
      <c r="O726" s="260">
        <v>49196</v>
      </c>
      <c r="P726" s="260">
        <f t="shared" si="121"/>
        <v>751996</v>
      </c>
      <c r="Q726" s="311"/>
      <c r="R726" s="113"/>
      <c r="S726" s="114"/>
      <c r="T726" s="115"/>
      <c r="U726" s="550"/>
      <c r="V726" s="551"/>
      <c r="W726" s="552"/>
      <c r="X726" s="552"/>
      <c r="Y726" s="553"/>
      <c r="Z726" s="120"/>
      <c r="AA726" s="123">
        <v>18020054</v>
      </c>
      <c r="AB726" s="124">
        <v>702800</v>
      </c>
      <c r="AC726" s="261">
        <f t="shared" si="122"/>
        <v>49196</v>
      </c>
      <c r="AD726" s="261">
        <f t="shared" si="123"/>
        <v>751996</v>
      </c>
      <c r="AE726" s="126">
        <v>43190</v>
      </c>
      <c r="AF726" s="127" t="s">
        <v>869</v>
      </c>
      <c r="AG726" s="127"/>
      <c r="AH726" s="127"/>
      <c r="AI726" s="103" t="s">
        <v>934</v>
      </c>
      <c r="AJ726" s="128">
        <v>1</v>
      </c>
      <c r="AK726" s="129" t="s">
        <v>881</v>
      </c>
      <c r="AL726" s="130"/>
      <c r="AM726" s="130"/>
      <c r="AN726" s="131">
        <v>1</v>
      </c>
      <c r="AO726" s="132" t="s">
        <v>634</v>
      </c>
      <c r="AP726" s="128">
        <v>2</v>
      </c>
      <c r="AQ726" s="123" t="s">
        <v>882</v>
      </c>
      <c r="AR726" s="131"/>
      <c r="AS726" s="131"/>
      <c r="AT726" s="131">
        <v>1</v>
      </c>
      <c r="AU726" s="169" t="s">
        <v>634</v>
      </c>
      <c r="AV726" s="128"/>
      <c r="AW726" s="133"/>
      <c r="AX726" s="128"/>
      <c r="AY726" s="128"/>
      <c r="AZ726" s="128"/>
      <c r="BA726" s="133"/>
      <c r="BB726" s="128"/>
      <c r="BC726" s="133"/>
      <c r="BD726" s="128"/>
      <c r="BE726" s="128"/>
      <c r="BF726" s="128"/>
      <c r="BG726" s="133"/>
      <c r="BH726" s="128"/>
      <c r="BI726" s="133"/>
      <c r="BJ726" s="128"/>
      <c r="BK726" s="128"/>
      <c r="BL726" s="128"/>
      <c r="BM726" s="128"/>
      <c r="BN726" s="128"/>
      <c r="BO726" s="133"/>
      <c r="BP726" s="128"/>
      <c r="BQ726" s="128"/>
      <c r="BR726" s="128"/>
      <c r="BS726" s="128"/>
      <c r="BT726" s="128"/>
      <c r="BU726" s="133"/>
      <c r="BV726" s="128"/>
      <c r="BW726" s="128"/>
      <c r="BX726" s="128"/>
      <c r="BY726" s="128"/>
      <c r="BZ726" s="128"/>
      <c r="CA726" s="133"/>
      <c r="CB726" s="128"/>
      <c r="CC726" s="128"/>
      <c r="CD726" s="128"/>
      <c r="CE726" s="128"/>
    </row>
    <row r="727" spans="1:83" x14ac:dyDescent="0.5">
      <c r="A727" s="262"/>
      <c r="B727" s="135"/>
      <c r="C727" s="136"/>
      <c r="D727" s="137"/>
      <c r="E727" s="138"/>
      <c r="F727" s="139"/>
      <c r="G727" s="170">
        <v>43145</v>
      </c>
      <c r="H727" s="251">
        <v>18059</v>
      </c>
      <c r="I727" s="152"/>
      <c r="J727" s="179"/>
      <c r="K727" s="255"/>
      <c r="L727" s="255"/>
      <c r="M727" s="135"/>
      <c r="N727" s="253"/>
      <c r="O727" s="253"/>
      <c r="P727" s="253"/>
      <c r="Q727" s="143"/>
      <c r="R727" s="144"/>
      <c r="S727" s="145"/>
      <c r="T727" s="146"/>
      <c r="U727" s="529"/>
      <c r="V727" s="555"/>
      <c r="W727" s="556"/>
      <c r="X727" s="556"/>
      <c r="Y727" s="557"/>
      <c r="Z727" s="151"/>
      <c r="AA727" s="154"/>
      <c r="AB727" s="155"/>
      <c r="AC727" s="263"/>
      <c r="AD727" s="263"/>
      <c r="AE727" s="157"/>
      <c r="AF727" s="152"/>
      <c r="AG727" s="152"/>
      <c r="AH727" s="152"/>
      <c r="AI727" s="134"/>
      <c r="AJ727" s="158"/>
      <c r="AK727" s="159"/>
      <c r="AL727" s="160"/>
      <c r="AM727" s="160"/>
      <c r="AN727" s="161"/>
      <c r="AO727" s="162"/>
      <c r="AP727" s="158"/>
      <c r="AQ727" s="154"/>
      <c r="AR727" s="161"/>
      <c r="AS727" s="161"/>
      <c r="AT727" s="161"/>
      <c r="AU727" s="177"/>
      <c r="AV727" s="158"/>
      <c r="AW727" s="163"/>
      <c r="AX727" s="158"/>
      <c r="AY727" s="158"/>
      <c r="AZ727" s="158"/>
      <c r="BA727" s="163"/>
      <c r="BB727" s="158"/>
      <c r="BC727" s="163"/>
      <c r="BD727" s="158"/>
      <c r="BE727" s="158"/>
      <c r="BF727" s="158"/>
      <c r="BG727" s="163"/>
      <c r="BH727" s="158"/>
      <c r="BI727" s="163"/>
      <c r="BJ727" s="158"/>
      <c r="BK727" s="158"/>
      <c r="BL727" s="158"/>
      <c r="BM727" s="158"/>
      <c r="BN727" s="158"/>
      <c r="BO727" s="163"/>
      <c r="BP727" s="158"/>
      <c r="BQ727" s="158"/>
      <c r="BR727" s="158"/>
      <c r="BS727" s="158"/>
      <c r="BT727" s="158"/>
      <c r="BU727" s="163"/>
      <c r="BV727" s="158"/>
      <c r="BW727" s="158"/>
      <c r="BX727" s="158"/>
      <c r="BY727" s="158"/>
      <c r="BZ727" s="158"/>
      <c r="CA727" s="163"/>
      <c r="CB727" s="158"/>
      <c r="CC727" s="158"/>
      <c r="CD727" s="158"/>
      <c r="CE727" s="158"/>
    </row>
    <row r="728" spans="1:83" x14ac:dyDescent="0.5">
      <c r="A728" s="268"/>
      <c r="B728" s="181"/>
      <c r="C728" s="182"/>
      <c r="D728" s="183"/>
      <c r="E728" s="184"/>
      <c r="F728" s="185"/>
      <c r="G728" s="186">
        <v>43145</v>
      </c>
      <c r="H728" s="187">
        <v>18060</v>
      </c>
      <c r="I728" s="199"/>
      <c r="J728" s="186"/>
      <c r="K728" s="240"/>
      <c r="L728" s="558"/>
      <c r="M728" s="181"/>
      <c r="N728" s="237"/>
      <c r="O728" s="237"/>
      <c r="P728" s="237"/>
      <c r="Q728" s="190"/>
      <c r="R728" s="215"/>
      <c r="S728" s="216"/>
      <c r="T728" s="217"/>
      <c r="U728" s="544"/>
      <c r="V728" s="560"/>
      <c r="W728" s="561"/>
      <c r="X728" s="561"/>
      <c r="Y728" s="562"/>
      <c r="Z728" s="198"/>
      <c r="AA728" s="200"/>
      <c r="AB728" s="201"/>
      <c r="AC728" s="238"/>
      <c r="AD728" s="238"/>
      <c r="AE728" s="203"/>
      <c r="AF728" s="199"/>
      <c r="AG728" s="199"/>
      <c r="AH728" s="199"/>
      <c r="AI728" s="180"/>
      <c r="AJ728" s="204"/>
      <c r="AK728" s="205"/>
      <c r="AL728" s="206"/>
      <c r="AM728" s="206"/>
      <c r="AN728" s="207"/>
      <c r="AO728" s="208"/>
      <c r="AP728" s="204"/>
      <c r="AQ728" s="200"/>
      <c r="AR728" s="207"/>
      <c r="AS728" s="207"/>
      <c r="AT728" s="207"/>
      <c r="AU728" s="209"/>
      <c r="AV728" s="204"/>
      <c r="AW728" s="210"/>
      <c r="AX728" s="204"/>
      <c r="AY728" s="204"/>
      <c r="AZ728" s="204"/>
      <c r="BA728" s="210"/>
      <c r="BB728" s="204"/>
      <c r="BC728" s="210"/>
      <c r="BD728" s="204"/>
      <c r="BE728" s="204"/>
      <c r="BF728" s="204"/>
      <c r="BG728" s="210"/>
      <c r="BH728" s="204"/>
      <c r="BI728" s="210"/>
      <c r="BJ728" s="204"/>
      <c r="BK728" s="204"/>
      <c r="BL728" s="204"/>
      <c r="BM728" s="204"/>
      <c r="BN728" s="204"/>
      <c r="BO728" s="210"/>
      <c r="BP728" s="204"/>
      <c r="BQ728" s="204"/>
      <c r="BR728" s="204"/>
      <c r="BS728" s="204"/>
      <c r="BT728" s="204"/>
      <c r="BU728" s="210"/>
      <c r="BV728" s="204"/>
      <c r="BW728" s="204"/>
      <c r="BX728" s="204"/>
      <c r="BY728" s="204"/>
      <c r="BZ728" s="204"/>
      <c r="CA728" s="210"/>
      <c r="CB728" s="204"/>
      <c r="CC728" s="204"/>
      <c r="CD728" s="204"/>
      <c r="CE728" s="204"/>
    </row>
    <row r="729" spans="1:83" x14ac:dyDescent="0.5">
      <c r="A729" s="227">
        <v>18015682</v>
      </c>
      <c r="B729" s="22">
        <v>18010051</v>
      </c>
      <c r="C729" s="23" t="s">
        <v>1443</v>
      </c>
      <c r="D729" s="24" t="s">
        <v>184</v>
      </c>
      <c r="E729" s="25" t="s">
        <v>185</v>
      </c>
      <c r="F729" s="26" t="s">
        <v>1436</v>
      </c>
      <c r="G729" s="62">
        <v>43133</v>
      </c>
      <c r="H729" s="27">
        <v>18033</v>
      </c>
      <c r="I729" s="39" t="s">
        <v>869</v>
      </c>
      <c r="J729" s="62">
        <v>43133</v>
      </c>
      <c r="K729" s="42" t="s">
        <v>10</v>
      </c>
      <c r="L729" s="520" t="s">
        <v>494</v>
      </c>
      <c r="M729" s="22" t="s">
        <v>51</v>
      </c>
      <c r="N729" s="63">
        <v>190000</v>
      </c>
      <c r="O729" s="63">
        <v>13300</v>
      </c>
      <c r="P729" s="63">
        <f t="shared" si="121"/>
        <v>203300</v>
      </c>
      <c r="AA729" s="40">
        <v>18010040</v>
      </c>
      <c r="AB729" s="41">
        <v>190000</v>
      </c>
      <c r="AC729" s="64">
        <f t="shared" si="122"/>
        <v>13300</v>
      </c>
      <c r="AD729" s="64">
        <f t="shared" si="123"/>
        <v>203300</v>
      </c>
      <c r="AE729" s="53">
        <v>43176</v>
      </c>
      <c r="AF729" s="39" t="s">
        <v>869</v>
      </c>
      <c r="AI729" s="21" t="s">
        <v>921</v>
      </c>
      <c r="AJ729" s="44">
        <v>1</v>
      </c>
      <c r="AK729" s="45" t="s">
        <v>782</v>
      </c>
      <c r="AM729" s="46" t="s">
        <v>1205</v>
      </c>
      <c r="AN729" s="47">
        <v>1</v>
      </c>
      <c r="AO729" s="48" t="s">
        <v>635</v>
      </c>
      <c r="AQ729" s="54"/>
      <c r="AR729" s="44"/>
      <c r="AS729" s="44"/>
      <c r="AT729" s="44"/>
      <c r="AU729" s="54"/>
      <c r="AW729" s="54"/>
      <c r="AX729" s="44"/>
      <c r="AY729" s="44"/>
      <c r="AZ729" s="44"/>
      <c r="BA729" s="54"/>
      <c r="BC729" s="54"/>
      <c r="BD729" s="44"/>
      <c r="BE729" s="44"/>
      <c r="BF729" s="44"/>
      <c r="BG729" s="54"/>
      <c r="BI729" s="54"/>
      <c r="BJ729" s="44"/>
      <c r="BK729" s="44"/>
      <c r="BL729" s="44"/>
      <c r="BM729" s="44"/>
      <c r="BO729" s="54"/>
      <c r="BP729" s="44"/>
      <c r="BQ729" s="44"/>
      <c r="BR729" s="44"/>
      <c r="BS729" s="44"/>
      <c r="BU729" s="54"/>
      <c r="BV729" s="44"/>
      <c r="BW729" s="44"/>
      <c r="BX729" s="44"/>
      <c r="BY729" s="44"/>
      <c r="CA729" s="54"/>
      <c r="CB729" s="44"/>
      <c r="CC729" s="44"/>
      <c r="CD729" s="44"/>
      <c r="CE729" s="44"/>
    </row>
    <row r="730" spans="1:83" x14ac:dyDescent="0.5">
      <c r="A730" s="227">
        <v>18015681</v>
      </c>
      <c r="B730" s="22" t="s">
        <v>495</v>
      </c>
      <c r="C730" s="55"/>
      <c r="D730" s="56"/>
      <c r="E730" s="57"/>
      <c r="F730" s="58"/>
      <c r="G730" s="59"/>
      <c r="H730" s="60"/>
      <c r="I730" s="269" t="s">
        <v>869</v>
      </c>
      <c r="J730" s="59"/>
      <c r="K730" s="42" t="s">
        <v>496</v>
      </c>
      <c r="L730" s="520" t="s">
        <v>497</v>
      </c>
      <c r="M730" s="22" t="s">
        <v>51</v>
      </c>
      <c r="N730" s="63">
        <v>43000</v>
      </c>
      <c r="O730" s="63">
        <f>N730*7/100</f>
        <v>3010</v>
      </c>
      <c r="P730" s="63">
        <f>N730+O730</f>
        <v>46010</v>
      </c>
      <c r="AA730" s="40">
        <v>18010032</v>
      </c>
      <c r="AB730" s="41">
        <v>43000</v>
      </c>
      <c r="AC730" s="64">
        <f t="shared" si="122"/>
        <v>3010</v>
      </c>
      <c r="AD730" s="64">
        <f t="shared" si="123"/>
        <v>46010</v>
      </c>
      <c r="AE730" s="53">
        <v>43159</v>
      </c>
      <c r="AF730" s="39" t="s">
        <v>869</v>
      </c>
      <c r="AI730" s="21" t="s">
        <v>928</v>
      </c>
      <c r="AJ730" s="44">
        <v>1</v>
      </c>
      <c r="AP730" s="44">
        <v>2</v>
      </c>
      <c r="AV730" s="44">
        <v>3</v>
      </c>
      <c r="BB730" s="44">
        <v>4</v>
      </c>
      <c r="BH730" s="44">
        <v>5</v>
      </c>
      <c r="BN730" s="44">
        <v>6</v>
      </c>
      <c r="BT730" s="44">
        <v>7</v>
      </c>
      <c r="BZ730" s="44">
        <v>8</v>
      </c>
    </row>
    <row r="731" spans="1:83" x14ac:dyDescent="0.5">
      <c r="A731" s="227">
        <v>18015680</v>
      </c>
      <c r="B731" s="22" t="s">
        <v>498</v>
      </c>
      <c r="C731" s="23" t="s">
        <v>1444</v>
      </c>
      <c r="D731" s="24" t="s">
        <v>184</v>
      </c>
      <c r="E731" s="25" t="s">
        <v>185</v>
      </c>
      <c r="F731" s="26" t="s">
        <v>1437</v>
      </c>
      <c r="G731" s="62">
        <v>43133</v>
      </c>
      <c r="H731" s="27">
        <v>18034</v>
      </c>
      <c r="I731" s="39" t="s">
        <v>869</v>
      </c>
      <c r="J731" s="62">
        <v>43133</v>
      </c>
      <c r="K731" s="42" t="s">
        <v>97</v>
      </c>
      <c r="L731" s="520" t="s">
        <v>499</v>
      </c>
      <c r="M731" s="22" t="s">
        <v>51</v>
      </c>
      <c r="N731" s="63">
        <v>74039.199999999997</v>
      </c>
      <c r="O731" s="63">
        <v>5182.74</v>
      </c>
      <c r="P731" s="63">
        <f>SUM(N731:O731)</f>
        <v>79221.94</v>
      </c>
      <c r="AA731" s="40">
        <v>18010041</v>
      </c>
      <c r="AB731" s="41">
        <v>74039.199999999997</v>
      </c>
      <c r="AC731" s="64">
        <f t="shared" si="122"/>
        <v>5182.7439999999997</v>
      </c>
      <c r="AD731" s="64">
        <f t="shared" si="123"/>
        <v>79221.944000000003</v>
      </c>
      <c r="AE731" s="53">
        <v>43176</v>
      </c>
      <c r="AF731" s="39" t="s">
        <v>869</v>
      </c>
      <c r="AI731" s="21" t="s">
        <v>936</v>
      </c>
      <c r="AJ731" s="44">
        <v>1</v>
      </c>
      <c r="AK731" s="45" t="s">
        <v>875</v>
      </c>
      <c r="AL731" s="46" t="s">
        <v>1205</v>
      </c>
      <c r="AN731" s="47">
        <v>1</v>
      </c>
      <c r="AO731" s="48" t="s">
        <v>635</v>
      </c>
      <c r="AQ731" s="54"/>
      <c r="AR731" s="44"/>
      <c r="AS731" s="44"/>
      <c r="AT731" s="44"/>
      <c r="AU731" s="54"/>
      <c r="AW731" s="54"/>
      <c r="AX731" s="44"/>
      <c r="AY731" s="44"/>
      <c r="AZ731" s="44"/>
      <c r="BA731" s="54"/>
      <c r="BC731" s="54"/>
      <c r="BD731" s="44"/>
      <c r="BE731" s="44"/>
      <c r="BF731" s="44"/>
      <c r="BG731" s="54"/>
      <c r="BI731" s="54"/>
      <c r="BJ731" s="44"/>
      <c r="BK731" s="44"/>
      <c r="BL731" s="44"/>
      <c r="BM731" s="44"/>
      <c r="BO731" s="54"/>
      <c r="BP731" s="44"/>
      <c r="BQ731" s="44"/>
      <c r="BR731" s="44"/>
      <c r="BS731" s="44"/>
      <c r="BU731" s="54"/>
      <c r="BV731" s="44"/>
      <c r="BW731" s="44"/>
      <c r="BX731" s="44"/>
      <c r="BY731" s="44"/>
      <c r="CA731" s="54"/>
      <c r="CB731" s="44"/>
      <c r="CC731" s="44"/>
      <c r="CD731" s="44"/>
      <c r="CE731" s="44"/>
    </row>
    <row r="732" spans="1:83" x14ac:dyDescent="0.5">
      <c r="A732" s="369">
        <v>18015679</v>
      </c>
      <c r="B732" s="370">
        <v>18010037</v>
      </c>
      <c r="C732" s="371" t="s">
        <v>1445</v>
      </c>
      <c r="D732" s="372" t="s">
        <v>184</v>
      </c>
      <c r="E732" s="373" t="s">
        <v>185</v>
      </c>
      <c r="F732" s="623" t="s">
        <v>1426</v>
      </c>
      <c r="G732" s="211">
        <v>43140</v>
      </c>
      <c r="H732" s="164">
        <v>18050</v>
      </c>
      <c r="I732" s="368" t="s">
        <v>869</v>
      </c>
      <c r="J732" s="211">
        <v>43141</v>
      </c>
      <c r="K732" s="375" t="s">
        <v>239</v>
      </c>
      <c r="L732" s="375" t="s">
        <v>442</v>
      </c>
      <c r="M732" s="375" t="s">
        <v>50</v>
      </c>
      <c r="N732" s="376">
        <v>909600</v>
      </c>
      <c r="O732" s="376">
        <v>63672</v>
      </c>
      <c r="P732" s="376">
        <f>SUM(N732:O732)</f>
        <v>973272</v>
      </c>
      <c r="Q732" s="430">
        <v>69000</v>
      </c>
      <c r="R732" s="659" t="s">
        <v>577</v>
      </c>
      <c r="S732" s="379">
        <f>N732-Q732</f>
        <v>840600</v>
      </c>
      <c r="T732" s="380">
        <v>3</v>
      </c>
      <c r="U732" s="381">
        <f>S732*T732/100</f>
        <v>25218</v>
      </c>
      <c r="V732" s="382">
        <f>S732-U732</f>
        <v>815382</v>
      </c>
      <c r="W732" s="383">
        <v>0.15</v>
      </c>
      <c r="X732" s="383">
        <f>V732*W732/100</f>
        <v>1223.0729999999999</v>
      </c>
      <c r="Y732" s="384">
        <v>0.2</v>
      </c>
      <c r="Z732" s="385">
        <f>V732*Y732/100</f>
        <v>1630.7640000000001</v>
      </c>
      <c r="AA732" s="123">
        <v>18020075</v>
      </c>
      <c r="AB732" s="478">
        <v>780552.51</v>
      </c>
      <c r="AC732" s="478">
        <f t="shared" si="122"/>
        <v>54638.6757</v>
      </c>
      <c r="AD732" s="478">
        <f t="shared" si="123"/>
        <v>835191.18570000003</v>
      </c>
      <c r="AE732" s="126">
        <v>43204</v>
      </c>
      <c r="AF732" s="127" t="s">
        <v>869</v>
      </c>
      <c r="AG732" s="612"/>
      <c r="AH732" s="127"/>
      <c r="AI732" s="103" t="s">
        <v>989</v>
      </c>
      <c r="AJ732" s="390">
        <v>1</v>
      </c>
      <c r="AK732" s="394" t="s">
        <v>835</v>
      </c>
      <c r="AL732" s="131"/>
      <c r="AM732" s="131"/>
      <c r="AN732" s="392">
        <v>2</v>
      </c>
      <c r="AO732" s="393" t="s">
        <v>634</v>
      </c>
      <c r="AP732" s="390">
        <v>2</v>
      </c>
      <c r="AQ732" s="391" t="s">
        <v>836</v>
      </c>
      <c r="AR732" s="131"/>
      <c r="AS732" s="131"/>
      <c r="AT732" s="392">
        <v>1</v>
      </c>
      <c r="AU732" s="393" t="s">
        <v>634</v>
      </c>
      <c r="AV732" s="390">
        <v>3</v>
      </c>
      <c r="AW732" s="394" t="s">
        <v>837</v>
      </c>
      <c r="AX732" s="131"/>
      <c r="AY732" s="131"/>
      <c r="AZ732" s="392">
        <v>1</v>
      </c>
      <c r="BA732" s="393" t="s">
        <v>634</v>
      </c>
      <c r="BB732" s="390">
        <v>4</v>
      </c>
      <c r="BC732" s="392" t="s">
        <v>838</v>
      </c>
      <c r="BD732" s="131"/>
      <c r="BE732" s="131"/>
      <c r="BF732" s="392">
        <v>6</v>
      </c>
      <c r="BG732" s="393" t="s">
        <v>634</v>
      </c>
      <c r="BH732" s="390">
        <v>5</v>
      </c>
      <c r="BI732" s="394" t="s">
        <v>839</v>
      </c>
      <c r="BJ732" s="131"/>
      <c r="BK732" s="131"/>
      <c r="BL732" s="392">
        <v>1</v>
      </c>
      <c r="BM732" s="393" t="s">
        <v>634</v>
      </c>
      <c r="BN732" s="390">
        <v>6</v>
      </c>
      <c r="BO732" s="394" t="s">
        <v>840</v>
      </c>
      <c r="BP732" s="131"/>
      <c r="BQ732" s="131"/>
      <c r="BR732" s="392">
        <v>1</v>
      </c>
      <c r="BS732" s="393" t="s">
        <v>634</v>
      </c>
      <c r="BT732" s="390">
        <v>7</v>
      </c>
      <c r="BU732" s="391" t="s">
        <v>841</v>
      </c>
      <c r="BV732" s="131"/>
      <c r="BW732" s="131"/>
      <c r="BX732" s="392">
        <v>3</v>
      </c>
      <c r="BY732" s="393" t="s">
        <v>636</v>
      </c>
      <c r="BZ732" s="390">
        <v>8</v>
      </c>
      <c r="CA732" s="394" t="s">
        <v>842</v>
      </c>
      <c r="CB732" s="392"/>
      <c r="CC732" s="131"/>
      <c r="CD732" s="392">
        <v>1</v>
      </c>
      <c r="CE732" s="393" t="s">
        <v>634</v>
      </c>
    </row>
    <row r="733" spans="1:83" x14ac:dyDescent="0.5">
      <c r="A733" s="481"/>
      <c r="B733" s="256"/>
      <c r="C733" s="482"/>
      <c r="D733" s="483"/>
      <c r="E733" s="484"/>
      <c r="F733" s="250" t="s">
        <v>1409</v>
      </c>
      <c r="G733" s="178">
        <v>43154</v>
      </c>
      <c r="H733" s="171">
        <v>18073</v>
      </c>
      <c r="I733" s="446"/>
      <c r="J733" s="178"/>
      <c r="K733" s="433"/>
      <c r="L733" s="433"/>
      <c r="M733" s="433"/>
      <c r="N733" s="436"/>
      <c r="O733" s="436"/>
      <c r="P733" s="436"/>
      <c r="Q733" s="437"/>
      <c r="R733" s="660"/>
      <c r="S733" s="439"/>
      <c r="T733" s="440"/>
      <c r="U733" s="441"/>
      <c r="V733" s="442"/>
      <c r="W733" s="443"/>
      <c r="X733" s="443"/>
      <c r="Y733" s="444"/>
      <c r="Z733" s="445"/>
      <c r="AA733" s="154">
        <v>18030094</v>
      </c>
      <c r="AB733" s="494">
        <v>129047.5</v>
      </c>
      <c r="AC733" s="494">
        <f t="shared" si="122"/>
        <v>9033.3250000000007</v>
      </c>
      <c r="AD733" s="494">
        <f t="shared" si="123"/>
        <v>138080.82500000001</v>
      </c>
      <c r="AE733" s="157">
        <v>43212</v>
      </c>
      <c r="AF733" s="152" t="s">
        <v>869</v>
      </c>
      <c r="AG733" s="621"/>
      <c r="AH733" s="152"/>
      <c r="AI733" s="134" t="s">
        <v>1176</v>
      </c>
      <c r="AJ733" s="453"/>
      <c r="AK733" s="448"/>
      <c r="AL733" s="161"/>
      <c r="AM733" s="161"/>
      <c r="AN733" s="454"/>
      <c r="AO733" s="457"/>
      <c r="AP733" s="453"/>
      <c r="AQ733" s="456"/>
      <c r="AR733" s="161"/>
      <c r="AS733" s="161"/>
      <c r="AT733" s="454"/>
      <c r="AU733" s="457"/>
      <c r="AV733" s="453"/>
      <c r="AW733" s="448"/>
      <c r="AX733" s="161"/>
      <c r="AY733" s="161"/>
      <c r="AZ733" s="454"/>
      <c r="BA733" s="457"/>
      <c r="BB733" s="453"/>
      <c r="BC733" s="454"/>
      <c r="BD733" s="161"/>
      <c r="BE733" s="161"/>
      <c r="BF733" s="454"/>
      <c r="BG733" s="457"/>
      <c r="BH733" s="453"/>
      <c r="BI733" s="448"/>
      <c r="BJ733" s="161"/>
      <c r="BK733" s="161"/>
      <c r="BL733" s="454"/>
      <c r="BM733" s="457"/>
      <c r="BN733" s="453"/>
      <c r="BO733" s="448"/>
      <c r="BP733" s="161"/>
      <c r="BQ733" s="161"/>
      <c r="BR733" s="454"/>
      <c r="BS733" s="457"/>
      <c r="BT733" s="453"/>
      <c r="BU733" s="456"/>
      <c r="BV733" s="161"/>
      <c r="BW733" s="161"/>
      <c r="BX733" s="454"/>
      <c r="BY733" s="457"/>
      <c r="BZ733" s="453"/>
      <c r="CA733" s="448"/>
      <c r="CB733" s="454"/>
      <c r="CC733" s="161"/>
      <c r="CD733" s="454"/>
      <c r="CE733" s="457"/>
    </row>
    <row r="734" spans="1:83" x14ac:dyDescent="0.5">
      <c r="A734" s="481"/>
      <c r="B734" s="256"/>
      <c r="C734" s="482"/>
      <c r="D734" s="483"/>
      <c r="E734" s="484"/>
      <c r="F734" s="250" t="s">
        <v>1403</v>
      </c>
      <c r="G734" s="170">
        <v>43154</v>
      </c>
      <c r="H734" s="251">
        <v>18074</v>
      </c>
      <c r="I734" s="446"/>
      <c r="J734" s="178"/>
      <c r="K734" s="433"/>
      <c r="L734" s="433"/>
      <c r="M734" s="433"/>
      <c r="N734" s="436"/>
      <c r="O734" s="436"/>
      <c r="P734" s="436"/>
      <c r="Q734" s="437"/>
      <c r="R734" s="660"/>
      <c r="S734" s="439"/>
      <c r="T734" s="440"/>
      <c r="U734" s="441"/>
      <c r="V734" s="442"/>
      <c r="W734" s="443"/>
      <c r="X734" s="443"/>
      <c r="Y734" s="444"/>
      <c r="Z734" s="445"/>
      <c r="AA734" s="154"/>
      <c r="AB734" s="494"/>
      <c r="AC734" s="494"/>
      <c r="AD734" s="494"/>
      <c r="AE734" s="157"/>
      <c r="AF734" s="152"/>
      <c r="AG734" s="621"/>
      <c r="AH734" s="152"/>
      <c r="AI734" s="134"/>
      <c r="AJ734" s="453"/>
      <c r="AK734" s="448"/>
      <c r="AL734" s="161"/>
      <c r="AM734" s="161"/>
      <c r="AN734" s="454"/>
      <c r="AO734" s="457"/>
      <c r="AP734" s="453"/>
      <c r="AQ734" s="456"/>
      <c r="AR734" s="161"/>
      <c r="AS734" s="161"/>
      <c r="AT734" s="454"/>
      <c r="AU734" s="457"/>
      <c r="AV734" s="453"/>
      <c r="AW734" s="448"/>
      <c r="AX734" s="161"/>
      <c r="AY734" s="161"/>
      <c r="AZ734" s="454"/>
      <c r="BA734" s="457"/>
      <c r="BB734" s="453"/>
      <c r="BC734" s="454"/>
      <c r="BD734" s="161"/>
      <c r="BE734" s="161"/>
      <c r="BF734" s="454"/>
      <c r="BG734" s="457"/>
      <c r="BH734" s="453"/>
      <c r="BI734" s="448"/>
      <c r="BJ734" s="161"/>
      <c r="BK734" s="161"/>
      <c r="BL734" s="454"/>
      <c r="BM734" s="457"/>
      <c r="BN734" s="453"/>
      <c r="BO734" s="448"/>
      <c r="BP734" s="161"/>
      <c r="BQ734" s="161"/>
      <c r="BR734" s="454"/>
      <c r="BS734" s="457"/>
      <c r="BT734" s="453"/>
      <c r="BU734" s="456"/>
      <c r="BV734" s="161"/>
      <c r="BW734" s="161"/>
      <c r="BX734" s="454"/>
      <c r="BY734" s="457"/>
      <c r="BZ734" s="453"/>
      <c r="CA734" s="448"/>
      <c r="CB734" s="454"/>
      <c r="CC734" s="161"/>
      <c r="CD734" s="454"/>
      <c r="CE734" s="457"/>
    </row>
    <row r="735" spans="1:83" x14ac:dyDescent="0.5">
      <c r="A735" s="481"/>
      <c r="B735" s="256"/>
      <c r="C735" s="482"/>
      <c r="D735" s="483"/>
      <c r="E735" s="484"/>
      <c r="F735" s="649"/>
      <c r="G735" s="170">
        <v>43154</v>
      </c>
      <c r="H735" s="251">
        <v>18075</v>
      </c>
      <c r="I735" s="446"/>
      <c r="J735" s="170">
        <v>43155</v>
      </c>
      <c r="K735" s="433"/>
      <c r="L735" s="433"/>
      <c r="M735" s="433"/>
      <c r="N735" s="436"/>
      <c r="O735" s="436"/>
      <c r="P735" s="436"/>
      <c r="Q735" s="437"/>
      <c r="R735" s="660"/>
      <c r="S735" s="439"/>
      <c r="T735" s="440"/>
      <c r="U735" s="441"/>
      <c r="V735" s="442"/>
      <c r="W735" s="443"/>
      <c r="X735" s="443"/>
      <c r="Y735" s="444"/>
      <c r="Z735" s="445"/>
      <c r="AA735" s="620"/>
      <c r="AB735" s="494"/>
      <c r="AC735" s="585"/>
      <c r="AD735" s="585"/>
      <c r="AE735" s="256"/>
      <c r="AF735" s="152"/>
      <c r="AG735" s="621"/>
      <c r="AH735" s="152"/>
      <c r="AI735" s="134"/>
      <c r="AJ735" s="453"/>
      <c r="AK735" s="448"/>
      <c r="AL735" s="161"/>
      <c r="AM735" s="161"/>
      <c r="AN735" s="454"/>
      <c r="AO735" s="457"/>
      <c r="AP735" s="453"/>
      <c r="AQ735" s="456"/>
      <c r="AR735" s="161"/>
      <c r="AS735" s="161"/>
      <c r="AT735" s="454"/>
      <c r="AU735" s="457"/>
      <c r="AV735" s="453"/>
      <c r="AW735" s="448"/>
      <c r="AX735" s="161"/>
      <c r="AY735" s="161"/>
      <c r="AZ735" s="454"/>
      <c r="BA735" s="457"/>
      <c r="BB735" s="453"/>
      <c r="BC735" s="454"/>
      <c r="BD735" s="161"/>
      <c r="BE735" s="161"/>
      <c r="BF735" s="454"/>
      <c r="BG735" s="457"/>
      <c r="BH735" s="453"/>
      <c r="BI735" s="448"/>
      <c r="BJ735" s="161"/>
      <c r="BK735" s="161"/>
      <c r="BL735" s="454"/>
      <c r="BM735" s="457"/>
      <c r="BN735" s="453"/>
      <c r="BO735" s="448"/>
      <c r="BP735" s="161"/>
      <c r="BQ735" s="161"/>
      <c r="BR735" s="454"/>
      <c r="BS735" s="457"/>
      <c r="BT735" s="453"/>
      <c r="BU735" s="456"/>
      <c r="BV735" s="161"/>
      <c r="BW735" s="161"/>
      <c r="BX735" s="454"/>
      <c r="BY735" s="457"/>
      <c r="BZ735" s="453"/>
      <c r="CA735" s="448"/>
      <c r="CB735" s="454"/>
      <c r="CC735" s="161"/>
      <c r="CD735" s="454"/>
      <c r="CE735" s="457"/>
    </row>
    <row r="736" spans="1:83" x14ac:dyDescent="0.5">
      <c r="A736" s="396"/>
      <c r="B736" s="241"/>
      <c r="C736" s="397"/>
      <c r="D736" s="398"/>
      <c r="E736" s="399"/>
      <c r="F736" s="185"/>
      <c r="G736" s="186">
        <v>43161</v>
      </c>
      <c r="H736" s="187">
        <v>18086</v>
      </c>
      <c r="I736" s="412"/>
      <c r="J736" s="186">
        <v>43162</v>
      </c>
      <c r="K736" s="401"/>
      <c r="L736" s="401"/>
      <c r="M736" s="401"/>
      <c r="N736" s="402"/>
      <c r="O736" s="402"/>
      <c r="P736" s="402"/>
      <c r="Q736" s="462"/>
      <c r="R736" s="661"/>
      <c r="S736" s="405"/>
      <c r="T736" s="406"/>
      <c r="U736" s="407"/>
      <c r="V736" s="408"/>
      <c r="W736" s="409"/>
      <c r="X736" s="409"/>
      <c r="Y736" s="410"/>
      <c r="Z736" s="411"/>
      <c r="AA736" s="588"/>
      <c r="AB736" s="509"/>
      <c r="AC736" s="510"/>
      <c r="AD736" s="510"/>
      <c r="AE736" s="241"/>
      <c r="AF736" s="199"/>
      <c r="AG736" s="615"/>
      <c r="AH736" s="199"/>
      <c r="AI736" s="180"/>
      <c r="AJ736" s="420"/>
      <c r="AK736" s="413"/>
      <c r="AL736" s="207"/>
      <c r="AM736" s="207"/>
      <c r="AN736" s="418"/>
      <c r="AO736" s="419"/>
      <c r="AP736" s="420"/>
      <c r="AQ736" s="417"/>
      <c r="AR736" s="207"/>
      <c r="AS736" s="207"/>
      <c r="AT736" s="418"/>
      <c r="AU736" s="419"/>
      <c r="AV736" s="420"/>
      <c r="AW736" s="413"/>
      <c r="AX736" s="207"/>
      <c r="AY736" s="207"/>
      <c r="AZ736" s="418"/>
      <c r="BA736" s="419"/>
      <c r="BB736" s="420"/>
      <c r="BC736" s="418"/>
      <c r="BD736" s="207"/>
      <c r="BE736" s="207"/>
      <c r="BF736" s="418"/>
      <c r="BG736" s="419"/>
      <c r="BH736" s="420"/>
      <c r="BI736" s="413"/>
      <c r="BJ736" s="207"/>
      <c r="BK736" s="207"/>
      <c r="BL736" s="418"/>
      <c r="BM736" s="419"/>
      <c r="BN736" s="420"/>
      <c r="BO736" s="413"/>
      <c r="BP736" s="207"/>
      <c r="BQ736" s="207"/>
      <c r="BR736" s="418"/>
      <c r="BS736" s="419"/>
      <c r="BT736" s="420"/>
      <c r="BU736" s="417"/>
      <c r="BV736" s="207"/>
      <c r="BW736" s="207"/>
      <c r="BX736" s="418"/>
      <c r="BY736" s="419"/>
      <c r="BZ736" s="420"/>
      <c r="CA736" s="413"/>
      <c r="CB736" s="418"/>
      <c r="CC736" s="207"/>
      <c r="CD736" s="418"/>
      <c r="CE736" s="419"/>
    </row>
    <row r="737" spans="1:84" x14ac:dyDescent="0.5">
      <c r="A737" s="103">
        <v>18015678</v>
      </c>
      <c r="B737" s="104">
        <v>18010038</v>
      </c>
      <c r="C737" s="105" t="s">
        <v>1446</v>
      </c>
      <c r="D737" s="106" t="s">
        <v>184</v>
      </c>
      <c r="E737" s="107" t="s">
        <v>185</v>
      </c>
      <c r="F737" s="108" t="s">
        <v>1422</v>
      </c>
      <c r="G737" s="211">
        <v>43145</v>
      </c>
      <c r="H737" s="164">
        <v>18056</v>
      </c>
      <c r="I737" s="127" t="s">
        <v>869</v>
      </c>
      <c r="J737" s="122">
        <v>43147</v>
      </c>
      <c r="K737" s="547" t="s">
        <v>500</v>
      </c>
      <c r="L737" s="547" t="s">
        <v>501</v>
      </c>
      <c r="M737" s="104" t="s">
        <v>50</v>
      </c>
      <c r="N737" s="260">
        <v>490300</v>
      </c>
      <c r="O737" s="260">
        <v>34321</v>
      </c>
      <c r="P737" s="260">
        <f>SUM(N737:O737)</f>
        <v>524621</v>
      </c>
      <c r="Q737" s="311">
        <v>34600</v>
      </c>
      <c r="R737" s="113" t="s">
        <v>577</v>
      </c>
      <c r="S737" s="114">
        <f>N737-Q737-80000</f>
        <v>375700</v>
      </c>
      <c r="T737" s="115">
        <v>5</v>
      </c>
      <c r="U737" s="550">
        <f>S737*T737/100</f>
        <v>18785</v>
      </c>
      <c r="V737" s="551">
        <f>S737-U737</f>
        <v>356915</v>
      </c>
      <c r="W737" s="552">
        <v>0.5</v>
      </c>
      <c r="X737" s="552">
        <f>V737*W737/100</f>
        <v>1784.575</v>
      </c>
      <c r="Y737" s="553">
        <v>0.2</v>
      </c>
      <c r="Z737" s="120">
        <f>V737*Y737/100</f>
        <v>713.83</v>
      </c>
      <c r="AA737" s="123">
        <v>18020049</v>
      </c>
      <c r="AB737" s="230">
        <v>298210</v>
      </c>
      <c r="AC737" s="234">
        <f t="shared" ref="AC737:AC743" si="124">AB737*7/100</f>
        <v>20874.7</v>
      </c>
      <c r="AD737" s="234">
        <f t="shared" ref="AD737:AD743" si="125">AB737+AC737</f>
        <v>319084.7</v>
      </c>
      <c r="AE737" s="221">
        <v>43143</v>
      </c>
      <c r="AF737" s="121" t="s">
        <v>869</v>
      </c>
      <c r="AG737" s="121"/>
      <c r="AH737" s="121"/>
      <c r="AI737" s="222" t="s">
        <v>927</v>
      </c>
      <c r="AJ737" s="128">
        <v>1</v>
      </c>
      <c r="AK737" s="129" t="s">
        <v>878</v>
      </c>
      <c r="AL737" s="130"/>
      <c r="AM737" s="130" t="s">
        <v>1205</v>
      </c>
      <c r="AN737" s="131">
        <v>2</v>
      </c>
      <c r="AO737" s="132" t="s">
        <v>634</v>
      </c>
      <c r="AP737" s="128"/>
      <c r="AQ737" s="133"/>
      <c r="AR737" s="128"/>
      <c r="AS737" s="128"/>
      <c r="AT737" s="128"/>
      <c r="AU737" s="133"/>
      <c r="AV737" s="128"/>
      <c r="AW737" s="133"/>
      <c r="AX737" s="128"/>
      <c r="AY737" s="128"/>
      <c r="AZ737" s="128"/>
      <c r="BA737" s="133"/>
      <c r="BB737" s="128"/>
      <c r="BC737" s="133"/>
      <c r="BD737" s="128"/>
      <c r="BE737" s="128"/>
      <c r="BF737" s="128"/>
      <c r="BG737" s="133"/>
      <c r="BH737" s="128"/>
      <c r="BI737" s="133"/>
      <c r="BJ737" s="128"/>
      <c r="BK737" s="128"/>
      <c r="BL737" s="128"/>
      <c r="BM737" s="128"/>
      <c r="BN737" s="128"/>
      <c r="BO737" s="133"/>
      <c r="BP737" s="128"/>
      <c r="BQ737" s="128"/>
      <c r="BR737" s="128"/>
      <c r="BS737" s="128"/>
      <c r="BT737" s="128"/>
      <c r="BU737" s="133"/>
      <c r="BV737" s="128"/>
      <c r="BW737" s="128"/>
      <c r="BX737" s="128"/>
      <c r="BY737" s="128"/>
      <c r="BZ737" s="128"/>
      <c r="CA737" s="133"/>
      <c r="CB737" s="128"/>
      <c r="CC737" s="128"/>
      <c r="CD737" s="128"/>
      <c r="CE737" s="128"/>
      <c r="CF737" s="51" t="s">
        <v>578</v>
      </c>
    </row>
    <row r="738" spans="1:84" x14ac:dyDescent="0.5">
      <c r="A738" s="134"/>
      <c r="B738" s="135"/>
      <c r="C738" s="136"/>
      <c r="D738" s="137"/>
      <c r="E738" s="138"/>
      <c r="F738" s="139"/>
      <c r="G738" s="179">
        <v>43145</v>
      </c>
      <c r="H738" s="140">
        <v>18057</v>
      </c>
      <c r="I738" s="152"/>
      <c r="J738" s="179"/>
      <c r="K738" s="255"/>
      <c r="L738" s="300"/>
      <c r="M738" s="135"/>
      <c r="N738" s="253"/>
      <c r="O738" s="253"/>
      <c r="P738" s="253"/>
      <c r="Q738" s="143"/>
      <c r="R738" s="144"/>
      <c r="S738" s="145"/>
      <c r="T738" s="146"/>
      <c r="U738" s="529"/>
      <c r="V738" s="555"/>
      <c r="W738" s="556"/>
      <c r="X738" s="556"/>
      <c r="Y738" s="557"/>
      <c r="Z738" s="151"/>
      <c r="AA738" s="292">
        <v>18010026</v>
      </c>
      <c r="AB738" s="293">
        <v>147090</v>
      </c>
      <c r="AC738" s="532">
        <f t="shared" si="124"/>
        <v>10296.299999999999</v>
      </c>
      <c r="AD738" s="532">
        <f t="shared" si="125"/>
        <v>157386.29999999999</v>
      </c>
      <c r="AE738" s="295">
        <v>43124</v>
      </c>
      <c r="AF738" s="296" t="s">
        <v>869</v>
      </c>
      <c r="AG738" s="296"/>
      <c r="AH738" s="296"/>
      <c r="AI738" s="308" t="s">
        <v>938</v>
      </c>
      <c r="AJ738" s="158"/>
      <c r="AK738" s="159"/>
      <c r="AL738" s="160"/>
      <c r="AM738" s="160"/>
      <c r="AN738" s="161"/>
      <c r="AO738" s="162"/>
      <c r="AP738" s="158"/>
      <c r="AQ738" s="163"/>
      <c r="AR738" s="158"/>
      <c r="AS738" s="158"/>
      <c r="AT738" s="158"/>
      <c r="AU738" s="163"/>
      <c r="AV738" s="158"/>
      <c r="AW738" s="163"/>
      <c r="AX738" s="158"/>
      <c r="AY738" s="158"/>
      <c r="AZ738" s="158"/>
      <c r="BA738" s="163"/>
      <c r="BB738" s="158"/>
      <c r="BC738" s="163"/>
      <c r="BD738" s="158"/>
      <c r="BE738" s="158"/>
      <c r="BF738" s="158"/>
      <c r="BG738" s="163"/>
      <c r="BH738" s="158"/>
      <c r="BI738" s="163"/>
      <c r="BJ738" s="158"/>
      <c r="BK738" s="158"/>
      <c r="BL738" s="158"/>
      <c r="BM738" s="158"/>
      <c r="BN738" s="158"/>
      <c r="BO738" s="163"/>
      <c r="BP738" s="158"/>
      <c r="BQ738" s="158"/>
      <c r="BR738" s="158"/>
      <c r="BS738" s="158"/>
      <c r="BT738" s="158"/>
      <c r="BU738" s="163"/>
      <c r="BV738" s="158"/>
      <c r="BW738" s="158"/>
      <c r="BX738" s="158"/>
      <c r="BY738" s="158"/>
      <c r="BZ738" s="158"/>
      <c r="CA738" s="163"/>
      <c r="CB738" s="158"/>
      <c r="CC738" s="158"/>
      <c r="CD738" s="158"/>
      <c r="CE738" s="158"/>
    </row>
    <row r="739" spans="1:84" x14ac:dyDescent="0.5">
      <c r="A739" s="180"/>
      <c r="B739" s="181"/>
      <c r="C739" s="182"/>
      <c r="D739" s="183"/>
      <c r="E739" s="184"/>
      <c r="F739" s="185"/>
      <c r="G739" s="186"/>
      <c r="H739" s="187"/>
      <c r="I739" s="199"/>
      <c r="J739" s="186"/>
      <c r="K739" s="240"/>
      <c r="L739" s="558"/>
      <c r="M739" s="181"/>
      <c r="N739" s="237"/>
      <c r="O739" s="237"/>
      <c r="P739" s="237"/>
      <c r="Q739" s="190"/>
      <c r="R739" s="215"/>
      <c r="S739" s="216"/>
      <c r="T739" s="217"/>
      <c r="U739" s="544"/>
      <c r="V739" s="560"/>
      <c r="W739" s="561"/>
      <c r="X739" s="561"/>
      <c r="Y739" s="562"/>
      <c r="Z739" s="198"/>
      <c r="AA739" s="200" t="s">
        <v>3582</v>
      </c>
      <c r="AB739" s="201">
        <v>45000</v>
      </c>
      <c r="AC739" s="238">
        <f>AB739*7/100</f>
        <v>3150</v>
      </c>
      <c r="AD739" s="238">
        <f>AB739+AC739</f>
        <v>48150</v>
      </c>
      <c r="AE739" s="203">
        <v>43899</v>
      </c>
      <c r="AF739" s="199"/>
      <c r="AG739" s="199"/>
      <c r="AH739" s="199" t="s">
        <v>869</v>
      </c>
      <c r="AI739" s="180"/>
      <c r="AJ739" s="204"/>
      <c r="AK739" s="205"/>
      <c r="AL739" s="206"/>
      <c r="AM739" s="206"/>
      <c r="AN739" s="207"/>
      <c r="AO739" s="208"/>
      <c r="AP739" s="204"/>
      <c r="AQ739" s="210"/>
      <c r="AR739" s="204"/>
      <c r="AS739" s="204"/>
      <c r="AT739" s="204"/>
      <c r="AU739" s="210"/>
      <c r="AV739" s="204"/>
      <c r="AW739" s="210"/>
      <c r="AX739" s="204"/>
      <c r="AY739" s="204"/>
      <c r="AZ739" s="204"/>
      <c r="BA739" s="210"/>
      <c r="BB739" s="204"/>
      <c r="BC739" s="210"/>
      <c r="BD739" s="204"/>
      <c r="BE739" s="204"/>
      <c r="BF739" s="204"/>
      <c r="BG739" s="210"/>
      <c r="BH739" s="204"/>
      <c r="BI739" s="210"/>
      <c r="BJ739" s="204"/>
      <c r="BK739" s="204"/>
      <c r="BL739" s="204"/>
      <c r="BM739" s="204"/>
      <c r="BN739" s="204"/>
      <c r="BO739" s="210"/>
      <c r="BP739" s="204"/>
      <c r="BQ739" s="204"/>
      <c r="BR739" s="204"/>
      <c r="BS739" s="204"/>
      <c r="BT739" s="204"/>
      <c r="BU739" s="210"/>
      <c r="BV739" s="204"/>
      <c r="BW739" s="204"/>
      <c r="BX739" s="204"/>
      <c r="BY739" s="204"/>
      <c r="BZ739" s="204"/>
      <c r="CA739" s="210"/>
      <c r="CB739" s="204"/>
      <c r="CC739" s="204"/>
      <c r="CD739" s="204"/>
      <c r="CE739" s="204"/>
    </row>
    <row r="740" spans="1:84" x14ac:dyDescent="0.5">
      <c r="A740" s="227">
        <v>18015677</v>
      </c>
      <c r="B740" s="22" t="s">
        <v>502</v>
      </c>
      <c r="C740" s="55"/>
      <c r="D740" s="56"/>
      <c r="E740" s="57"/>
      <c r="F740" s="58"/>
      <c r="G740" s="59"/>
      <c r="H740" s="60"/>
      <c r="I740" s="269"/>
      <c r="J740" s="59"/>
      <c r="K740" s="42" t="s">
        <v>466</v>
      </c>
      <c r="L740" s="520" t="s">
        <v>503</v>
      </c>
      <c r="M740" s="22" t="s">
        <v>51</v>
      </c>
      <c r="N740" s="63">
        <v>10000</v>
      </c>
      <c r="O740" s="63">
        <f>N740*7/100</f>
        <v>700</v>
      </c>
      <c r="P740" s="63">
        <f>N740+O740</f>
        <v>10700</v>
      </c>
      <c r="AA740" s="40">
        <v>18010027</v>
      </c>
      <c r="AB740" s="41">
        <v>10000</v>
      </c>
      <c r="AC740" s="64">
        <f t="shared" si="124"/>
        <v>700</v>
      </c>
      <c r="AD740" s="64">
        <f t="shared" si="125"/>
        <v>10700</v>
      </c>
      <c r="AE740" s="53">
        <v>43155</v>
      </c>
      <c r="AF740" s="39" t="s">
        <v>869</v>
      </c>
      <c r="AI740" s="21" t="s">
        <v>913</v>
      </c>
      <c r="AJ740" s="44">
        <v>1</v>
      </c>
      <c r="AP740" s="44">
        <v>2</v>
      </c>
      <c r="AV740" s="44">
        <v>3</v>
      </c>
      <c r="BB740" s="44">
        <v>4</v>
      </c>
      <c r="BH740" s="44">
        <v>5</v>
      </c>
      <c r="BN740" s="44">
        <v>6</v>
      </c>
      <c r="BT740" s="44">
        <v>7</v>
      </c>
      <c r="BZ740" s="44">
        <v>8</v>
      </c>
    </row>
    <row r="741" spans="1:84" x14ac:dyDescent="0.5">
      <c r="A741" s="227">
        <v>18015676</v>
      </c>
      <c r="B741" s="22">
        <v>18010036</v>
      </c>
      <c r="C741" s="55"/>
      <c r="D741" s="56"/>
      <c r="E741" s="57"/>
      <c r="F741" s="58"/>
      <c r="G741" s="59"/>
      <c r="H741" s="60"/>
      <c r="I741" s="269" t="s">
        <v>869</v>
      </c>
      <c r="J741" s="59"/>
      <c r="K741" s="42" t="s">
        <v>212</v>
      </c>
      <c r="L741" s="520" t="s">
        <v>504</v>
      </c>
      <c r="M741" s="22" t="s">
        <v>51</v>
      </c>
      <c r="N741" s="63">
        <v>13200</v>
      </c>
      <c r="O741" s="63">
        <f>N741*7/100</f>
        <v>924</v>
      </c>
      <c r="P741" s="63">
        <f>N741+O741</f>
        <v>14124</v>
      </c>
      <c r="AA741" s="40">
        <v>18010020</v>
      </c>
      <c r="AB741" s="41">
        <v>13200</v>
      </c>
      <c r="AC741" s="64">
        <f t="shared" si="124"/>
        <v>924</v>
      </c>
      <c r="AD741" s="64">
        <f t="shared" si="125"/>
        <v>14124</v>
      </c>
      <c r="AE741" s="53">
        <v>43149</v>
      </c>
      <c r="AF741" s="39" t="s">
        <v>869</v>
      </c>
      <c r="AI741" s="21" t="s">
        <v>1005</v>
      </c>
      <c r="AJ741" s="44">
        <v>1</v>
      </c>
      <c r="AP741" s="44">
        <v>2</v>
      </c>
      <c r="AV741" s="44">
        <v>3</v>
      </c>
      <c r="BB741" s="44">
        <v>4</v>
      </c>
      <c r="BH741" s="44">
        <v>5</v>
      </c>
      <c r="BN741" s="44">
        <v>6</v>
      </c>
      <c r="BT741" s="44">
        <v>7</v>
      </c>
      <c r="BZ741" s="44">
        <v>8</v>
      </c>
    </row>
    <row r="742" spans="1:84" x14ac:dyDescent="0.5">
      <c r="A742" s="227">
        <v>18015675</v>
      </c>
      <c r="B742" s="22">
        <v>18010035</v>
      </c>
      <c r="C742" s="23" t="s">
        <v>1447</v>
      </c>
      <c r="D742" s="24" t="s">
        <v>184</v>
      </c>
      <c r="E742" s="25" t="s">
        <v>185</v>
      </c>
      <c r="F742" s="26" t="s">
        <v>1444</v>
      </c>
      <c r="G742" s="62">
        <v>43193</v>
      </c>
      <c r="H742" s="27">
        <v>18133</v>
      </c>
      <c r="I742" s="39" t="s">
        <v>869</v>
      </c>
      <c r="J742" s="62">
        <v>43132</v>
      </c>
      <c r="K742" s="42" t="s">
        <v>421</v>
      </c>
      <c r="L742" s="520" t="s">
        <v>505</v>
      </c>
      <c r="M742" s="22" t="s">
        <v>51</v>
      </c>
      <c r="N742" s="63">
        <v>66000</v>
      </c>
      <c r="O742" s="63">
        <v>4620</v>
      </c>
      <c r="P742" s="63">
        <f>SUM(N742:O742)</f>
        <v>70620</v>
      </c>
      <c r="AA742" s="40" t="s">
        <v>2817</v>
      </c>
      <c r="AB742" s="41">
        <v>66000</v>
      </c>
      <c r="AC742" s="63">
        <f t="shared" si="124"/>
        <v>4620</v>
      </c>
      <c r="AD742" s="63">
        <f t="shared" si="125"/>
        <v>70620</v>
      </c>
      <c r="AE742" s="53">
        <v>43738</v>
      </c>
      <c r="AF742" s="39" t="s">
        <v>869</v>
      </c>
      <c r="AI742" s="21" t="s">
        <v>3075</v>
      </c>
      <c r="AJ742" s="44">
        <v>1</v>
      </c>
      <c r="AK742" s="45" t="s">
        <v>874</v>
      </c>
      <c r="AM742" s="46" t="s">
        <v>1205</v>
      </c>
      <c r="AN742" s="47">
        <v>1</v>
      </c>
      <c r="AO742" s="48" t="s">
        <v>633</v>
      </c>
      <c r="AQ742" s="54"/>
      <c r="AR742" s="44"/>
      <c r="AS742" s="44"/>
      <c r="AT742" s="44"/>
      <c r="AU742" s="54"/>
      <c r="AW742" s="54"/>
      <c r="AX742" s="44"/>
      <c r="AY742" s="44"/>
      <c r="AZ742" s="44"/>
      <c r="BA742" s="54"/>
      <c r="BC742" s="54"/>
      <c r="BD742" s="44"/>
      <c r="BE742" s="44"/>
      <c r="BF742" s="44"/>
      <c r="BG742" s="54"/>
      <c r="BI742" s="54"/>
      <c r="BJ742" s="44"/>
      <c r="BK742" s="44"/>
      <c r="BL742" s="44"/>
      <c r="BM742" s="44"/>
      <c r="BO742" s="54"/>
      <c r="BP742" s="44"/>
      <c r="BQ742" s="44"/>
      <c r="BR742" s="44"/>
      <c r="BS742" s="44"/>
      <c r="BU742" s="54"/>
      <c r="BV742" s="44"/>
      <c r="BW742" s="44"/>
      <c r="BX742" s="44"/>
      <c r="BY742" s="44"/>
      <c r="CA742" s="54"/>
      <c r="CB742" s="44"/>
      <c r="CC742" s="44"/>
      <c r="CD742" s="44"/>
      <c r="CE742" s="44"/>
    </row>
    <row r="743" spans="1:84" x14ac:dyDescent="0.5">
      <c r="A743" s="103">
        <v>18015674</v>
      </c>
      <c r="B743" s="104">
        <v>18010006</v>
      </c>
      <c r="C743" s="105" t="s">
        <v>1448</v>
      </c>
      <c r="D743" s="106" t="s">
        <v>184</v>
      </c>
      <c r="E743" s="107" t="s">
        <v>185</v>
      </c>
      <c r="F743" s="108" t="s">
        <v>1392</v>
      </c>
      <c r="G743" s="211">
        <v>43168</v>
      </c>
      <c r="H743" s="164">
        <v>18096</v>
      </c>
      <c r="I743" s="127" t="s">
        <v>869</v>
      </c>
      <c r="J743" s="122">
        <v>43171</v>
      </c>
      <c r="K743" s="547" t="s">
        <v>60</v>
      </c>
      <c r="L743" s="548" t="s">
        <v>445</v>
      </c>
      <c r="M743" s="104" t="s">
        <v>50</v>
      </c>
      <c r="N743" s="260">
        <v>1750000.01</v>
      </c>
      <c r="O743" s="260">
        <v>122500</v>
      </c>
      <c r="P743" s="260">
        <f>SUM(N743:O743)</f>
        <v>1872500.01</v>
      </c>
      <c r="Q743" s="311"/>
      <c r="R743" s="113"/>
      <c r="S743" s="114"/>
      <c r="T743" s="115"/>
      <c r="U743" s="550"/>
      <c r="V743" s="551"/>
      <c r="W743" s="552"/>
      <c r="X743" s="552"/>
      <c r="Y743" s="553"/>
      <c r="Z743" s="120"/>
      <c r="AA743" s="123">
        <v>18030109</v>
      </c>
      <c r="AB743" s="124">
        <v>185000</v>
      </c>
      <c r="AC743" s="125">
        <f t="shared" si="124"/>
        <v>12950</v>
      </c>
      <c r="AD743" s="125">
        <f t="shared" si="125"/>
        <v>197950</v>
      </c>
      <c r="AE743" s="126">
        <v>43219</v>
      </c>
      <c r="AF743" s="127"/>
      <c r="AG743" s="127"/>
      <c r="AH743" s="127"/>
      <c r="AI743" s="103"/>
      <c r="AJ743" s="128">
        <v>1</v>
      </c>
      <c r="AK743" s="129" t="s">
        <v>846</v>
      </c>
      <c r="AL743" s="130" t="s">
        <v>1205</v>
      </c>
      <c r="AM743" s="130"/>
      <c r="AN743" s="131">
        <v>1</v>
      </c>
      <c r="AO743" s="132" t="s">
        <v>634</v>
      </c>
      <c r="AP743" s="128">
        <v>2</v>
      </c>
      <c r="AQ743" s="123" t="s">
        <v>847</v>
      </c>
      <c r="AR743" s="131" t="s">
        <v>1205</v>
      </c>
      <c r="AS743" s="131"/>
      <c r="AT743" s="131">
        <v>2</v>
      </c>
      <c r="AU743" s="169" t="s">
        <v>636</v>
      </c>
      <c r="AV743" s="361"/>
      <c r="AW743" s="361"/>
      <c r="AX743" s="128"/>
      <c r="AY743" s="128"/>
      <c r="AZ743" s="361"/>
      <c r="BA743" s="133"/>
      <c r="BB743" s="361"/>
      <c r="BC743" s="361"/>
      <c r="BD743" s="128"/>
      <c r="BE743" s="128"/>
      <c r="BF743" s="361"/>
      <c r="BG743" s="133"/>
      <c r="BH743" s="361"/>
      <c r="BI743" s="361"/>
      <c r="BJ743" s="128"/>
      <c r="BK743" s="128"/>
      <c r="BL743" s="361"/>
      <c r="BM743" s="361"/>
      <c r="BN743" s="361"/>
      <c r="BO743" s="361"/>
      <c r="BP743" s="128"/>
      <c r="BQ743" s="128"/>
      <c r="BR743" s="361"/>
      <c r="BS743" s="361"/>
      <c r="BT743" s="361"/>
      <c r="BU743" s="361"/>
      <c r="BV743" s="128"/>
      <c r="BW743" s="128"/>
      <c r="BX743" s="361"/>
      <c r="BY743" s="361"/>
      <c r="BZ743" s="361"/>
      <c r="CA743" s="361"/>
      <c r="CB743" s="128"/>
      <c r="CC743" s="128"/>
      <c r="CD743" s="361"/>
      <c r="CE743" s="361"/>
    </row>
    <row r="744" spans="1:84" x14ac:dyDescent="0.5">
      <c r="A744" s="134"/>
      <c r="B744" s="135"/>
      <c r="C744" s="136"/>
      <c r="D744" s="137"/>
      <c r="E744" s="138"/>
      <c r="F744" s="139"/>
      <c r="G744" s="178">
        <v>43168</v>
      </c>
      <c r="H744" s="171">
        <v>18097</v>
      </c>
      <c r="I744" s="152"/>
      <c r="J744" s="179"/>
      <c r="K744" s="255"/>
      <c r="L744" s="300"/>
      <c r="M744" s="135"/>
      <c r="N744" s="253"/>
      <c r="O744" s="253"/>
      <c r="P744" s="253"/>
      <c r="Q744" s="143"/>
      <c r="R744" s="144"/>
      <c r="S744" s="145"/>
      <c r="T744" s="146"/>
      <c r="U744" s="529"/>
      <c r="V744" s="555"/>
      <c r="W744" s="556"/>
      <c r="X744" s="556"/>
      <c r="Y744" s="557"/>
      <c r="Z744" s="151"/>
      <c r="AA744" s="154"/>
      <c r="AB744" s="155"/>
      <c r="AC744" s="255"/>
      <c r="AD744" s="255"/>
      <c r="AE744" s="256"/>
      <c r="AF744" s="152"/>
      <c r="AG744" s="152"/>
      <c r="AH744" s="152"/>
      <c r="AI744" s="134"/>
      <c r="AJ744" s="158"/>
      <c r="AK744" s="159"/>
      <c r="AL744" s="160"/>
      <c r="AM744" s="160"/>
      <c r="AN744" s="161"/>
      <c r="AO744" s="162"/>
      <c r="AP744" s="158"/>
      <c r="AQ744" s="154"/>
      <c r="AR744" s="161"/>
      <c r="AS744" s="161"/>
      <c r="AT744" s="161"/>
      <c r="AU744" s="177"/>
      <c r="AV744" s="458"/>
      <c r="AW744" s="458"/>
      <c r="AX744" s="158"/>
      <c r="AY744" s="158"/>
      <c r="AZ744" s="458"/>
      <c r="BA744" s="163"/>
      <c r="BB744" s="458"/>
      <c r="BC744" s="458"/>
      <c r="BD744" s="158"/>
      <c r="BE744" s="158"/>
      <c r="BF744" s="458"/>
      <c r="BG744" s="163"/>
      <c r="BH744" s="458"/>
      <c r="BI744" s="458"/>
      <c r="BJ744" s="158"/>
      <c r="BK744" s="158"/>
      <c r="BL744" s="458"/>
      <c r="BM744" s="458"/>
      <c r="BN744" s="458"/>
      <c r="BO744" s="458"/>
      <c r="BP744" s="158"/>
      <c r="BQ744" s="158"/>
      <c r="BR744" s="458"/>
      <c r="BS744" s="458"/>
      <c r="BT744" s="458"/>
      <c r="BU744" s="458"/>
      <c r="BV744" s="158"/>
      <c r="BW744" s="158"/>
      <c r="BX744" s="458"/>
      <c r="BY744" s="458"/>
      <c r="BZ744" s="458"/>
      <c r="CA744" s="458"/>
      <c r="CB744" s="158"/>
      <c r="CC744" s="158"/>
      <c r="CD744" s="458"/>
      <c r="CE744" s="458"/>
    </row>
    <row r="745" spans="1:84" x14ac:dyDescent="0.5">
      <c r="A745" s="134"/>
      <c r="B745" s="135"/>
      <c r="C745" s="136"/>
      <c r="D745" s="137"/>
      <c r="E745" s="138"/>
      <c r="F745" s="139"/>
      <c r="G745" s="178">
        <v>43168</v>
      </c>
      <c r="H745" s="171">
        <v>18098</v>
      </c>
      <c r="I745" s="152"/>
      <c r="J745" s="179"/>
      <c r="K745" s="255"/>
      <c r="L745" s="300"/>
      <c r="M745" s="135"/>
      <c r="N745" s="253"/>
      <c r="O745" s="253"/>
      <c r="P745" s="253"/>
      <c r="Q745" s="143"/>
      <c r="R745" s="144"/>
      <c r="S745" s="145"/>
      <c r="T745" s="146"/>
      <c r="U745" s="529"/>
      <c r="V745" s="555"/>
      <c r="W745" s="556"/>
      <c r="X745" s="556"/>
      <c r="Y745" s="557"/>
      <c r="Z745" s="151"/>
      <c r="AA745" s="154"/>
      <c r="AB745" s="155"/>
      <c r="AC745" s="255"/>
      <c r="AD745" s="255"/>
      <c r="AE745" s="256"/>
      <c r="AF745" s="152"/>
      <c r="AG745" s="152"/>
      <c r="AH745" s="152"/>
      <c r="AI745" s="134"/>
      <c r="AJ745" s="158"/>
      <c r="AK745" s="159"/>
      <c r="AL745" s="160"/>
      <c r="AM745" s="160"/>
      <c r="AN745" s="161"/>
      <c r="AO745" s="162"/>
      <c r="AP745" s="158"/>
      <c r="AQ745" s="154"/>
      <c r="AR745" s="161"/>
      <c r="AS745" s="161"/>
      <c r="AT745" s="161"/>
      <c r="AU745" s="177"/>
      <c r="AV745" s="458"/>
      <c r="AW745" s="458"/>
      <c r="AX745" s="158"/>
      <c r="AY745" s="158"/>
      <c r="AZ745" s="458"/>
      <c r="BA745" s="163"/>
      <c r="BB745" s="458"/>
      <c r="BC745" s="458"/>
      <c r="BD745" s="158"/>
      <c r="BE745" s="158"/>
      <c r="BF745" s="458"/>
      <c r="BG745" s="163"/>
      <c r="BH745" s="458"/>
      <c r="BI745" s="458"/>
      <c r="BJ745" s="158"/>
      <c r="BK745" s="158"/>
      <c r="BL745" s="458"/>
      <c r="BM745" s="458"/>
      <c r="BN745" s="458"/>
      <c r="BO745" s="458"/>
      <c r="BP745" s="158"/>
      <c r="BQ745" s="158"/>
      <c r="BR745" s="458"/>
      <c r="BS745" s="458"/>
      <c r="BT745" s="458"/>
      <c r="BU745" s="458"/>
      <c r="BV745" s="158"/>
      <c r="BW745" s="158"/>
      <c r="BX745" s="458"/>
      <c r="BY745" s="458"/>
      <c r="BZ745" s="458"/>
      <c r="CA745" s="458"/>
      <c r="CB745" s="158"/>
      <c r="CC745" s="158"/>
      <c r="CD745" s="458"/>
      <c r="CE745" s="458"/>
    </row>
    <row r="746" spans="1:84" x14ac:dyDescent="0.5">
      <c r="A746" s="134"/>
      <c r="B746" s="135"/>
      <c r="C746" s="136"/>
      <c r="D746" s="137"/>
      <c r="E746" s="138"/>
      <c r="F746" s="139"/>
      <c r="G746" s="170">
        <v>43168</v>
      </c>
      <c r="H746" s="251">
        <v>18099</v>
      </c>
      <c r="I746" s="152"/>
      <c r="J746" s="179"/>
      <c r="K746" s="255"/>
      <c r="L746" s="300"/>
      <c r="M746" s="135"/>
      <c r="N746" s="253"/>
      <c r="O746" s="253"/>
      <c r="P746" s="253"/>
      <c r="Q746" s="143"/>
      <c r="R746" s="144"/>
      <c r="S746" s="145"/>
      <c r="T746" s="146"/>
      <c r="U746" s="529"/>
      <c r="V746" s="555"/>
      <c r="W746" s="556"/>
      <c r="X746" s="556"/>
      <c r="Y746" s="557"/>
      <c r="Z746" s="151"/>
      <c r="AA746" s="154"/>
      <c r="AB746" s="155"/>
      <c r="AC746" s="255"/>
      <c r="AD746" s="255"/>
      <c r="AE746" s="256"/>
      <c r="AF746" s="152"/>
      <c r="AG746" s="152"/>
      <c r="AH746" s="152"/>
      <c r="AI746" s="134"/>
      <c r="AJ746" s="158"/>
      <c r="AK746" s="159"/>
      <c r="AL746" s="160"/>
      <c r="AM746" s="160"/>
      <c r="AN746" s="161"/>
      <c r="AO746" s="162"/>
      <c r="AP746" s="158"/>
      <c r="AQ746" s="154"/>
      <c r="AR746" s="161"/>
      <c r="AS746" s="161"/>
      <c r="AT746" s="161"/>
      <c r="AU746" s="177"/>
      <c r="AV746" s="458"/>
      <c r="AW746" s="458"/>
      <c r="AX746" s="158"/>
      <c r="AY746" s="158"/>
      <c r="AZ746" s="458"/>
      <c r="BA746" s="163"/>
      <c r="BB746" s="458"/>
      <c r="BC746" s="458"/>
      <c r="BD746" s="158"/>
      <c r="BE746" s="158"/>
      <c r="BF746" s="458"/>
      <c r="BG746" s="163"/>
      <c r="BH746" s="458"/>
      <c r="BI746" s="458"/>
      <c r="BJ746" s="158"/>
      <c r="BK746" s="158"/>
      <c r="BL746" s="458"/>
      <c r="BM746" s="458"/>
      <c r="BN746" s="458"/>
      <c r="BO746" s="458"/>
      <c r="BP746" s="158"/>
      <c r="BQ746" s="158"/>
      <c r="BR746" s="458"/>
      <c r="BS746" s="458"/>
      <c r="BT746" s="458"/>
      <c r="BU746" s="458"/>
      <c r="BV746" s="158"/>
      <c r="BW746" s="158"/>
      <c r="BX746" s="458"/>
      <c r="BY746" s="458"/>
      <c r="BZ746" s="458"/>
      <c r="CA746" s="458"/>
      <c r="CB746" s="158"/>
      <c r="CC746" s="158"/>
      <c r="CD746" s="458"/>
      <c r="CE746" s="458"/>
    </row>
    <row r="747" spans="1:84" x14ac:dyDescent="0.5">
      <c r="A747" s="180"/>
      <c r="B747" s="181"/>
      <c r="C747" s="182"/>
      <c r="D747" s="183"/>
      <c r="E747" s="184"/>
      <c r="F747" s="185"/>
      <c r="G747" s="186">
        <v>43168</v>
      </c>
      <c r="H747" s="187">
        <v>18100</v>
      </c>
      <c r="I747" s="199"/>
      <c r="J747" s="186"/>
      <c r="K747" s="240"/>
      <c r="L747" s="558"/>
      <c r="M747" s="181"/>
      <c r="N747" s="237"/>
      <c r="O747" s="237"/>
      <c r="P747" s="237"/>
      <c r="Q747" s="190"/>
      <c r="R747" s="215"/>
      <c r="S747" s="216"/>
      <c r="T747" s="217"/>
      <c r="U747" s="544"/>
      <c r="V747" s="560"/>
      <c r="W747" s="561"/>
      <c r="X747" s="561"/>
      <c r="Y747" s="562"/>
      <c r="Z747" s="198"/>
      <c r="AA747" s="200"/>
      <c r="AB747" s="201"/>
      <c r="AC747" s="240"/>
      <c r="AD747" s="240"/>
      <c r="AE747" s="241"/>
      <c r="AF747" s="199"/>
      <c r="AG747" s="199"/>
      <c r="AH747" s="199"/>
      <c r="AI747" s="180"/>
      <c r="AJ747" s="204"/>
      <c r="AK747" s="205"/>
      <c r="AL747" s="206"/>
      <c r="AM747" s="206"/>
      <c r="AN747" s="207"/>
      <c r="AO747" s="208"/>
      <c r="AP747" s="204"/>
      <c r="AQ747" s="200"/>
      <c r="AR747" s="207"/>
      <c r="AS747" s="207"/>
      <c r="AT747" s="207"/>
      <c r="AU747" s="209"/>
      <c r="AV747" s="365"/>
      <c r="AW747" s="365"/>
      <c r="AX747" s="204"/>
      <c r="AY747" s="204"/>
      <c r="AZ747" s="365"/>
      <c r="BA747" s="210"/>
      <c r="BB747" s="365"/>
      <c r="BC747" s="365"/>
      <c r="BD747" s="204"/>
      <c r="BE747" s="204"/>
      <c r="BF747" s="365"/>
      <c r="BG747" s="210"/>
      <c r="BH747" s="365"/>
      <c r="BI747" s="365"/>
      <c r="BJ747" s="204"/>
      <c r="BK747" s="204"/>
      <c r="BL747" s="365"/>
      <c r="BM747" s="365"/>
      <c r="BN747" s="365"/>
      <c r="BO747" s="365"/>
      <c r="BP747" s="204"/>
      <c r="BQ747" s="204"/>
      <c r="BR747" s="365"/>
      <c r="BS747" s="365"/>
      <c r="BT747" s="365"/>
      <c r="BU747" s="365"/>
      <c r="BV747" s="204"/>
      <c r="BW747" s="204"/>
      <c r="BX747" s="365"/>
      <c r="BY747" s="365"/>
      <c r="BZ747" s="365"/>
      <c r="CA747" s="365"/>
      <c r="CB747" s="204"/>
      <c r="CC747" s="204"/>
      <c r="CD747" s="365"/>
      <c r="CE747" s="365"/>
    </row>
    <row r="748" spans="1:84" x14ac:dyDescent="0.5">
      <c r="A748" s="227">
        <v>18015673</v>
      </c>
      <c r="B748" s="22">
        <v>18010033</v>
      </c>
      <c r="C748" s="55"/>
      <c r="D748" s="56"/>
      <c r="E748" s="57"/>
      <c r="F748" s="58"/>
      <c r="G748" s="59"/>
      <c r="H748" s="60"/>
      <c r="I748" s="269" t="s">
        <v>869</v>
      </c>
      <c r="J748" s="59"/>
      <c r="K748" s="42" t="s">
        <v>20</v>
      </c>
      <c r="L748" s="520" t="s">
        <v>506</v>
      </c>
      <c r="M748" s="22" t="s">
        <v>51</v>
      </c>
      <c r="N748" s="63">
        <v>4000</v>
      </c>
      <c r="O748" s="63">
        <f>N748*7/100</f>
        <v>280</v>
      </c>
      <c r="P748" s="63">
        <f>N748+O748</f>
        <v>4280</v>
      </c>
      <c r="AA748" s="40">
        <v>18010018</v>
      </c>
      <c r="AB748" s="41">
        <v>4000</v>
      </c>
      <c r="AC748" s="64">
        <f>AB748*7/100</f>
        <v>280</v>
      </c>
      <c r="AD748" s="64">
        <f>AB748+AC748</f>
        <v>4280</v>
      </c>
      <c r="AE748" s="53">
        <v>43163</v>
      </c>
      <c r="AF748" s="39" t="s">
        <v>869</v>
      </c>
      <c r="AI748" s="21" t="s">
        <v>925</v>
      </c>
      <c r="AJ748" s="44">
        <v>1</v>
      </c>
      <c r="AP748" s="44">
        <v>2</v>
      </c>
      <c r="AV748" s="44">
        <v>3</v>
      </c>
      <c r="BB748" s="44">
        <v>4</v>
      </c>
      <c r="BH748" s="44">
        <v>5</v>
      </c>
      <c r="BN748" s="44">
        <v>6</v>
      </c>
      <c r="BT748" s="44">
        <v>7</v>
      </c>
      <c r="BZ748" s="44">
        <v>8</v>
      </c>
    </row>
    <row r="749" spans="1:84" x14ac:dyDescent="0.5">
      <c r="A749" s="227">
        <v>18015672</v>
      </c>
      <c r="B749" s="22">
        <v>18010030</v>
      </c>
      <c r="C749" s="23" t="s">
        <v>1358</v>
      </c>
      <c r="D749" s="24" t="s">
        <v>184</v>
      </c>
      <c r="E749" s="25" t="s">
        <v>185</v>
      </c>
      <c r="F749" s="26" t="s">
        <v>1411</v>
      </c>
      <c r="G749" s="62">
        <v>43152</v>
      </c>
      <c r="H749" s="27">
        <v>18070</v>
      </c>
      <c r="I749" s="39" t="s">
        <v>869</v>
      </c>
      <c r="J749" s="62">
        <v>43144</v>
      </c>
      <c r="K749" s="42" t="s">
        <v>421</v>
      </c>
      <c r="L749" s="520" t="s">
        <v>507</v>
      </c>
      <c r="M749" s="22" t="s">
        <v>51</v>
      </c>
      <c r="N749" s="63">
        <v>179000</v>
      </c>
      <c r="O749" s="63">
        <v>12530</v>
      </c>
      <c r="P749" s="63">
        <f>SUM(N749:O749)</f>
        <v>191530</v>
      </c>
      <c r="AA749" s="40">
        <v>18020063</v>
      </c>
      <c r="AB749" s="41">
        <v>179000</v>
      </c>
      <c r="AC749" s="64">
        <f>AB749*7/100</f>
        <v>12530</v>
      </c>
      <c r="AD749" s="64">
        <f>AB749+AC749</f>
        <v>191530</v>
      </c>
      <c r="AE749" s="53">
        <v>43195</v>
      </c>
      <c r="AF749" s="39" t="s">
        <v>869</v>
      </c>
      <c r="AI749" s="21" t="s">
        <v>919</v>
      </c>
      <c r="AJ749" s="44">
        <v>1</v>
      </c>
      <c r="AK749" s="45" t="s">
        <v>887</v>
      </c>
      <c r="AM749" s="46" t="s">
        <v>1205</v>
      </c>
      <c r="AN749" s="47">
        <v>1</v>
      </c>
      <c r="AO749" s="48" t="s">
        <v>633</v>
      </c>
      <c r="AP749" s="44">
        <v>2</v>
      </c>
      <c r="AQ749" s="40" t="s">
        <v>888</v>
      </c>
      <c r="AS749" s="47" t="s">
        <v>1205</v>
      </c>
      <c r="AT749" s="47">
        <v>1</v>
      </c>
      <c r="AU749" s="49" t="s">
        <v>635</v>
      </c>
      <c r="AW749" s="54"/>
      <c r="AX749" s="44"/>
      <c r="AY749" s="44"/>
      <c r="AZ749" s="44"/>
      <c r="BA749" s="54"/>
      <c r="BC749" s="54"/>
      <c r="BD749" s="44"/>
      <c r="BE749" s="44"/>
      <c r="BF749" s="44"/>
      <c r="BG749" s="54"/>
      <c r="BI749" s="54"/>
      <c r="BJ749" s="44"/>
      <c r="BK749" s="44"/>
      <c r="BL749" s="44"/>
      <c r="BM749" s="44"/>
      <c r="BO749" s="54"/>
      <c r="BP749" s="44"/>
      <c r="BQ749" s="44"/>
      <c r="BR749" s="44"/>
      <c r="BS749" s="44"/>
      <c r="BU749" s="54"/>
      <c r="BV749" s="44"/>
      <c r="BW749" s="44"/>
      <c r="BX749" s="44"/>
      <c r="BY749" s="44"/>
      <c r="CA749" s="54"/>
      <c r="CB749" s="44"/>
      <c r="CC749" s="44"/>
      <c r="CD749" s="44"/>
      <c r="CE749" s="44"/>
    </row>
    <row r="750" spans="1:84" x14ac:dyDescent="0.5">
      <c r="A750" s="227">
        <v>18015671</v>
      </c>
      <c r="B750" s="22">
        <v>18010031</v>
      </c>
      <c r="C750" s="23" t="s">
        <v>1449</v>
      </c>
      <c r="D750" s="24" t="s">
        <v>184</v>
      </c>
      <c r="E750" s="25" t="s">
        <v>185</v>
      </c>
      <c r="F750" s="26" t="s">
        <v>1446</v>
      </c>
      <c r="G750" s="62">
        <v>43124</v>
      </c>
      <c r="H750" s="27">
        <v>18021</v>
      </c>
      <c r="I750" s="39" t="s">
        <v>869</v>
      </c>
      <c r="J750" s="62">
        <v>43124</v>
      </c>
      <c r="K750" s="42" t="s">
        <v>15</v>
      </c>
      <c r="L750" s="520" t="s">
        <v>508</v>
      </c>
      <c r="M750" s="22" t="s">
        <v>51</v>
      </c>
      <c r="N750" s="63">
        <v>54240</v>
      </c>
      <c r="O750" s="63">
        <v>3796.8</v>
      </c>
      <c r="P750" s="63">
        <f>SUM(N750:O750)</f>
        <v>58036.800000000003</v>
      </c>
      <c r="AA750" s="40">
        <v>18010025</v>
      </c>
      <c r="AB750" s="41">
        <v>54240</v>
      </c>
      <c r="AC750" s="64">
        <f>AB750*7/100</f>
        <v>3796.8</v>
      </c>
      <c r="AD750" s="64">
        <f>AB750+AC750</f>
        <v>58036.800000000003</v>
      </c>
      <c r="AE750" s="53">
        <v>43168</v>
      </c>
      <c r="AF750" s="39" t="s">
        <v>869</v>
      </c>
      <c r="AI750" s="21" t="s">
        <v>939</v>
      </c>
      <c r="AJ750" s="44">
        <v>1</v>
      </c>
      <c r="AK750" s="45" t="s">
        <v>900</v>
      </c>
      <c r="AM750" s="46" t="s">
        <v>1205</v>
      </c>
      <c r="AN750" s="47">
        <v>1</v>
      </c>
      <c r="AO750" s="48" t="s">
        <v>633</v>
      </c>
      <c r="AQ750" s="54"/>
      <c r="AR750" s="44"/>
      <c r="AS750" s="44"/>
      <c r="AT750" s="44"/>
      <c r="AU750" s="54"/>
      <c r="AW750" s="54"/>
      <c r="AX750" s="44"/>
      <c r="AY750" s="44"/>
      <c r="AZ750" s="44"/>
      <c r="BA750" s="54"/>
      <c r="BC750" s="54"/>
      <c r="BD750" s="44"/>
      <c r="BE750" s="44"/>
      <c r="BF750" s="44"/>
      <c r="BG750" s="54"/>
      <c r="BI750" s="54"/>
      <c r="BJ750" s="44"/>
      <c r="BK750" s="44"/>
      <c r="BL750" s="44"/>
      <c r="BM750" s="44"/>
      <c r="BO750" s="54"/>
      <c r="BP750" s="44"/>
      <c r="BQ750" s="44"/>
      <c r="BR750" s="44"/>
      <c r="BS750" s="44"/>
      <c r="BU750" s="54"/>
      <c r="BV750" s="44"/>
      <c r="BW750" s="44"/>
      <c r="BX750" s="44"/>
      <c r="BY750" s="44"/>
      <c r="CA750" s="54"/>
      <c r="CB750" s="44"/>
      <c r="CC750" s="44"/>
      <c r="CD750" s="44"/>
      <c r="CE750" s="44"/>
    </row>
    <row r="751" spans="1:84" x14ac:dyDescent="0.5">
      <c r="A751" s="227">
        <v>18015670</v>
      </c>
      <c r="B751" s="22">
        <v>18010032</v>
      </c>
      <c r="C751" s="23" t="s">
        <v>1360</v>
      </c>
      <c r="D751" s="24" t="s">
        <v>184</v>
      </c>
      <c r="E751" s="25" t="s">
        <v>185</v>
      </c>
      <c r="F751" s="26" t="s">
        <v>1447</v>
      </c>
      <c r="G751" s="62">
        <v>43124</v>
      </c>
      <c r="H751" s="27">
        <v>18020</v>
      </c>
      <c r="I751" s="39" t="s">
        <v>869</v>
      </c>
      <c r="J751" s="62">
        <v>43124</v>
      </c>
      <c r="K751" s="42" t="s">
        <v>15</v>
      </c>
      <c r="L751" s="520" t="s">
        <v>509</v>
      </c>
      <c r="M751" s="22" t="s">
        <v>51</v>
      </c>
      <c r="N751" s="63">
        <v>10080</v>
      </c>
      <c r="O751" s="63">
        <v>705.6</v>
      </c>
      <c r="P751" s="63">
        <f>SUM(N751:O751)</f>
        <v>10785.6</v>
      </c>
      <c r="AA751" s="40">
        <v>18010024</v>
      </c>
      <c r="AB751" s="41">
        <v>10080</v>
      </c>
      <c r="AC751" s="64">
        <f>AB751*7/100</f>
        <v>705.6</v>
      </c>
      <c r="AD751" s="64">
        <f>AB751+AC751</f>
        <v>10785.6</v>
      </c>
      <c r="AE751" s="53">
        <v>43168</v>
      </c>
      <c r="AF751" s="39" t="s">
        <v>869</v>
      </c>
      <c r="AI751" s="21" t="s">
        <v>939</v>
      </c>
      <c r="AJ751" s="44">
        <v>1</v>
      </c>
      <c r="AK751" s="45" t="s">
        <v>899</v>
      </c>
      <c r="AL751" s="46" t="s">
        <v>1205</v>
      </c>
      <c r="AN751" s="47">
        <v>1</v>
      </c>
      <c r="AO751" s="48" t="s">
        <v>635</v>
      </c>
      <c r="AQ751" s="54"/>
      <c r="AR751" s="44"/>
      <c r="AS751" s="44"/>
      <c r="AT751" s="44"/>
      <c r="AU751" s="54"/>
      <c r="AW751" s="54"/>
      <c r="AX751" s="44"/>
      <c r="AY751" s="44"/>
      <c r="AZ751" s="44"/>
      <c r="BA751" s="54"/>
      <c r="BC751" s="54"/>
      <c r="BD751" s="44"/>
      <c r="BE751" s="44"/>
      <c r="BF751" s="44"/>
      <c r="BG751" s="54"/>
      <c r="BI751" s="54"/>
      <c r="BJ751" s="44"/>
      <c r="BK751" s="44"/>
      <c r="BL751" s="44"/>
      <c r="BM751" s="44"/>
      <c r="BO751" s="54"/>
      <c r="BP751" s="44"/>
      <c r="BQ751" s="44"/>
      <c r="BR751" s="44"/>
      <c r="BS751" s="44"/>
      <c r="BU751" s="54"/>
      <c r="BV751" s="44"/>
      <c r="BW751" s="44"/>
      <c r="BX751" s="44"/>
      <c r="BY751" s="44"/>
      <c r="CA751" s="54"/>
      <c r="CB751" s="44"/>
      <c r="CC751" s="44"/>
      <c r="CD751" s="44"/>
      <c r="CE751" s="44"/>
    </row>
    <row r="752" spans="1:84" x14ac:dyDescent="0.5">
      <c r="A752" s="227">
        <v>18015669</v>
      </c>
      <c r="B752" s="22">
        <v>18010029</v>
      </c>
      <c r="C752" s="55"/>
      <c r="D752" s="56"/>
      <c r="E752" s="57"/>
      <c r="F752" s="58"/>
      <c r="G752" s="59"/>
      <c r="H752" s="60"/>
      <c r="I752" s="269" t="s">
        <v>869</v>
      </c>
      <c r="J752" s="59"/>
      <c r="K752" s="42" t="s">
        <v>466</v>
      </c>
      <c r="L752" s="520" t="s">
        <v>510</v>
      </c>
      <c r="M752" s="22" t="s">
        <v>51</v>
      </c>
      <c r="N752" s="63">
        <v>16500</v>
      </c>
      <c r="O752" s="63">
        <f>N752*7/100</f>
        <v>1155</v>
      </c>
      <c r="P752" s="63">
        <f>N752+O752</f>
        <v>17655</v>
      </c>
      <c r="AA752" s="40">
        <v>18050180</v>
      </c>
      <c r="AB752" s="41">
        <v>16500</v>
      </c>
      <c r="AC752" s="63">
        <f>AB752*7/100</f>
        <v>1155</v>
      </c>
      <c r="AD752" s="63">
        <f>AB752+AC752</f>
        <v>17655</v>
      </c>
      <c r="AE752" s="53">
        <v>43295</v>
      </c>
      <c r="AF752" s="39" t="s">
        <v>869</v>
      </c>
      <c r="AI752" s="21" t="s">
        <v>1099</v>
      </c>
      <c r="AJ752" s="44">
        <v>1</v>
      </c>
      <c r="AP752" s="44">
        <v>2</v>
      </c>
      <c r="AV752" s="44">
        <v>3</v>
      </c>
      <c r="BB752" s="44">
        <v>4</v>
      </c>
      <c r="BH752" s="44">
        <v>5</v>
      </c>
      <c r="BN752" s="44">
        <v>6</v>
      </c>
      <c r="BT752" s="44">
        <v>7</v>
      </c>
      <c r="BZ752" s="44">
        <v>8</v>
      </c>
    </row>
    <row r="753" spans="1:83" x14ac:dyDescent="0.5">
      <c r="A753" s="227">
        <v>18015668</v>
      </c>
      <c r="B753" s="22">
        <v>17121337</v>
      </c>
      <c r="C753" s="55"/>
      <c r="D753" s="56"/>
      <c r="E753" s="57"/>
      <c r="F753" s="58"/>
      <c r="G753" s="59"/>
      <c r="H753" s="60"/>
      <c r="I753" s="269" t="s">
        <v>869</v>
      </c>
      <c r="J753" s="59"/>
      <c r="K753" s="42" t="s">
        <v>511</v>
      </c>
      <c r="L753" s="520" t="s">
        <v>512</v>
      </c>
      <c r="M753" s="22" t="s">
        <v>359</v>
      </c>
      <c r="N753" s="63">
        <v>19200</v>
      </c>
      <c r="O753" s="63">
        <f>N753*7/100</f>
        <v>1344</v>
      </c>
      <c r="P753" s="63">
        <f>N753+O753</f>
        <v>20544</v>
      </c>
      <c r="X753" s="518">
        <v>192</v>
      </c>
      <c r="AA753" s="40">
        <v>18010016</v>
      </c>
      <c r="AB753" s="41">
        <v>19200</v>
      </c>
      <c r="AC753" s="64">
        <f t="shared" ref="AC753:AC758" si="126">AB753*7/100</f>
        <v>1344</v>
      </c>
      <c r="AD753" s="64">
        <f t="shared" ref="AD753:AD758" si="127">AB753+AC753</f>
        <v>20544</v>
      </c>
      <c r="AE753" s="53">
        <v>43118</v>
      </c>
      <c r="AF753" s="39" t="s">
        <v>869</v>
      </c>
      <c r="AI753" s="21" t="s">
        <v>940</v>
      </c>
      <c r="AJ753" s="44">
        <v>1</v>
      </c>
      <c r="AP753" s="44">
        <v>2</v>
      </c>
      <c r="AV753" s="44">
        <v>3</v>
      </c>
      <c r="BB753" s="44">
        <v>4</v>
      </c>
      <c r="BH753" s="44">
        <v>5</v>
      </c>
      <c r="BN753" s="44">
        <v>6</v>
      </c>
      <c r="BT753" s="44">
        <v>7</v>
      </c>
      <c r="BZ753" s="44">
        <v>8</v>
      </c>
    </row>
    <row r="754" spans="1:83" x14ac:dyDescent="0.5">
      <c r="A754" s="227">
        <v>18015667</v>
      </c>
      <c r="B754" s="22">
        <v>18010017</v>
      </c>
      <c r="C754" s="55"/>
      <c r="D754" s="56"/>
      <c r="E754" s="57"/>
      <c r="F754" s="58"/>
      <c r="G754" s="59"/>
      <c r="H754" s="60"/>
      <c r="I754" s="269"/>
      <c r="J754" s="59"/>
      <c r="K754" s="42" t="s">
        <v>466</v>
      </c>
      <c r="L754" s="520" t="s">
        <v>513</v>
      </c>
      <c r="M754" s="22" t="s">
        <v>51</v>
      </c>
      <c r="N754" s="63">
        <v>28500</v>
      </c>
      <c r="O754" s="63">
        <f>N754*7/100</f>
        <v>1995</v>
      </c>
      <c r="P754" s="63">
        <f>N754+O754</f>
        <v>30495</v>
      </c>
      <c r="AA754" s="40">
        <v>18010012</v>
      </c>
      <c r="AB754" s="41">
        <v>28500</v>
      </c>
      <c r="AC754" s="64">
        <f t="shared" si="126"/>
        <v>1995</v>
      </c>
      <c r="AD754" s="64">
        <f t="shared" si="127"/>
        <v>30495</v>
      </c>
      <c r="AE754" s="53">
        <v>43158</v>
      </c>
      <c r="AF754" s="39" t="s">
        <v>869</v>
      </c>
      <c r="AI754" s="21" t="s">
        <v>914</v>
      </c>
      <c r="AJ754" s="44">
        <v>1</v>
      </c>
      <c r="AP754" s="44">
        <v>2</v>
      </c>
      <c r="AV754" s="44">
        <v>3</v>
      </c>
      <c r="BB754" s="44">
        <v>4</v>
      </c>
      <c r="BH754" s="44">
        <v>5</v>
      </c>
      <c r="BN754" s="44">
        <v>6</v>
      </c>
      <c r="BT754" s="44">
        <v>7</v>
      </c>
      <c r="BZ754" s="44">
        <v>8</v>
      </c>
    </row>
    <row r="755" spans="1:83" x14ac:dyDescent="0.5">
      <c r="A755" s="227">
        <v>18015666</v>
      </c>
      <c r="B755" s="22">
        <v>18010018</v>
      </c>
      <c r="C755" s="23" t="s">
        <v>1359</v>
      </c>
      <c r="D755" s="24" t="s">
        <v>184</v>
      </c>
      <c r="E755" s="25" t="s">
        <v>185</v>
      </c>
      <c r="F755" s="26" t="s">
        <v>1433</v>
      </c>
      <c r="G755" s="62">
        <v>43131</v>
      </c>
      <c r="H755" s="27">
        <v>18028</v>
      </c>
      <c r="I755" s="39" t="s">
        <v>869</v>
      </c>
      <c r="J755" s="62">
        <v>43131</v>
      </c>
      <c r="K755" s="42" t="s">
        <v>15</v>
      </c>
      <c r="L755" s="520" t="s">
        <v>443</v>
      </c>
      <c r="M755" s="22" t="s">
        <v>51</v>
      </c>
      <c r="N755" s="63">
        <v>30240</v>
      </c>
      <c r="O755" s="63">
        <v>2116.8000000000002</v>
      </c>
      <c r="P755" s="63">
        <f>SUM(N755:O755)</f>
        <v>32356.799999999999</v>
      </c>
      <c r="AA755" s="40">
        <v>18010039</v>
      </c>
      <c r="AB755" s="41">
        <v>30240</v>
      </c>
      <c r="AC755" s="64">
        <f t="shared" si="126"/>
        <v>2116.8000000000002</v>
      </c>
      <c r="AD755" s="64">
        <f t="shared" si="127"/>
        <v>32356.799999999999</v>
      </c>
      <c r="AE755" s="53">
        <v>43176</v>
      </c>
      <c r="AF755" s="39" t="s">
        <v>869</v>
      </c>
      <c r="AI755" s="21" t="s">
        <v>937</v>
      </c>
      <c r="AJ755" s="44">
        <v>1</v>
      </c>
      <c r="AK755" s="45" t="s">
        <v>901</v>
      </c>
      <c r="AM755" s="46" t="s">
        <v>1205</v>
      </c>
      <c r="AN755" s="47">
        <v>1</v>
      </c>
      <c r="AO755" s="48" t="s">
        <v>633</v>
      </c>
      <c r="AQ755" s="54"/>
      <c r="AR755" s="44"/>
      <c r="AS755" s="44"/>
      <c r="AT755" s="44"/>
      <c r="AU755" s="54"/>
      <c r="AW755" s="54"/>
      <c r="AX755" s="44"/>
      <c r="AY755" s="44"/>
      <c r="AZ755" s="44"/>
      <c r="BA755" s="54"/>
      <c r="BC755" s="54"/>
      <c r="BD755" s="44"/>
      <c r="BE755" s="44"/>
      <c r="BF755" s="44"/>
      <c r="BG755" s="54"/>
      <c r="BI755" s="54"/>
      <c r="BJ755" s="44"/>
      <c r="BK755" s="44"/>
      <c r="BL755" s="44"/>
      <c r="BM755" s="44"/>
      <c r="BO755" s="54"/>
      <c r="BP755" s="44"/>
      <c r="BQ755" s="44"/>
      <c r="BR755" s="44"/>
      <c r="BS755" s="44"/>
      <c r="BU755" s="54"/>
      <c r="BV755" s="44"/>
      <c r="BW755" s="44"/>
      <c r="BX755" s="44"/>
      <c r="BY755" s="44"/>
      <c r="CA755" s="54"/>
      <c r="CB755" s="44"/>
      <c r="CC755" s="44"/>
      <c r="CD755" s="44"/>
      <c r="CE755" s="44"/>
    </row>
    <row r="756" spans="1:83" x14ac:dyDescent="0.5">
      <c r="A756" s="227">
        <v>18015665</v>
      </c>
      <c r="B756" s="22">
        <v>18010019</v>
      </c>
      <c r="C756" s="23" t="s">
        <v>1357</v>
      </c>
      <c r="D756" s="24" t="s">
        <v>184</v>
      </c>
      <c r="E756" s="25" t="s">
        <v>185</v>
      </c>
      <c r="F756" s="26" t="s">
        <v>1395</v>
      </c>
      <c r="G756" s="62">
        <v>43167</v>
      </c>
      <c r="H756" s="27">
        <v>18092</v>
      </c>
      <c r="I756" s="39" t="s">
        <v>869</v>
      </c>
      <c r="J756" s="62">
        <v>43167</v>
      </c>
      <c r="K756" s="42" t="s">
        <v>15</v>
      </c>
      <c r="L756" s="520" t="s">
        <v>443</v>
      </c>
      <c r="M756" s="22" t="s">
        <v>51</v>
      </c>
      <c r="N756" s="63">
        <v>48720</v>
      </c>
      <c r="O756" s="63">
        <v>3410.4</v>
      </c>
      <c r="P756" s="63">
        <f>SUM(N756:O756)</f>
        <v>52130.400000000001</v>
      </c>
      <c r="AA756" s="40">
        <v>18030099</v>
      </c>
      <c r="AB756" s="41">
        <v>48720</v>
      </c>
      <c r="AC756" s="64">
        <f t="shared" si="126"/>
        <v>3410.4</v>
      </c>
      <c r="AD756" s="64">
        <f t="shared" si="127"/>
        <v>52130.400000000001</v>
      </c>
      <c r="AE756" s="53">
        <v>43212</v>
      </c>
      <c r="AF756" s="39" t="s">
        <v>869</v>
      </c>
      <c r="AI756" s="21" t="s">
        <v>917</v>
      </c>
      <c r="AJ756" s="44">
        <v>1</v>
      </c>
      <c r="AK756" s="45" t="s">
        <v>844</v>
      </c>
      <c r="AL756" s="46" t="s">
        <v>1205</v>
      </c>
      <c r="AN756" s="47">
        <v>1</v>
      </c>
      <c r="AO756" s="48" t="s">
        <v>633</v>
      </c>
      <c r="AP756" s="356"/>
      <c r="AQ756" s="356"/>
      <c r="AR756" s="44"/>
      <c r="AS756" s="44"/>
      <c r="AT756" s="356"/>
      <c r="AU756" s="54"/>
      <c r="AV756" s="356"/>
      <c r="AW756" s="356"/>
      <c r="AX756" s="44"/>
      <c r="AY756" s="44"/>
      <c r="AZ756" s="356"/>
      <c r="BA756" s="54"/>
      <c r="BB756" s="356"/>
      <c r="BC756" s="356"/>
      <c r="BD756" s="44"/>
      <c r="BE756" s="44"/>
      <c r="BF756" s="356"/>
      <c r="BG756" s="54"/>
      <c r="BH756" s="356"/>
      <c r="BI756" s="356"/>
      <c r="BJ756" s="44"/>
      <c r="BK756" s="44"/>
      <c r="BL756" s="356"/>
      <c r="BM756" s="356"/>
      <c r="BN756" s="356"/>
      <c r="BO756" s="356"/>
      <c r="BP756" s="44"/>
      <c r="BQ756" s="44"/>
      <c r="BR756" s="356"/>
      <c r="BS756" s="356"/>
      <c r="BT756" s="356"/>
      <c r="BU756" s="356"/>
      <c r="BV756" s="44"/>
      <c r="BW756" s="44"/>
      <c r="BX756" s="356"/>
      <c r="BY756" s="356"/>
      <c r="BZ756" s="356"/>
      <c r="CA756" s="356"/>
      <c r="CB756" s="44"/>
      <c r="CC756" s="44"/>
      <c r="CD756" s="356"/>
      <c r="CE756" s="356"/>
    </row>
    <row r="757" spans="1:83" x14ac:dyDescent="0.5">
      <c r="A757" s="227">
        <v>18015664</v>
      </c>
      <c r="B757" s="22">
        <v>18010004</v>
      </c>
      <c r="C757" s="55"/>
      <c r="D757" s="56"/>
      <c r="E757" s="57"/>
      <c r="F757" s="58"/>
      <c r="G757" s="59"/>
      <c r="H757" s="60"/>
      <c r="I757" s="269"/>
      <c r="J757" s="59"/>
      <c r="K757" s="42" t="s">
        <v>448</v>
      </c>
      <c r="L757" s="520" t="s">
        <v>514</v>
      </c>
      <c r="M757" s="22" t="s">
        <v>51</v>
      </c>
      <c r="N757" s="63">
        <v>15000</v>
      </c>
      <c r="O757" s="63">
        <f>N757*7/100</f>
        <v>1050</v>
      </c>
      <c r="P757" s="63">
        <f>N757+O757</f>
        <v>16050</v>
      </c>
      <c r="AA757" s="40">
        <v>18030097</v>
      </c>
      <c r="AB757" s="41">
        <v>15000</v>
      </c>
      <c r="AC757" s="63">
        <f t="shared" si="126"/>
        <v>1050</v>
      </c>
      <c r="AD757" s="63">
        <f t="shared" si="127"/>
        <v>16050</v>
      </c>
      <c r="AE757" s="53">
        <v>43213</v>
      </c>
      <c r="AF757" s="39" t="s">
        <v>869</v>
      </c>
      <c r="AI757" s="21" t="s">
        <v>986</v>
      </c>
      <c r="AJ757" s="44">
        <v>1</v>
      </c>
      <c r="AP757" s="44">
        <v>2</v>
      </c>
      <c r="AV757" s="44">
        <v>3</v>
      </c>
      <c r="BB757" s="44">
        <v>4</v>
      </c>
      <c r="BH757" s="44">
        <v>5</v>
      </c>
      <c r="BN757" s="44">
        <v>6</v>
      </c>
      <c r="BT757" s="44">
        <v>7</v>
      </c>
      <c r="BZ757" s="44">
        <v>8</v>
      </c>
    </row>
    <row r="758" spans="1:83" x14ac:dyDescent="0.5">
      <c r="A758" s="227">
        <v>18015663</v>
      </c>
      <c r="B758" s="22">
        <v>18010003</v>
      </c>
      <c r="C758" s="55"/>
      <c r="D758" s="56"/>
      <c r="E758" s="57"/>
      <c r="F758" s="58"/>
      <c r="G758" s="59"/>
      <c r="H758" s="60"/>
      <c r="I758" s="269"/>
      <c r="J758" s="59"/>
      <c r="K758" s="42" t="s">
        <v>448</v>
      </c>
      <c r="L758" s="520" t="s">
        <v>514</v>
      </c>
      <c r="M758" s="22" t="s">
        <v>51</v>
      </c>
      <c r="N758" s="63">
        <v>10800</v>
      </c>
      <c r="O758" s="63">
        <f>N758*7/100</f>
        <v>756</v>
      </c>
      <c r="P758" s="63">
        <f>N758+O758</f>
        <v>11556</v>
      </c>
      <c r="AA758" s="40">
        <v>18030098</v>
      </c>
      <c r="AB758" s="41">
        <v>10800</v>
      </c>
      <c r="AC758" s="63">
        <f t="shared" si="126"/>
        <v>756</v>
      </c>
      <c r="AD758" s="63">
        <f t="shared" si="127"/>
        <v>11556</v>
      </c>
      <c r="AE758" s="53">
        <v>43213</v>
      </c>
      <c r="AF758" s="39" t="s">
        <v>869</v>
      </c>
      <c r="AI758" s="21" t="s">
        <v>986</v>
      </c>
      <c r="AJ758" s="44">
        <v>1</v>
      </c>
      <c r="AP758" s="44">
        <v>2</v>
      </c>
      <c r="AV758" s="44">
        <v>3</v>
      </c>
      <c r="BB758" s="44">
        <v>4</v>
      </c>
      <c r="BH758" s="44">
        <v>5</v>
      </c>
      <c r="BN758" s="44">
        <v>6</v>
      </c>
      <c r="BT758" s="44">
        <v>7</v>
      </c>
      <c r="BZ758" s="44">
        <v>8</v>
      </c>
    </row>
    <row r="759" spans="1:83" x14ac:dyDescent="0.5">
      <c r="A759" s="227">
        <v>18015662</v>
      </c>
      <c r="B759" s="22" t="s">
        <v>446</v>
      </c>
      <c r="C759" s="23" t="s">
        <v>1362</v>
      </c>
      <c r="D759" s="24" t="s">
        <v>184</v>
      </c>
      <c r="E759" s="25" t="s">
        <v>185</v>
      </c>
      <c r="F759" s="26" t="s">
        <v>1361</v>
      </c>
      <c r="G759" s="62">
        <v>43181</v>
      </c>
      <c r="H759" s="27">
        <v>18118</v>
      </c>
      <c r="I759" s="39" t="s">
        <v>869</v>
      </c>
      <c r="J759" s="62">
        <v>43180</v>
      </c>
      <c r="K759" s="42" t="s">
        <v>91</v>
      </c>
      <c r="L759" s="520" t="s">
        <v>447</v>
      </c>
      <c r="M759" s="22" t="s">
        <v>52</v>
      </c>
      <c r="N759" s="63">
        <v>239252.34</v>
      </c>
      <c r="O759" s="63">
        <v>16747.66</v>
      </c>
      <c r="P759" s="63">
        <f>SUM(N759:O759)</f>
        <v>256000</v>
      </c>
      <c r="AA759" s="40">
        <v>18030106</v>
      </c>
      <c r="AB759" s="41">
        <v>239252.34</v>
      </c>
      <c r="AC759" s="64">
        <f t="shared" ref="AC759:AC769" si="128">AB759*7/100</f>
        <v>16747.663799999998</v>
      </c>
      <c r="AD759" s="64">
        <f t="shared" ref="AD759:AD769" si="129">AB759+AC759</f>
        <v>256000.00380000001</v>
      </c>
      <c r="AE759" s="53">
        <v>43173</v>
      </c>
      <c r="AF759" s="39" t="s">
        <v>869</v>
      </c>
      <c r="AI759" s="21" t="s">
        <v>905</v>
      </c>
      <c r="AJ759" s="44">
        <v>1</v>
      </c>
      <c r="AK759" s="45" t="s">
        <v>715</v>
      </c>
      <c r="AM759" s="46" t="s">
        <v>1205</v>
      </c>
      <c r="AN759" s="47">
        <v>4</v>
      </c>
      <c r="AO759" s="48" t="s">
        <v>634</v>
      </c>
      <c r="AP759" s="356"/>
      <c r="AQ759" s="356"/>
      <c r="AR759" s="44"/>
      <c r="AS759" s="44"/>
      <c r="AT759" s="356"/>
      <c r="AU759" s="54"/>
      <c r="AV759" s="356"/>
      <c r="AW759" s="356"/>
      <c r="AX759" s="44"/>
      <c r="AY759" s="44"/>
      <c r="AZ759" s="356"/>
      <c r="BA759" s="54"/>
      <c r="BB759" s="356"/>
      <c r="BC759" s="356"/>
      <c r="BD759" s="44"/>
      <c r="BE759" s="44"/>
      <c r="BF759" s="356"/>
      <c r="BG759" s="54"/>
      <c r="BH759" s="356"/>
      <c r="BI759" s="356"/>
      <c r="BJ759" s="44"/>
      <c r="BK759" s="44"/>
      <c r="BL759" s="356"/>
      <c r="BM759" s="356"/>
      <c r="BN759" s="356"/>
      <c r="BO759" s="356"/>
      <c r="BP759" s="44"/>
      <c r="BQ759" s="44"/>
      <c r="BR759" s="356"/>
      <c r="BS759" s="356"/>
      <c r="BT759" s="356"/>
      <c r="BU759" s="356"/>
      <c r="BV759" s="44"/>
      <c r="BW759" s="44"/>
      <c r="BX759" s="356"/>
      <c r="BY759" s="356"/>
      <c r="BZ759" s="356"/>
      <c r="CA759" s="356"/>
      <c r="CB759" s="44"/>
      <c r="CC759" s="44"/>
      <c r="CD759" s="356"/>
      <c r="CE759" s="356"/>
    </row>
    <row r="760" spans="1:83" x14ac:dyDescent="0.5">
      <c r="A760" s="227">
        <v>18015661</v>
      </c>
      <c r="B760" s="22">
        <v>18010015</v>
      </c>
      <c r="C760" s="23" t="s">
        <v>1356</v>
      </c>
      <c r="D760" s="24" t="s">
        <v>184</v>
      </c>
      <c r="E760" s="25" t="s">
        <v>185</v>
      </c>
      <c r="F760" s="26" t="s">
        <v>1360</v>
      </c>
      <c r="G760" s="62">
        <v>43124</v>
      </c>
      <c r="H760" s="27">
        <v>18019</v>
      </c>
      <c r="I760" s="39" t="s">
        <v>869</v>
      </c>
      <c r="J760" s="62">
        <v>43124</v>
      </c>
      <c r="K760" s="42" t="s">
        <v>19</v>
      </c>
      <c r="L760" s="520" t="s">
        <v>515</v>
      </c>
      <c r="M760" s="22" t="s">
        <v>51</v>
      </c>
      <c r="N760" s="63">
        <v>58000</v>
      </c>
      <c r="O760" s="63">
        <v>4060</v>
      </c>
      <c r="P760" s="63">
        <f>SUM(N760:O760)</f>
        <v>62060</v>
      </c>
      <c r="AA760" s="40">
        <v>18010023</v>
      </c>
      <c r="AB760" s="41">
        <v>58000</v>
      </c>
      <c r="AC760" s="64">
        <f t="shared" si="128"/>
        <v>4060</v>
      </c>
      <c r="AD760" s="64">
        <f t="shared" si="129"/>
        <v>62060</v>
      </c>
      <c r="AE760" s="53">
        <v>43153</v>
      </c>
      <c r="AF760" s="39" t="s">
        <v>869</v>
      </c>
      <c r="AI760" s="21" t="s">
        <v>935</v>
      </c>
      <c r="AJ760" s="44">
        <v>1</v>
      </c>
      <c r="AK760" s="45" t="s">
        <v>843</v>
      </c>
      <c r="AN760" s="47">
        <v>1</v>
      </c>
      <c r="AO760" s="48" t="s">
        <v>633</v>
      </c>
      <c r="AP760" s="44">
        <v>2</v>
      </c>
      <c r="AQ760" s="40" t="s">
        <v>898</v>
      </c>
      <c r="AS760" s="46" t="s">
        <v>1205</v>
      </c>
      <c r="AT760" s="47">
        <v>1</v>
      </c>
      <c r="AU760" s="49" t="s">
        <v>633</v>
      </c>
      <c r="AW760" s="54"/>
      <c r="AX760" s="44"/>
      <c r="AY760" s="44"/>
      <c r="AZ760" s="44"/>
      <c r="BA760" s="54"/>
      <c r="BC760" s="54"/>
      <c r="BD760" s="44"/>
      <c r="BE760" s="44"/>
      <c r="BF760" s="44"/>
      <c r="BG760" s="54"/>
      <c r="BI760" s="54"/>
      <c r="BJ760" s="44"/>
      <c r="BK760" s="44"/>
      <c r="BL760" s="44"/>
      <c r="BM760" s="44"/>
      <c r="BO760" s="54"/>
      <c r="BP760" s="44"/>
      <c r="BQ760" s="44"/>
      <c r="BR760" s="44"/>
      <c r="BS760" s="44"/>
      <c r="BU760" s="54"/>
      <c r="BV760" s="44"/>
      <c r="BW760" s="44"/>
      <c r="BX760" s="44"/>
      <c r="BY760" s="44"/>
      <c r="CA760" s="54"/>
      <c r="CB760" s="44"/>
      <c r="CC760" s="44"/>
      <c r="CD760" s="44"/>
      <c r="CE760" s="44"/>
    </row>
    <row r="761" spans="1:83" x14ac:dyDescent="0.5">
      <c r="A761" s="227">
        <v>18015660</v>
      </c>
      <c r="B761" s="22">
        <v>18010011</v>
      </c>
      <c r="C761" s="55"/>
      <c r="D761" s="56"/>
      <c r="E761" s="57"/>
      <c r="F761" s="58"/>
      <c r="G761" s="59"/>
      <c r="H761" s="60"/>
      <c r="I761" s="269" t="s">
        <v>869</v>
      </c>
      <c r="J761" s="59"/>
      <c r="K761" s="42" t="s">
        <v>165</v>
      </c>
      <c r="L761" s="520" t="s">
        <v>516</v>
      </c>
      <c r="M761" s="22" t="s">
        <v>359</v>
      </c>
      <c r="N761" s="63">
        <v>8300</v>
      </c>
      <c r="O761" s="63">
        <f>N761*7/100</f>
        <v>581</v>
      </c>
      <c r="P761" s="63">
        <f>N761+O761</f>
        <v>8881</v>
      </c>
      <c r="AA761" s="40">
        <v>18010035</v>
      </c>
      <c r="AB761" s="41">
        <v>8300</v>
      </c>
      <c r="AC761" s="64">
        <f t="shared" si="128"/>
        <v>581</v>
      </c>
      <c r="AD761" s="64">
        <f t="shared" si="129"/>
        <v>8881</v>
      </c>
      <c r="AE761" s="53">
        <v>43161</v>
      </c>
      <c r="AF761" s="39" t="s">
        <v>869</v>
      </c>
      <c r="AI761" s="21" t="s">
        <v>912</v>
      </c>
      <c r="AJ761" s="44">
        <v>1</v>
      </c>
      <c r="AP761" s="44">
        <v>2</v>
      </c>
      <c r="AV761" s="44">
        <v>3</v>
      </c>
      <c r="BB761" s="44">
        <v>4</v>
      </c>
      <c r="BH761" s="44">
        <v>5</v>
      </c>
      <c r="BN761" s="44">
        <v>6</v>
      </c>
      <c r="BT761" s="44">
        <v>7</v>
      </c>
      <c r="BZ761" s="44">
        <v>8</v>
      </c>
    </row>
    <row r="762" spans="1:83" x14ac:dyDescent="0.5">
      <c r="A762" s="227">
        <v>18015659</v>
      </c>
      <c r="B762" s="22">
        <v>18010010</v>
      </c>
      <c r="C762" s="55"/>
      <c r="D762" s="56"/>
      <c r="E762" s="57"/>
      <c r="F762" s="58"/>
      <c r="G762" s="59"/>
      <c r="H762" s="60"/>
      <c r="I762" s="269" t="s">
        <v>869</v>
      </c>
      <c r="J762" s="59"/>
      <c r="K762" s="42" t="s">
        <v>165</v>
      </c>
      <c r="L762" s="520" t="s">
        <v>516</v>
      </c>
      <c r="M762" s="22" t="s">
        <v>359</v>
      </c>
      <c r="N762" s="63">
        <v>8300</v>
      </c>
      <c r="O762" s="63">
        <f>N762*7/100</f>
        <v>581</v>
      </c>
      <c r="P762" s="63">
        <f>N762+O762</f>
        <v>8881</v>
      </c>
      <c r="AA762" s="40">
        <v>18010037</v>
      </c>
      <c r="AB762" s="41">
        <v>8300</v>
      </c>
      <c r="AC762" s="64">
        <f t="shared" si="128"/>
        <v>581</v>
      </c>
      <c r="AD762" s="64">
        <f t="shared" si="129"/>
        <v>8881</v>
      </c>
      <c r="AE762" s="53">
        <v>43161</v>
      </c>
      <c r="AF762" s="39" t="s">
        <v>869</v>
      </c>
      <c r="AI762" s="21" t="s">
        <v>912</v>
      </c>
      <c r="AJ762" s="44">
        <v>1</v>
      </c>
      <c r="AP762" s="44">
        <v>2</v>
      </c>
      <c r="AV762" s="44">
        <v>3</v>
      </c>
      <c r="BB762" s="44">
        <v>4</v>
      </c>
      <c r="BH762" s="44">
        <v>5</v>
      </c>
      <c r="BN762" s="44">
        <v>6</v>
      </c>
      <c r="BT762" s="44">
        <v>7</v>
      </c>
      <c r="BZ762" s="44">
        <v>8</v>
      </c>
    </row>
    <row r="763" spans="1:83" x14ac:dyDescent="0.5">
      <c r="A763" s="227">
        <v>18015658</v>
      </c>
      <c r="B763" s="22">
        <v>18010009</v>
      </c>
      <c r="C763" s="23" t="s">
        <v>1351</v>
      </c>
      <c r="D763" s="24" t="s">
        <v>184</v>
      </c>
      <c r="E763" s="25" t="s">
        <v>185</v>
      </c>
      <c r="F763" s="26" t="s">
        <v>1357</v>
      </c>
      <c r="G763" s="62">
        <v>43118</v>
      </c>
      <c r="H763" s="27">
        <v>18015</v>
      </c>
      <c r="I763" s="39" t="s">
        <v>869</v>
      </c>
      <c r="J763" s="62">
        <v>43119</v>
      </c>
      <c r="K763" s="42" t="s">
        <v>165</v>
      </c>
      <c r="L763" s="520" t="s">
        <v>517</v>
      </c>
      <c r="M763" s="22" t="s">
        <v>359</v>
      </c>
      <c r="N763" s="63">
        <v>16500</v>
      </c>
      <c r="O763" s="63">
        <v>1155</v>
      </c>
      <c r="P763" s="63">
        <f>SUM(N763:O763)</f>
        <v>17655</v>
      </c>
      <c r="U763" s="516">
        <v>825</v>
      </c>
      <c r="X763" s="518">
        <v>15.68</v>
      </c>
      <c r="AA763" s="40">
        <v>18010034</v>
      </c>
      <c r="AB763" s="41">
        <v>16500</v>
      </c>
      <c r="AC763" s="64">
        <f t="shared" si="128"/>
        <v>1155</v>
      </c>
      <c r="AD763" s="64">
        <f t="shared" si="129"/>
        <v>17655</v>
      </c>
      <c r="AE763" s="53">
        <v>43161</v>
      </c>
      <c r="AF763" s="39" t="s">
        <v>869</v>
      </c>
      <c r="AI763" s="21" t="s">
        <v>912</v>
      </c>
      <c r="AJ763" s="44">
        <v>1</v>
      </c>
      <c r="AK763" s="45" t="s">
        <v>784</v>
      </c>
      <c r="AM763" s="46" t="s">
        <v>1205</v>
      </c>
      <c r="AN763" s="47">
        <v>1</v>
      </c>
      <c r="AO763" s="48" t="s">
        <v>634</v>
      </c>
      <c r="AQ763" s="54"/>
      <c r="AR763" s="44"/>
      <c r="AS763" s="44"/>
      <c r="AT763" s="44"/>
      <c r="AU763" s="54"/>
      <c r="AW763" s="54"/>
      <c r="AX763" s="44"/>
      <c r="AY763" s="44"/>
      <c r="AZ763" s="44"/>
      <c r="BA763" s="54"/>
      <c r="BC763" s="54"/>
      <c r="BD763" s="44"/>
      <c r="BE763" s="44"/>
      <c r="BF763" s="44"/>
      <c r="BG763" s="54"/>
      <c r="BI763" s="54"/>
      <c r="BJ763" s="44"/>
      <c r="BK763" s="44"/>
      <c r="BL763" s="44"/>
      <c r="BM763" s="44"/>
      <c r="BO763" s="54"/>
      <c r="BP763" s="44"/>
      <c r="BQ763" s="44"/>
      <c r="BR763" s="44"/>
      <c r="BS763" s="44"/>
      <c r="BU763" s="54"/>
      <c r="BV763" s="44"/>
      <c r="BW763" s="44"/>
      <c r="BX763" s="44"/>
      <c r="BY763" s="44"/>
      <c r="CA763" s="54"/>
      <c r="CB763" s="44"/>
      <c r="CC763" s="44"/>
      <c r="CD763" s="44"/>
      <c r="CE763" s="44"/>
    </row>
    <row r="764" spans="1:83" x14ac:dyDescent="0.5">
      <c r="A764" s="227">
        <v>18015657</v>
      </c>
      <c r="B764" s="22">
        <v>18010008</v>
      </c>
      <c r="C764" s="23" t="s">
        <v>1353</v>
      </c>
      <c r="D764" s="24" t="s">
        <v>184</v>
      </c>
      <c r="E764" s="25" t="s">
        <v>185</v>
      </c>
      <c r="F764" s="26" t="s">
        <v>1358</v>
      </c>
      <c r="G764" s="62">
        <v>43118</v>
      </c>
      <c r="H764" s="27">
        <v>18014</v>
      </c>
      <c r="I764" s="39" t="s">
        <v>869</v>
      </c>
      <c r="J764" s="62">
        <v>43119</v>
      </c>
      <c r="K764" s="42" t="s">
        <v>165</v>
      </c>
      <c r="L764" s="520" t="s">
        <v>518</v>
      </c>
      <c r="M764" s="22" t="s">
        <v>359</v>
      </c>
      <c r="N764" s="63">
        <v>50550</v>
      </c>
      <c r="O764" s="63">
        <v>3538.5</v>
      </c>
      <c r="P764" s="63">
        <f>SUM(N764:O764)</f>
        <v>54088.5</v>
      </c>
      <c r="U764" s="516">
        <v>2527.5</v>
      </c>
      <c r="X764" s="518">
        <v>182.49</v>
      </c>
      <c r="AA764" s="40">
        <v>18010033</v>
      </c>
      <c r="AB764" s="41">
        <v>50550</v>
      </c>
      <c r="AC764" s="64">
        <f t="shared" si="128"/>
        <v>3538.5</v>
      </c>
      <c r="AD764" s="64">
        <f t="shared" si="129"/>
        <v>54088.5</v>
      </c>
      <c r="AE764" s="53">
        <v>43161</v>
      </c>
      <c r="AF764" s="39" t="s">
        <v>869</v>
      </c>
      <c r="AI764" s="21" t="s">
        <v>912</v>
      </c>
      <c r="AJ764" s="44">
        <v>1</v>
      </c>
      <c r="AK764" s="45" t="s">
        <v>660</v>
      </c>
      <c r="AM764" s="46" t="s">
        <v>1205</v>
      </c>
      <c r="AN764" s="47">
        <v>1</v>
      </c>
      <c r="AO764" s="48" t="s">
        <v>634</v>
      </c>
      <c r="AP764" s="44">
        <v>2</v>
      </c>
      <c r="AQ764" s="40" t="s">
        <v>829</v>
      </c>
      <c r="AS764" s="46" t="s">
        <v>1205</v>
      </c>
      <c r="AT764" s="47">
        <v>1</v>
      </c>
      <c r="AU764" s="49" t="s">
        <v>634</v>
      </c>
      <c r="AW764" s="54"/>
      <c r="AX764" s="44"/>
      <c r="AY764" s="44"/>
      <c r="AZ764" s="44"/>
      <c r="BA764" s="54"/>
      <c r="BC764" s="54"/>
      <c r="BD764" s="44"/>
      <c r="BE764" s="44"/>
      <c r="BF764" s="44"/>
      <c r="BG764" s="54"/>
      <c r="BI764" s="54"/>
      <c r="BJ764" s="44"/>
      <c r="BK764" s="44"/>
      <c r="BL764" s="44"/>
      <c r="BM764" s="44"/>
      <c r="BO764" s="54"/>
      <c r="BP764" s="44"/>
      <c r="BQ764" s="44"/>
      <c r="BR764" s="44"/>
      <c r="BS764" s="44"/>
      <c r="BU764" s="54"/>
      <c r="BV764" s="44"/>
      <c r="BW764" s="44"/>
      <c r="BX764" s="44"/>
      <c r="BY764" s="44"/>
      <c r="CA764" s="54"/>
      <c r="CB764" s="44"/>
      <c r="CC764" s="44"/>
      <c r="CD764" s="44"/>
      <c r="CE764" s="44"/>
    </row>
    <row r="765" spans="1:83" x14ac:dyDescent="0.5">
      <c r="A765" s="227">
        <v>18015656</v>
      </c>
      <c r="B765" s="22">
        <v>18010007</v>
      </c>
      <c r="C765" s="23" t="s">
        <v>1355</v>
      </c>
      <c r="D765" s="24" t="s">
        <v>184</v>
      </c>
      <c r="E765" s="25" t="s">
        <v>185</v>
      </c>
      <c r="F765" s="26" t="s">
        <v>1359</v>
      </c>
      <c r="I765" s="39" t="s">
        <v>869</v>
      </c>
      <c r="J765" s="62">
        <v>43119</v>
      </c>
      <c r="K765" s="42" t="s">
        <v>165</v>
      </c>
      <c r="L765" s="520" t="s">
        <v>519</v>
      </c>
      <c r="M765" s="22" t="s">
        <v>359</v>
      </c>
      <c r="N765" s="63">
        <v>50550</v>
      </c>
      <c r="O765" s="63">
        <v>3538.5</v>
      </c>
      <c r="P765" s="63">
        <f>SUM(N765:O765)</f>
        <v>54088.5</v>
      </c>
      <c r="U765" s="516">
        <v>2527.5</v>
      </c>
      <c r="X765" s="518">
        <v>182.49</v>
      </c>
      <c r="AA765" s="40">
        <v>18010036</v>
      </c>
      <c r="AB765" s="41">
        <v>50550</v>
      </c>
      <c r="AC765" s="64">
        <f t="shared" si="128"/>
        <v>3538.5</v>
      </c>
      <c r="AD765" s="64">
        <f t="shared" si="129"/>
        <v>54088.5</v>
      </c>
      <c r="AE765" s="53">
        <v>43161</v>
      </c>
      <c r="AF765" s="39" t="s">
        <v>869</v>
      </c>
      <c r="AI765" s="21" t="s">
        <v>912</v>
      </c>
      <c r="AJ765" s="44">
        <v>1</v>
      </c>
      <c r="AK765" s="45" t="s">
        <v>660</v>
      </c>
      <c r="AM765" s="46" t="s">
        <v>1205</v>
      </c>
      <c r="AN765" s="47">
        <v>1</v>
      </c>
      <c r="AO765" s="48" t="s">
        <v>634</v>
      </c>
      <c r="AP765" s="44">
        <v>2</v>
      </c>
      <c r="AQ765" s="40" t="s">
        <v>829</v>
      </c>
      <c r="AS765" s="46" t="s">
        <v>1205</v>
      </c>
      <c r="AT765" s="47">
        <v>1</v>
      </c>
      <c r="AU765" s="49" t="s">
        <v>634</v>
      </c>
      <c r="AW765" s="54"/>
      <c r="AX765" s="44"/>
      <c r="AY765" s="44"/>
      <c r="AZ765" s="44"/>
      <c r="BA765" s="54"/>
      <c r="BC765" s="54"/>
      <c r="BD765" s="44"/>
      <c r="BE765" s="44"/>
      <c r="BF765" s="44"/>
      <c r="BG765" s="54"/>
      <c r="BI765" s="54"/>
      <c r="BJ765" s="44"/>
      <c r="BK765" s="44"/>
      <c r="BL765" s="44"/>
      <c r="BM765" s="44"/>
      <c r="BO765" s="54"/>
      <c r="BP765" s="44"/>
      <c r="BQ765" s="44"/>
      <c r="BR765" s="44"/>
      <c r="BS765" s="44"/>
      <c r="BU765" s="54"/>
      <c r="BV765" s="44"/>
      <c r="BW765" s="44"/>
      <c r="BX765" s="44"/>
      <c r="BY765" s="44"/>
      <c r="CA765" s="54"/>
      <c r="CB765" s="44"/>
      <c r="CC765" s="44"/>
      <c r="CD765" s="44"/>
      <c r="CE765" s="44"/>
    </row>
    <row r="766" spans="1:83" x14ac:dyDescent="0.5">
      <c r="A766" s="259">
        <v>18015655</v>
      </c>
      <c r="B766" s="104" t="s">
        <v>520</v>
      </c>
      <c r="C766" s="105" t="s">
        <v>1352</v>
      </c>
      <c r="D766" s="106" t="s">
        <v>184</v>
      </c>
      <c r="E766" s="107" t="s">
        <v>185</v>
      </c>
      <c r="F766" s="108" t="s">
        <v>1353</v>
      </c>
      <c r="G766" s="122">
        <v>43110</v>
      </c>
      <c r="H766" s="109">
        <v>18004</v>
      </c>
      <c r="I766" s="127" t="s">
        <v>869</v>
      </c>
      <c r="J766" s="122">
        <v>43111</v>
      </c>
      <c r="K766" s="547" t="s">
        <v>521</v>
      </c>
      <c r="L766" s="547" t="s">
        <v>522</v>
      </c>
      <c r="M766" s="104" t="s">
        <v>52</v>
      </c>
      <c r="N766" s="260">
        <v>269500</v>
      </c>
      <c r="O766" s="260">
        <v>18865</v>
      </c>
      <c r="P766" s="260">
        <f>SUM(N766:O766)</f>
        <v>288365</v>
      </c>
      <c r="Q766" s="311"/>
      <c r="R766" s="113"/>
      <c r="S766" s="114"/>
      <c r="T766" s="115"/>
      <c r="U766" s="550">
        <v>20250</v>
      </c>
      <c r="V766" s="551"/>
      <c r="W766" s="552"/>
      <c r="X766" s="552">
        <v>772.23</v>
      </c>
      <c r="Y766" s="553"/>
      <c r="Z766" s="120"/>
      <c r="AA766" s="229">
        <v>18010005</v>
      </c>
      <c r="AB766" s="230">
        <v>80850</v>
      </c>
      <c r="AC766" s="275">
        <f t="shared" si="128"/>
        <v>5659.5</v>
      </c>
      <c r="AD766" s="233">
        <f t="shared" si="129"/>
        <v>86509.5</v>
      </c>
      <c r="AE766" s="221">
        <v>43111</v>
      </c>
      <c r="AF766" s="121" t="s">
        <v>869</v>
      </c>
      <c r="AG766" s="121"/>
      <c r="AH766" s="121"/>
      <c r="AI766" s="222" t="s">
        <v>2231</v>
      </c>
      <c r="AJ766" s="128">
        <v>1</v>
      </c>
      <c r="AK766" s="129" t="s">
        <v>895</v>
      </c>
      <c r="AL766" s="130"/>
      <c r="AM766" s="130" t="s">
        <v>1205</v>
      </c>
      <c r="AN766" s="131">
        <v>1</v>
      </c>
      <c r="AO766" s="132" t="s">
        <v>634</v>
      </c>
      <c r="AP766" s="128">
        <v>2</v>
      </c>
      <c r="AQ766" s="123" t="s">
        <v>896</v>
      </c>
      <c r="AR766" s="131"/>
      <c r="AS766" s="130" t="s">
        <v>1205</v>
      </c>
      <c r="AT766" s="131">
        <v>1</v>
      </c>
      <c r="AU766" s="169" t="s">
        <v>636</v>
      </c>
      <c r="AV766" s="128"/>
      <c r="AW766" s="133"/>
      <c r="AX766" s="128"/>
      <c r="AY766" s="128"/>
      <c r="AZ766" s="128"/>
      <c r="BA766" s="133"/>
      <c r="BB766" s="128"/>
      <c r="BC766" s="133"/>
      <c r="BD766" s="128"/>
      <c r="BE766" s="128"/>
      <c r="BF766" s="128"/>
      <c r="BG766" s="133"/>
      <c r="BH766" s="128"/>
      <c r="BI766" s="133"/>
      <c r="BJ766" s="128"/>
      <c r="BK766" s="128"/>
      <c r="BL766" s="128"/>
      <c r="BM766" s="128"/>
      <c r="BN766" s="128"/>
      <c r="BO766" s="133"/>
      <c r="BP766" s="128"/>
      <c r="BQ766" s="128"/>
      <c r="BR766" s="128"/>
      <c r="BS766" s="128"/>
      <c r="BT766" s="128"/>
      <c r="BU766" s="133"/>
      <c r="BV766" s="128"/>
      <c r="BW766" s="128"/>
      <c r="BX766" s="128"/>
      <c r="BY766" s="128"/>
      <c r="BZ766" s="128"/>
      <c r="CA766" s="133"/>
      <c r="CB766" s="128"/>
      <c r="CC766" s="128"/>
      <c r="CD766" s="128"/>
      <c r="CE766" s="128"/>
    </row>
    <row r="767" spans="1:83" x14ac:dyDescent="0.5">
      <c r="A767" s="268"/>
      <c r="B767" s="181"/>
      <c r="C767" s="182"/>
      <c r="D767" s="183"/>
      <c r="E767" s="184"/>
      <c r="F767" s="185"/>
      <c r="G767" s="186">
        <v>43110</v>
      </c>
      <c r="H767" s="187">
        <v>18005</v>
      </c>
      <c r="I767" s="199"/>
      <c r="J767" s="186"/>
      <c r="K767" s="240"/>
      <c r="L767" s="558"/>
      <c r="M767" s="181"/>
      <c r="N767" s="237"/>
      <c r="O767" s="237"/>
      <c r="P767" s="237"/>
      <c r="Q767" s="190"/>
      <c r="R767" s="215"/>
      <c r="S767" s="216"/>
      <c r="T767" s="217"/>
      <c r="U767" s="544"/>
      <c r="V767" s="560"/>
      <c r="W767" s="561"/>
      <c r="X767" s="561"/>
      <c r="Y767" s="562"/>
      <c r="Z767" s="198"/>
      <c r="AA767" s="200">
        <v>18010006</v>
      </c>
      <c r="AB767" s="201">
        <v>188650</v>
      </c>
      <c r="AC767" s="237">
        <f t="shared" si="128"/>
        <v>13205.5</v>
      </c>
      <c r="AD767" s="237">
        <f t="shared" si="129"/>
        <v>201855.5</v>
      </c>
      <c r="AE767" s="203">
        <v>43141</v>
      </c>
      <c r="AF767" s="199" t="s">
        <v>869</v>
      </c>
      <c r="AG767" s="199"/>
      <c r="AH767" s="199"/>
      <c r="AI767" s="180" t="s">
        <v>942</v>
      </c>
      <c r="AJ767" s="204"/>
      <c r="AK767" s="205"/>
      <c r="AL767" s="206"/>
      <c r="AM767" s="206"/>
      <c r="AN767" s="207"/>
      <c r="AO767" s="208"/>
      <c r="AP767" s="204"/>
      <c r="AQ767" s="200"/>
      <c r="AR767" s="207"/>
      <c r="AS767" s="206"/>
      <c r="AT767" s="207"/>
      <c r="AU767" s="209"/>
      <c r="AV767" s="204"/>
      <c r="AW767" s="210"/>
      <c r="AX767" s="204"/>
      <c r="AY767" s="204"/>
      <c r="AZ767" s="204"/>
      <c r="BA767" s="210"/>
      <c r="BB767" s="204"/>
      <c r="BC767" s="210"/>
      <c r="BD767" s="204"/>
      <c r="BE767" s="204"/>
      <c r="BF767" s="204"/>
      <c r="BG767" s="210"/>
      <c r="BH767" s="204"/>
      <c r="BI767" s="210"/>
      <c r="BJ767" s="204"/>
      <c r="BK767" s="204"/>
      <c r="BL767" s="204"/>
      <c r="BM767" s="204"/>
      <c r="BN767" s="204"/>
      <c r="BO767" s="210"/>
      <c r="BP767" s="204"/>
      <c r="BQ767" s="204"/>
      <c r="BR767" s="204"/>
      <c r="BS767" s="204"/>
      <c r="BT767" s="204"/>
      <c r="BU767" s="210"/>
      <c r="BV767" s="204"/>
      <c r="BW767" s="204"/>
      <c r="BX767" s="204"/>
      <c r="BY767" s="204"/>
      <c r="BZ767" s="204"/>
      <c r="CA767" s="210"/>
      <c r="CB767" s="204"/>
      <c r="CC767" s="204"/>
      <c r="CD767" s="204"/>
      <c r="CE767" s="204"/>
    </row>
    <row r="768" spans="1:83" x14ac:dyDescent="0.5">
      <c r="A768" s="227">
        <v>18015654</v>
      </c>
      <c r="B768" s="22">
        <v>18010012</v>
      </c>
      <c r="C768" s="23" t="s">
        <v>1354</v>
      </c>
      <c r="D768" s="24" t="s">
        <v>184</v>
      </c>
      <c r="E768" s="25" t="s">
        <v>185</v>
      </c>
      <c r="F768" s="26" t="s">
        <v>1351</v>
      </c>
      <c r="G768" s="62">
        <v>43109</v>
      </c>
      <c r="H768" s="27">
        <v>18003</v>
      </c>
      <c r="I768" s="39" t="s">
        <v>869</v>
      </c>
      <c r="J768" s="62">
        <v>43109</v>
      </c>
      <c r="K768" s="42" t="s">
        <v>421</v>
      </c>
      <c r="L768" s="520" t="s">
        <v>160</v>
      </c>
      <c r="M768" s="22" t="s">
        <v>51</v>
      </c>
      <c r="N768" s="63">
        <v>187000</v>
      </c>
      <c r="O768" s="63">
        <v>13090</v>
      </c>
      <c r="P768" s="63">
        <f>SUM(N768:O768)</f>
        <v>200090</v>
      </c>
      <c r="AA768" s="40">
        <v>18010002</v>
      </c>
      <c r="AB768" s="41">
        <v>187000</v>
      </c>
      <c r="AC768" s="64">
        <f t="shared" si="128"/>
        <v>13090</v>
      </c>
      <c r="AD768" s="64">
        <f t="shared" si="129"/>
        <v>200090</v>
      </c>
      <c r="AE768" s="53">
        <v>43153</v>
      </c>
      <c r="AF768" s="39" t="s">
        <v>869</v>
      </c>
      <c r="AI768" s="21" t="s">
        <v>941</v>
      </c>
      <c r="AJ768" s="44">
        <v>1</v>
      </c>
      <c r="AK768" s="45" t="s">
        <v>897</v>
      </c>
      <c r="AL768" s="46" t="s">
        <v>1205</v>
      </c>
      <c r="AN768" s="47">
        <v>1</v>
      </c>
      <c r="AO768" s="48" t="s">
        <v>633</v>
      </c>
      <c r="AQ768" s="54"/>
      <c r="AR768" s="44"/>
      <c r="AS768" s="44"/>
      <c r="AT768" s="44"/>
      <c r="AU768" s="54"/>
      <c r="AW768" s="54"/>
      <c r="AX768" s="44"/>
      <c r="AY768" s="44"/>
      <c r="AZ768" s="44"/>
      <c r="BA768" s="54"/>
      <c r="BC768" s="54"/>
      <c r="BD768" s="44"/>
      <c r="BE768" s="44"/>
      <c r="BF768" s="44"/>
      <c r="BG768" s="54"/>
      <c r="BI768" s="54"/>
      <c r="BJ768" s="44"/>
      <c r="BK768" s="44"/>
      <c r="BL768" s="44"/>
      <c r="BM768" s="44"/>
      <c r="BO768" s="54"/>
      <c r="BP768" s="44"/>
      <c r="BQ768" s="44"/>
      <c r="BR768" s="44"/>
      <c r="BS768" s="44"/>
      <c r="BU768" s="54"/>
      <c r="BV768" s="44"/>
      <c r="BW768" s="44"/>
      <c r="BX768" s="44"/>
      <c r="BY768" s="44"/>
      <c r="CA768" s="54"/>
      <c r="CB768" s="44"/>
      <c r="CC768" s="44"/>
      <c r="CD768" s="44"/>
      <c r="CE768" s="44"/>
    </row>
    <row r="769" spans="1:36" x14ac:dyDescent="0.5">
      <c r="A769" s="227">
        <v>18015653</v>
      </c>
      <c r="B769" s="22">
        <v>18010002</v>
      </c>
      <c r="C769" s="55"/>
      <c r="D769" s="56"/>
      <c r="E769" s="57"/>
      <c r="F769" s="58"/>
      <c r="G769" s="59"/>
      <c r="H769" s="60"/>
      <c r="I769" s="269"/>
      <c r="J769" s="59"/>
      <c r="K769" s="42" t="s">
        <v>466</v>
      </c>
      <c r="L769" s="520" t="s">
        <v>523</v>
      </c>
      <c r="M769" s="22" t="s">
        <v>51</v>
      </c>
      <c r="N769" s="63">
        <v>8700</v>
      </c>
      <c r="O769" s="63">
        <f>N769*7/100</f>
        <v>609</v>
      </c>
      <c r="P769" s="63">
        <f>N769+O769</f>
        <v>9309</v>
      </c>
      <c r="AA769" s="40">
        <v>18010001</v>
      </c>
      <c r="AB769" s="41">
        <v>8700</v>
      </c>
      <c r="AC769" s="64">
        <f t="shared" si="128"/>
        <v>609</v>
      </c>
      <c r="AD769" s="64">
        <f t="shared" si="129"/>
        <v>9309</v>
      </c>
      <c r="AE769" s="53">
        <v>43138</v>
      </c>
      <c r="AF769" s="39" t="s">
        <v>869</v>
      </c>
      <c r="AI769" s="21" t="s">
        <v>915</v>
      </c>
      <c r="AJ769" s="44">
        <v>1</v>
      </c>
    </row>
  </sheetData>
  <mergeCells count="24">
    <mergeCell ref="L1:L2"/>
    <mergeCell ref="M1:M2"/>
    <mergeCell ref="N1:N2"/>
    <mergeCell ref="O1:O2"/>
    <mergeCell ref="AC1:AC2"/>
    <mergeCell ref="AA1:AA2"/>
    <mergeCell ref="P1:P2"/>
    <mergeCell ref="V1:X1"/>
    <mergeCell ref="Y1:Z1"/>
    <mergeCell ref="A1:A2"/>
    <mergeCell ref="B1:B2"/>
    <mergeCell ref="C1:D2"/>
    <mergeCell ref="E1:F2"/>
    <mergeCell ref="K1:K2"/>
    <mergeCell ref="G1:H1"/>
    <mergeCell ref="I1:J1"/>
    <mergeCell ref="BY716:BZ716"/>
    <mergeCell ref="AF1:AI1"/>
    <mergeCell ref="R1:U1"/>
    <mergeCell ref="Q1:Q2"/>
    <mergeCell ref="AB1:AB2"/>
    <mergeCell ref="AJ1:CE1"/>
    <mergeCell ref="AE1:AE2"/>
    <mergeCell ref="AD1:AD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633"/>
  <sheetViews>
    <sheetView zoomScale="110" zoomScaleNormal="110" workbookViewId="0">
      <pane xSplit="1" ySplit="2" topLeftCell="B52" activePane="bottomRight" state="frozen"/>
      <selection pane="topRight" activeCell="C1" sqref="C1"/>
      <selection pane="bottomLeft" activeCell="A3" sqref="A3"/>
      <selection pane="bottomRight" activeCell="L62" sqref="L62"/>
    </sheetView>
  </sheetViews>
  <sheetFormatPr defaultRowHeight="21.75" x14ac:dyDescent="0.5"/>
  <cols>
    <col min="1" max="1" width="12.33203125" style="51" bestFit="1" customWidth="1"/>
    <col min="2" max="2" width="14.6640625" style="51" bestFit="1" customWidth="1"/>
    <col min="3" max="3" width="7.33203125" style="273" customWidth="1"/>
    <col min="4" max="4" width="6" style="273" customWidth="1"/>
    <col min="5" max="5" width="16.6640625" style="904" bestFit="1" customWidth="1"/>
    <col min="6" max="6" width="7.5" style="955" customWidth="1"/>
    <col min="7" max="7" width="6" style="955" customWidth="1"/>
    <col min="8" max="8" width="12" style="51" bestFit="1" customWidth="1"/>
    <col min="9" max="9" width="9.33203125" style="51"/>
    <col min="10" max="10" width="9.33203125" style="975"/>
    <col min="11" max="11" width="12.1640625" style="975" customWidth="1"/>
    <col min="12" max="12" width="61.33203125" style="51" bestFit="1" customWidth="1"/>
    <col min="13" max="13" width="45.5" style="51" bestFit="1" customWidth="1"/>
    <col min="14" max="14" width="13.33203125" style="51" bestFit="1" customWidth="1"/>
    <col min="15" max="15" width="16" style="51" bestFit="1" customWidth="1"/>
    <col min="16" max="16" width="14.6640625" style="51" bestFit="1" customWidth="1"/>
    <col min="17" max="17" width="16" style="51" bestFit="1" customWidth="1"/>
    <col min="18" max="18" width="14.83203125" style="51" bestFit="1" customWidth="1"/>
    <col min="19" max="19" width="27.5" style="51" bestFit="1" customWidth="1"/>
    <col min="20" max="20" width="16.33203125" style="51" bestFit="1" customWidth="1"/>
    <col min="21" max="21" width="11.6640625" style="51" bestFit="1" customWidth="1"/>
    <col min="22" max="23" width="16.33203125" style="51" bestFit="1" customWidth="1"/>
    <col min="24" max="24" width="9.83203125" style="51" bestFit="1" customWidth="1"/>
    <col min="25" max="25" width="14.6640625" style="51" bestFit="1" customWidth="1"/>
    <col min="26" max="26" width="13.1640625" style="51" bestFit="1" customWidth="1"/>
    <col min="27" max="27" width="14.6640625" style="51" bestFit="1" customWidth="1"/>
    <col min="28" max="28" width="17.83203125" style="51" bestFit="1" customWidth="1"/>
    <col min="29" max="29" width="16" style="51" bestFit="1" customWidth="1"/>
    <col min="30" max="30" width="14.83203125" style="51" bestFit="1" customWidth="1"/>
    <col min="31" max="31" width="15.83203125" style="51" bestFit="1" customWidth="1"/>
    <col min="32" max="32" width="12.33203125" style="51" bestFit="1" customWidth="1"/>
    <col min="33" max="35" width="9.33203125" style="51"/>
    <col min="36" max="36" width="90" style="51" bestFit="1" customWidth="1"/>
    <col min="37" max="37" width="9.33203125" style="51"/>
    <col min="38" max="38" width="17.6640625" style="51" customWidth="1"/>
    <col min="39" max="41" width="9.33203125" style="51"/>
    <col min="42" max="42" width="11.83203125" style="51" bestFit="1" customWidth="1"/>
    <col min="43" max="43" width="9.33203125" style="51"/>
    <col min="44" max="44" width="17.83203125" style="51" bestFit="1" customWidth="1"/>
    <col min="45" max="47" width="9.33203125" style="51"/>
    <col min="48" max="48" width="11.83203125" style="51" bestFit="1" customWidth="1"/>
    <col min="49" max="49" width="9.33203125" style="51"/>
    <col min="50" max="50" width="14.5" style="51" bestFit="1" customWidth="1"/>
    <col min="51" max="55" width="9.33203125" style="51"/>
    <col min="56" max="56" width="14.5" style="51" bestFit="1" customWidth="1"/>
    <col min="57" max="61" width="9.33203125" style="51"/>
    <col min="62" max="62" width="12.1640625" style="51" bestFit="1" customWidth="1"/>
    <col min="63" max="65" width="9.33203125" style="51"/>
    <col min="66" max="66" width="9.33203125" style="1078"/>
    <col min="67" max="67" width="9.33203125" style="51"/>
    <col min="68" max="68" width="11.5" style="51" bestFit="1" customWidth="1"/>
    <col min="69" max="71" width="9.33203125" style="51"/>
    <col min="72" max="72" width="9.33203125" style="1078"/>
    <col min="73" max="77" width="9.33203125" style="51"/>
    <col min="78" max="78" width="9.33203125" style="1078"/>
    <col min="79" max="83" width="9.33203125" style="51"/>
    <col min="84" max="84" width="11.83203125" style="51" bestFit="1" customWidth="1"/>
    <col min="85" max="16384" width="9.33203125" style="51"/>
  </cols>
  <sheetData>
    <row r="1" spans="1:88" s="3" customFormat="1" ht="19.899999999999999" customHeight="1" x14ac:dyDescent="0.5">
      <c r="A1" s="2002" t="s">
        <v>6</v>
      </c>
      <c r="B1" s="2003" t="s">
        <v>7</v>
      </c>
      <c r="C1" s="2005" t="s">
        <v>182</v>
      </c>
      <c r="D1" s="2005"/>
      <c r="E1" s="2014" t="s">
        <v>2297</v>
      </c>
      <c r="F1" s="2013" t="s">
        <v>183</v>
      </c>
      <c r="G1" s="2013"/>
      <c r="H1" s="2002" t="s">
        <v>865</v>
      </c>
      <c r="I1" s="2002"/>
      <c r="J1" s="2012" t="s">
        <v>56</v>
      </c>
      <c r="K1" s="2012"/>
      <c r="L1" s="2002" t="s">
        <v>8</v>
      </c>
      <c r="M1" s="2007" t="s">
        <v>25</v>
      </c>
      <c r="N1" s="2002" t="s">
        <v>49</v>
      </c>
      <c r="O1" s="2008" t="s">
        <v>46</v>
      </c>
      <c r="P1" s="2008" t="s">
        <v>47</v>
      </c>
      <c r="Q1" s="2008" t="s">
        <v>48</v>
      </c>
      <c r="R1" s="1995" t="s">
        <v>404</v>
      </c>
      <c r="S1" s="1994" t="s">
        <v>55</v>
      </c>
      <c r="T1" s="1994"/>
      <c r="U1" s="1994"/>
      <c r="V1" s="1994"/>
      <c r="W1" s="2010" t="s">
        <v>54</v>
      </c>
      <c r="X1" s="2010"/>
      <c r="Y1" s="2010"/>
      <c r="Z1" s="2011" t="s">
        <v>557</v>
      </c>
      <c r="AA1" s="2011"/>
      <c r="AB1" s="2009" t="s">
        <v>163</v>
      </c>
      <c r="AC1" s="1996" t="s">
        <v>46</v>
      </c>
      <c r="AD1" s="1996" t="s">
        <v>164</v>
      </c>
      <c r="AE1" s="1996" t="s">
        <v>48</v>
      </c>
      <c r="AF1" s="2000" t="s">
        <v>863</v>
      </c>
      <c r="AG1" s="1991" t="s">
        <v>867</v>
      </c>
      <c r="AH1" s="1992"/>
      <c r="AI1" s="1992"/>
      <c r="AJ1" s="1993"/>
      <c r="AK1" s="1997" t="s">
        <v>579</v>
      </c>
      <c r="AL1" s="1998"/>
      <c r="AM1" s="1998"/>
      <c r="AN1" s="1998"/>
      <c r="AO1" s="1998"/>
      <c r="AP1" s="1998"/>
      <c r="AQ1" s="1998"/>
      <c r="AR1" s="1998"/>
      <c r="AS1" s="1998"/>
      <c r="AT1" s="1998"/>
      <c r="AU1" s="1998"/>
      <c r="AV1" s="1998"/>
      <c r="AW1" s="1998"/>
      <c r="AX1" s="1998"/>
      <c r="AY1" s="1998"/>
      <c r="AZ1" s="1998"/>
      <c r="BA1" s="1998"/>
      <c r="BB1" s="1998"/>
      <c r="BC1" s="1998"/>
      <c r="BD1" s="1998"/>
      <c r="BE1" s="1998"/>
      <c r="BF1" s="1998"/>
      <c r="BG1" s="1998"/>
      <c r="BH1" s="1998"/>
      <c r="BI1" s="1998"/>
      <c r="BJ1" s="1998"/>
      <c r="BK1" s="1998"/>
      <c r="BL1" s="1998"/>
      <c r="BM1" s="1998"/>
      <c r="BN1" s="1998"/>
      <c r="BO1" s="1998"/>
      <c r="BP1" s="1998"/>
      <c r="BQ1" s="1998"/>
      <c r="BR1" s="1998"/>
      <c r="BS1" s="1998"/>
      <c r="BT1" s="1998"/>
      <c r="BU1" s="1998"/>
      <c r="BV1" s="1998"/>
      <c r="BW1" s="1998"/>
      <c r="BX1" s="1998"/>
      <c r="BY1" s="1998"/>
      <c r="BZ1" s="1998"/>
      <c r="CA1" s="1998"/>
      <c r="CB1" s="1998"/>
      <c r="CC1" s="1998"/>
      <c r="CD1" s="1998"/>
      <c r="CE1" s="1998"/>
      <c r="CF1" s="1999"/>
      <c r="CG1" s="1"/>
      <c r="CH1" s="2"/>
      <c r="CI1" s="2"/>
      <c r="CJ1" s="2"/>
    </row>
    <row r="2" spans="1:88" s="3" customFormat="1" x14ac:dyDescent="0.5">
      <c r="A2" s="2002"/>
      <c r="B2" s="2004"/>
      <c r="C2" s="2005"/>
      <c r="D2" s="2005"/>
      <c r="E2" s="2015"/>
      <c r="F2" s="2013"/>
      <c r="G2" s="2013"/>
      <c r="H2" s="4" t="s">
        <v>866</v>
      </c>
      <c r="I2" s="4" t="s">
        <v>583</v>
      </c>
      <c r="J2" s="956" t="s">
        <v>57</v>
      </c>
      <c r="K2" s="956" t="s">
        <v>58</v>
      </c>
      <c r="L2" s="2002"/>
      <c r="M2" s="2007"/>
      <c r="N2" s="2002"/>
      <c r="O2" s="2008"/>
      <c r="P2" s="2008"/>
      <c r="Q2" s="2008"/>
      <c r="R2" s="1995"/>
      <c r="S2" s="5" t="s">
        <v>556</v>
      </c>
      <c r="T2" s="5" t="s">
        <v>560</v>
      </c>
      <c r="U2" s="6" t="s">
        <v>561</v>
      </c>
      <c r="V2" s="7" t="s">
        <v>559</v>
      </c>
      <c r="W2" s="8" t="s">
        <v>560</v>
      </c>
      <c r="X2" s="9" t="s">
        <v>561</v>
      </c>
      <c r="Y2" s="9" t="s">
        <v>559</v>
      </c>
      <c r="Z2" s="10" t="s">
        <v>561</v>
      </c>
      <c r="AA2" s="11" t="s">
        <v>559</v>
      </c>
      <c r="AB2" s="2009"/>
      <c r="AC2" s="1996"/>
      <c r="AD2" s="1996"/>
      <c r="AE2" s="1996"/>
      <c r="AF2" s="2001"/>
      <c r="AG2" s="13" t="s">
        <v>57</v>
      </c>
      <c r="AH2" s="13" t="s">
        <v>868</v>
      </c>
      <c r="AI2" s="13" t="s">
        <v>871</v>
      </c>
      <c r="AJ2" s="13" t="s">
        <v>872</v>
      </c>
      <c r="AK2" s="14" t="s">
        <v>583</v>
      </c>
      <c r="AL2" s="15" t="s">
        <v>584</v>
      </c>
      <c r="AM2" s="15" t="s">
        <v>586</v>
      </c>
      <c r="AN2" s="15" t="s">
        <v>585</v>
      </c>
      <c r="AO2" s="16" t="s">
        <v>581</v>
      </c>
      <c r="AP2" s="17" t="s">
        <v>627</v>
      </c>
      <c r="AQ2" s="14" t="s">
        <v>583</v>
      </c>
      <c r="AR2" s="16" t="s">
        <v>584</v>
      </c>
      <c r="AS2" s="16" t="s">
        <v>586</v>
      </c>
      <c r="AT2" s="16" t="s">
        <v>585</v>
      </c>
      <c r="AU2" s="16" t="s">
        <v>581</v>
      </c>
      <c r="AV2" s="18" t="s">
        <v>627</v>
      </c>
      <c r="AW2" s="14" t="s">
        <v>583</v>
      </c>
      <c r="AX2" s="16" t="s">
        <v>584</v>
      </c>
      <c r="AY2" s="16" t="s">
        <v>586</v>
      </c>
      <c r="AZ2" s="16" t="s">
        <v>585</v>
      </c>
      <c r="BA2" s="16" t="s">
        <v>581</v>
      </c>
      <c r="BB2" s="18" t="s">
        <v>627</v>
      </c>
      <c r="BC2" s="14" t="s">
        <v>583</v>
      </c>
      <c r="BD2" s="16" t="s">
        <v>584</v>
      </c>
      <c r="BE2" s="16" t="s">
        <v>586</v>
      </c>
      <c r="BF2" s="16" t="s">
        <v>585</v>
      </c>
      <c r="BG2" s="16" t="s">
        <v>581</v>
      </c>
      <c r="BH2" s="18" t="s">
        <v>627</v>
      </c>
      <c r="BI2" s="14" t="s">
        <v>583</v>
      </c>
      <c r="BJ2" s="16" t="s">
        <v>584</v>
      </c>
      <c r="BK2" s="16" t="s">
        <v>586</v>
      </c>
      <c r="BL2" s="16" t="s">
        <v>585</v>
      </c>
      <c r="BM2" s="16" t="s">
        <v>581</v>
      </c>
      <c r="BN2" s="1077" t="s">
        <v>627</v>
      </c>
      <c r="BO2" s="14" t="s">
        <v>583</v>
      </c>
      <c r="BP2" s="16" t="s">
        <v>584</v>
      </c>
      <c r="BQ2" s="16" t="s">
        <v>586</v>
      </c>
      <c r="BR2" s="16" t="s">
        <v>585</v>
      </c>
      <c r="BS2" s="16" t="s">
        <v>581</v>
      </c>
      <c r="BT2" s="1077" t="s">
        <v>627</v>
      </c>
      <c r="BU2" s="14" t="s">
        <v>583</v>
      </c>
      <c r="BV2" s="16" t="s">
        <v>584</v>
      </c>
      <c r="BW2" s="16" t="s">
        <v>586</v>
      </c>
      <c r="BX2" s="16" t="s">
        <v>585</v>
      </c>
      <c r="BY2" s="16" t="s">
        <v>581</v>
      </c>
      <c r="BZ2" s="1077" t="s">
        <v>627</v>
      </c>
      <c r="CA2" s="14" t="s">
        <v>583</v>
      </c>
      <c r="CB2" s="16" t="s">
        <v>584</v>
      </c>
      <c r="CC2" s="16" t="s">
        <v>586</v>
      </c>
      <c r="CD2" s="16" t="s">
        <v>585</v>
      </c>
      <c r="CE2" s="16" t="s">
        <v>581</v>
      </c>
      <c r="CF2" s="18" t="s">
        <v>627</v>
      </c>
      <c r="CG2" s="19"/>
      <c r="CH2" s="20"/>
      <c r="CI2" s="20"/>
      <c r="CJ2" s="20"/>
    </row>
    <row r="3" spans="1:88" x14ac:dyDescent="0.5">
      <c r="A3" s="21"/>
      <c r="B3" s="22"/>
      <c r="C3" s="23"/>
      <c r="D3" s="24"/>
      <c r="E3" s="884"/>
      <c r="F3" s="932"/>
      <c r="G3" s="933"/>
      <c r="H3" s="22"/>
      <c r="I3" s="27"/>
      <c r="J3" s="931"/>
      <c r="K3" s="40"/>
      <c r="L3" s="22"/>
      <c r="M3" s="28"/>
      <c r="N3" s="22"/>
      <c r="O3" s="29"/>
      <c r="P3" s="29"/>
      <c r="Q3" s="29"/>
      <c r="R3" s="30"/>
      <c r="S3" s="31"/>
      <c r="T3" s="32"/>
      <c r="U3" s="33"/>
      <c r="V3" s="34"/>
      <c r="W3" s="35"/>
      <c r="X3" s="36"/>
      <c r="Y3" s="36"/>
      <c r="Z3" s="37"/>
      <c r="AA3" s="38"/>
      <c r="AB3" s="40"/>
      <c r="AC3" s="41"/>
      <c r="AD3" s="42"/>
      <c r="AE3" s="42"/>
      <c r="AF3" s="43"/>
      <c r="AG3" s="39"/>
      <c r="AH3" s="39"/>
      <c r="AI3" s="39"/>
      <c r="AJ3" s="21"/>
      <c r="AK3" s="44">
        <v>1</v>
      </c>
      <c r="AL3" s="45"/>
      <c r="AM3" s="46"/>
      <c r="AN3" s="46"/>
      <c r="AO3" s="47"/>
      <c r="AP3" s="48"/>
      <c r="AQ3" s="44">
        <v>2</v>
      </c>
      <c r="AR3" s="40"/>
      <c r="AS3" s="47"/>
      <c r="AT3" s="47"/>
      <c r="AU3" s="47"/>
      <c r="AV3" s="49"/>
      <c r="AW3" s="44">
        <v>3</v>
      </c>
      <c r="AX3" s="40"/>
      <c r="AY3" s="47"/>
      <c r="AZ3" s="47"/>
      <c r="BA3" s="47"/>
      <c r="BB3" s="49"/>
      <c r="BC3" s="44">
        <v>4</v>
      </c>
      <c r="BD3" s="40"/>
      <c r="BE3" s="47"/>
      <c r="BF3" s="47"/>
      <c r="BG3" s="47"/>
      <c r="BH3" s="49"/>
      <c r="BI3" s="44">
        <v>5</v>
      </c>
      <c r="BJ3" s="40"/>
      <c r="BK3" s="47"/>
      <c r="BL3" s="47"/>
      <c r="BM3" s="47"/>
      <c r="BN3" s="49"/>
      <c r="BO3" s="44">
        <v>6</v>
      </c>
      <c r="BP3" s="40"/>
      <c r="BQ3" s="47"/>
      <c r="BR3" s="47"/>
      <c r="BS3" s="47"/>
      <c r="BT3" s="49"/>
      <c r="BU3" s="44">
        <v>7</v>
      </c>
      <c r="BV3" s="40"/>
      <c r="BW3" s="47"/>
      <c r="BX3" s="47"/>
      <c r="BY3" s="47"/>
      <c r="BZ3" s="49"/>
      <c r="CA3" s="44">
        <v>8</v>
      </c>
      <c r="CB3" s="40"/>
      <c r="CC3" s="47"/>
      <c r="CD3" s="47"/>
      <c r="CE3" s="47"/>
      <c r="CF3" s="50"/>
    </row>
    <row r="4" spans="1:88" x14ac:dyDescent="0.5">
      <c r="A4" s="227">
        <v>19126466</v>
      </c>
      <c r="B4" s="22">
        <v>19121221</v>
      </c>
      <c r="C4" s="55"/>
      <c r="D4" s="56"/>
      <c r="E4" s="910"/>
      <c r="F4" s="57"/>
      <c r="G4" s="58"/>
      <c r="H4" s="59"/>
      <c r="I4" s="60"/>
      <c r="J4" s="269"/>
      <c r="K4" s="59"/>
      <c r="L4" s="22" t="s">
        <v>3229</v>
      </c>
      <c r="M4" s="28" t="s">
        <v>3077</v>
      </c>
      <c r="N4" s="22" t="s">
        <v>51</v>
      </c>
      <c r="O4" s="29">
        <v>4700</v>
      </c>
      <c r="P4" s="29">
        <f t="shared" ref="P4:P19" si="0">O4*7/100</f>
        <v>329</v>
      </c>
      <c r="Q4" s="29">
        <f t="shared" ref="Q4:Q19" si="1">O4+P4</f>
        <v>5029</v>
      </c>
      <c r="R4" s="61"/>
      <c r="S4" s="96"/>
      <c r="T4" s="97"/>
      <c r="U4" s="98"/>
      <c r="V4" s="99"/>
      <c r="W4" s="100"/>
      <c r="X4" s="99"/>
      <c r="Y4" s="99"/>
      <c r="Z4" s="100"/>
      <c r="AA4" s="101"/>
      <c r="AB4" s="40">
        <v>20020034</v>
      </c>
      <c r="AC4" s="41">
        <v>4700</v>
      </c>
      <c r="AD4" s="52">
        <f>AC4*7/100</f>
        <v>329</v>
      </c>
      <c r="AE4" s="52">
        <f>AC4+AD4</f>
        <v>5029</v>
      </c>
      <c r="AF4" s="53">
        <v>43903</v>
      </c>
      <c r="AG4" s="39" t="s">
        <v>869</v>
      </c>
      <c r="AH4" s="39"/>
      <c r="AI4" s="39"/>
      <c r="AJ4" s="21" t="s">
        <v>3808</v>
      </c>
      <c r="AK4" s="1132">
        <v>1</v>
      </c>
      <c r="AL4" s="45" t="s">
        <v>3219</v>
      </c>
      <c r="AM4" s="46"/>
      <c r="AN4" s="46"/>
      <c r="AO4" s="47">
        <v>3</v>
      </c>
      <c r="AP4" s="48" t="s">
        <v>628</v>
      </c>
      <c r="AQ4" s="1132">
        <v>2</v>
      </c>
      <c r="AR4" s="40" t="s">
        <v>3220</v>
      </c>
      <c r="AS4" s="47"/>
      <c r="AT4" s="47"/>
      <c r="AU4" s="47">
        <v>1</v>
      </c>
      <c r="AV4" s="49" t="s">
        <v>628</v>
      </c>
      <c r="AW4" s="1132"/>
      <c r="AX4" s="54"/>
      <c r="AY4" s="1132"/>
      <c r="AZ4" s="1132"/>
      <c r="BA4" s="1132"/>
      <c r="BB4" s="54"/>
      <c r="BC4" s="1132"/>
      <c r="BD4" s="54"/>
      <c r="BE4" s="1132"/>
      <c r="BF4" s="1132"/>
      <c r="BG4" s="1132"/>
      <c r="BH4" s="54"/>
      <c r="BI4" s="1132"/>
      <c r="BJ4" s="54"/>
      <c r="BK4" s="1132"/>
      <c r="BL4" s="1132"/>
      <c r="BM4" s="1132"/>
      <c r="BN4" s="54"/>
      <c r="BO4" s="1132"/>
      <c r="BP4" s="54"/>
      <c r="BQ4" s="1132"/>
      <c r="BR4" s="1132"/>
      <c r="BS4" s="1132"/>
      <c r="BT4" s="54"/>
      <c r="BU4" s="1132"/>
      <c r="BV4" s="54"/>
      <c r="BW4" s="1132"/>
      <c r="BX4" s="1132"/>
      <c r="BY4" s="1132"/>
      <c r="BZ4" s="54"/>
      <c r="CA4" s="1132"/>
      <c r="CB4" s="54"/>
      <c r="CC4" s="1132"/>
      <c r="CD4" s="1132"/>
      <c r="CE4" s="1132"/>
      <c r="CF4" s="1132"/>
    </row>
    <row r="5" spans="1:88" x14ac:dyDescent="0.5">
      <c r="A5" s="227">
        <v>19126465</v>
      </c>
      <c r="B5" s="22">
        <v>19121220</v>
      </c>
      <c r="C5" s="55"/>
      <c r="D5" s="56"/>
      <c r="E5" s="910"/>
      <c r="F5" s="57"/>
      <c r="G5" s="58"/>
      <c r="H5" s="59"/>
      <c r="I5" s="60"/>
      <c r="J5" s="269"/>
      <c r="K5" s="59"/>
      <c r="L5" s="22" t="s">
        <v>435</v>
      </c>
      <c r="M5" s="28" t="s">
        <v>3221</v>
      </c>
      <c r="N5" s="22" t="s">
        <v>51</v>
      </c>
      <c r="O5" s="29">
        <v>19200</v>
      </c>
      <c r="P5" s="29">
        <f t="shared" si="0"/>
        <v>1344</v>
      </c>
      <c r="Q5" s="29">
        <f t="shared" si="1"/>
        <v>20544</v>
      </c>
      <c r="R5" s="61"/>
      <c r="S5" s="96"/>
      <c r="T5" s="97"/>
      <c r="U5" s="98"/>
      <c r="V5" s="99"/>
      <c r="W5" s="100"/>
      <c r="X5" s="99"/>
      <c r="Y5" s="99"/>
      <c r="Z5" s="100"/>
      <c r="AA5" s="101"/>
      <c r="AB5" s="40">
        <v>20010015</v>
      </c>
      <c r="AC5" s="41">
        <v>19200</v>
      </c>
      <c r="AD5" s="52">
        <f>AC5*7/100</f>
        <v>1344</v>
      </c>
      <c r="AE5" s="52">
        <f>AC5+AD5</f>
        <v>20544</v>
      </c>
      <c r="AF5" s="53">
        <v>43880</v>
      </c>
      <c r="AG5" s="39" t="s">
        <v>869</v>
      </c>
      <c r="AH5" s="39"/>
      <c r="AI5" s="39"/>
      <c r="AJ5" s="21" t="s">
        <v>3710</v>
      </c>
      <c r="AK5" s="1132">
        <v>1</v>
      </c>
      <c r="AL5" s="45" t="s">
        <v>3222</v>
      </c>
      <c r="AM5" s="46"/>
      <c r="AN5" s="46"/>
      <c r="AO5" s="47">
        <v>1</v>
      </c>
      <c r="AP5" s="48" t="s">
        <v>628</v>
      </c>
      <c r="AQ5" s="1132">
        <v>2</v>
      </c>
      <c r="AR5" s="40" t="s">
        <v>3223</v>
      </c>
      <c r="AS5" s="47"/>
      <c r="AT5" s="47"/>
      <c r="AU5" s="47">
        <v>1</v>
      </c>
      <c r="AV5" s="49" t="s">
        <v>628</v>
      </c>
      <c r="AW5" s="1132">
        <v>3</v>
      </c>
      <c r="AX5" s="40" t="s">
        <v>3224</v>
      </c>
      <c r="AY5" s="47"/>
      <c r="AZ5" s="47"/>
      <c r="BA5" s="47">
        <v>2</v>
      </c>
      <c r="BB5" s="49" t="s">
        <v>628</v>
      </c>
      <c r="BC5" s="1132"/>
      <c r="BD5" s="54"/>
      <c r="BE5" s="1132"/>
      <c r="BF5" s="1132"/>
      <c r="BG5" s="1132"/>
      <c r="BH5" s="54"/>
      <c r="BI5" s="1132"/>
      <c r="BJ5" s="54"/>
      <c r="BK5" s="1132"/>
      <c r="BL5" s="1132"/>
      <c r="BM5" s="1132"/>
      <c r="BN5" s="54"/>
      <c r="BO5" s="1132"/>
      <c r="BP5" s="54"/>
      <c r="BQ5" s="1132"/>
      <c r="BR5" s="1132"/>
      <c r="BS5" s="1132"/>
      <c r="BT5" s="54"/>
      <c r="BU5" s="1132"/>
      <c r="BV5" s="54"/>
      <c r="BW5" s="1132"/>
      <c r="BX5" s="1132"/>
      <c r="BY5" s="1132"/>
      <c r="BZ5" s="54"/>
      <c r="CA5" s="1132"/>
      <c r="CB5" s="54"/>
      <c r="CC5" s="1132"/>
      <c r="CD5" s="1132"/>
      <c r="CE5" s="1132"/>
      <c r="CF5" s="1132"/>
    </row>
    <row r="6" spans="1:88" x14ac:dyDescent="0.5">
      <c r="A6" s="227">
        <v>19126464</v>
      </c>
      <c r="B6" s="22">
        <v>19121213</v>
      </c>
      <c r="C6" s="23" t="s">
        <v>3225</v>
      </c>
      <c r="D6" s="24" t="s">
        <v>1323</v>
      </c>
      <c r="E6" s="884">
        <v>43843</v>
      </c>
      <c r="F6" s="932" t="s">
        <v>3368</v>
      </c>
      <c r="G6" s="933" t="s">
        <v>1443</v>
      </c>
      <c r="H6" s="62">
        <v>43855</v>
      </c>
      <c r="I6" s="27">
        <v>63024</v>
      </c>
      <c r="J6" s="931" t="s">
        <v>869</v>
      </c>
      <c r="K6" s="957">
        <v>43857</v>
      </c>
      <c r="L6" s="22" t="s">
        <v>9</v>
      </c>
      <c r="M6" s="28" t="s">
        <v>3226</v>
      </c>
      <c r="N6" s="22" t="s">
        <v>50</v>
      </c>
      <c r="O6" s="29">
        <v>4900</v>
      </c>
      <c r="P6" s="29">
        <f t="shared" si="0"/>
        <v>343</v>
      </c>
      <c r="Q6" s="29">
        <f t="shared" si="1"/>
        <v>5243</v>
      </c>
      <c r="R6" s="30" t="s">
        <v>3227</v>
      </c>
      <c r="S6" s="96"/>
      <c r="T6" s="97"/>
      <c r="U6" s="98"/>
      <c r="V6" s="99"/>
      <c r="W6" s="35">
        <f>O6</f>
        <v>4900</v>
      </c>
      <c r="X6" s="36">
        <v>0.5</v>
      </c>
      <c r="Y6" s="36">
        <f>W6*X6/100</f>
        <v>24.5</v>
      </c>
      <c r="Z6" s="37">
        <v>0.2</v>
      </c>
      <c r="AA6" s="38">
        <f>W6*Z6/100</f>
        <v>9.8000000000000007</v>
      </c>
      <c r="AB6" s="40">
        <v>20020030</v>
      </c>
      <c r="AC6" s="41">
        <v>4900</v>
      </c>
      <c r="AD6" s="52">
        <f>AC6*7/100</f>
        <v>343</v>
      </c>
      <c r="AE6" s="52">
        <f>AC6+AD6</f>
        <v>5243</v>
      </c>
      <c r="AF6" s="53">
        <v>43903</v>
      </c>
      <c r="AG6" s="39" t="s">
        <v>869</v>
      </c>
      <c r="AH6" s="39"/>
      <c r="AI6" s="39"/>
      <c r="AJ6" s="21" t="s">
        <v>3812</v>
      </c>
      <c r="AK6" s="1132">
        <v>1</v>
      </c>
      <c r="AL6" s="45" t="s">
        <v>2253</v>
      </c>
      <c r="AM6" s="46" t="s">
        <v>869</v>
      </c>
      <c r="AN6" s="46"/>
      <c r="AO6" s="47">
        <v>1</v>
      </c>
      <c r="AP6" s="48" t="s">
        <v>634</v>
      </c>
      <c r="AQ6" s="1132"/>
      <c r="AR6" s="54"/>
      <c r="AS6" s="1132"/>
      <c r="AT6" s="1132"/>
      <c r="AU6" s="1132"/>
      <c r="AV6" s="54"/>
      <c r="AW6" s="1132"/>
      <c r="AX6" s="54"/>
      <c r="AY6" s="1132"/>
      <c r="AZ6" s="1132"/>
      <c r="BA6" s="1132"/>
      <c r="BB6" s="54"/>
      <c r="BC6" s="1132"/>
      <c r="BD6" s="54"/>
      <c r="BE6" s="1132"/>
      <c r="BF6" s="1132"/>
      <c r="BG6" s="1132"/>
      <c r="BH6" s="54"/>
      <c r="BI6" s="1132"/>
      <c r="BJ6" s="54"/>
      <c r="BK6" s="1132"/>
      <c r="BL6" s="1132"/>
      <c r="BM6" s="1132"/>
      <c r="BN6" s="54"/>
      <c r="BO6" s="1132"/>
      <c r="BP6" s="54"/>
      <c r="BQ6" s="1132"/>
      <c r="BR6" s="1132"/>
      <c r="BS6" s="1132"/>
      <c r="BT6" s="54"/>
      <c r="BU6" s="1132"/>
      <c r="BV6" s="54"/>
      <c r="BW6" s="1132"/>
      <c r="BX6" s="1132"/>
      <c r="BY6" s="1132"/>
      <c r="BZ6" s="54"/>
      <c r="CA6" s="1132"/>
      <c r="CB6" s="54"/>
      <c r="CC6" s="1132"/>
      <c r="CD6" s="1132"/>
      <c r="CE6" s="1132"/>
      <c r="CF6" s="1132"/>
    </row>
    <row r="7" spans="1:88" x14ac:dyDescent="0.5">
      <c r="A7" s="227">
        <v>19126463</v>
      </c>
      <c r="B7" s="22">
        <v>19121212</v>
      </c>
      <c r="C7" s="55"/>
      <c r="D7" s="56"/>
      <c r="E7" s="910"/>
      <c r="F7" s="57"/>
      <c r="G7" s="58"/>
      <c r="H7" s="59"/>
      <c r="I7" s="60"/>
      <c r="J7" s="269"/>
      <c r="K7" s="59"/>
      <c r="L7" s="22" t="s">
        <v>3228</v>
      </c>
      <c r="M7" s="28" t="s">
        <v>1729</v>
      </c>
      <c r="N7" s="22" t="s">
        <v>51</v>
      </c>
      <c r="O7" s="29">
        <v>5200</v>
      </c>
      <c r="P7" s="29">
        <f t="shared" si="0"/>
        <v>364</v>
      </c>
      <c r="Q7" s="29">
        <f t="shared" si="1"/>
        <v>5564</v>
      </c>
      <c r="R7" s="61"/>
      <c r="S7" s="96"/>
      <c r="T7" s="97"/>
      <c r="U7" s="98"/>
      <c r="V7" s="99"/>
      <c r="W7" s="100"/>
      <c r="X7" s="99"/>
      <c r="Y7" s="99"/>
      <c r="Z7" s="100"/>
      <c r="AA7" s="101"/>
      <c r="AB7" s="40">
        <v>19120533</v>
      </c>
      <c r="AC7" s="41">
        <v>5200</v>
      </c>
      <c r="AD7" s="63">
        <f t="shared" ref="AD7:AD12" si="2">AC7*7/100</f>
        <v>364</v>
      </c>
      <c r="AE7" s="64">
        <f t="shared" ref="AE7:AE12" si="3">AC7+AD7</f>
        <v>5564</v>
      </c>
      <c r="AF7" s="53">
        <v>43853</v>
      </c>
      <c r="AG7" s="39" t="s">
        <v>869</v>
      </c>
      <c r="AH7" s="39"/>
      <c r="AI7" s="39"/>
      <c r="AJ7" s="21" t="s">
        <v>3619</v>
      </c>
      <c r="AK7" s="1132">
        <v>1</v>
      </c>
      <c r="AL7" s="45" t="s">
        <v>3230</v>
      </c>
      <c r="AM7" s="46"/>
      <c r="AN7" s="46"/>
      <c r="AO7" s="47">
        <v>4</v>
      </c>
      <c r="AP7" s="48" t="s">
        <v>628</v>
      </c>
      <c r="AQ7" s="1132"/>
      <c r="AR7" s="54"/>
      <c r="AS7" s="1132"/>
      <c r="AT7" s="1132"/>
      <c r="AU7" s="1132"/>
      <c r="AV7" s="54"/>
      <c r="AW7" s="1132"/>
      <c r="AX7" s="54"/>
      <c r="AY7" s="1132"/>
      <c r="AZ7" s="1132"/>
      <c r="BA7" s="1132"/>
      <c r="BB7" s="54"/>
      <c r="BC7" s="1132"/>
      <c r="BD7" s="54"/>
      <c r="BE7" s="1132"/>
      <c r="BF7" s="1132"/>
      <c r="BG7" s="1132"/>
      <c r="BH7" s="54"/>
      <c r="BI7" s="1132"/>
      <c r="BJ7" s="54"/>
      <c r="BK7" s="1132"/>
      <c r="BL7" s="1132"/>
      <c r="BM7" s="1132"/>
      <c r="BN7" s="54"/>
      <c r="BO7" s="1132"/>
      <c r="BP7" s="54"/>
      <c r="BQ7" s="1132"/>
      <c r="BR7" s="1132"/>
      <c r="BS7" s="1132"/>
      <c r="BT7" s="54"/>
      <c r="BU7" s="1132"/>
      <c r="BV7" s="54"/>
      <c r="BW7" s="1132"/>
      <c r="BX7" s="1132"/>
      <c r="BY7" s="1132"/>
      <c r="BZ7" s="54"/>
      <c r="CA7" s="1132"/>
      <c r="CB7" s="54"/>
      <c r="CC7" s="1132"/>
      <c r="CD7" s="1132"/>
      <c r="CE7" s="1132"/>
      <c r="CF7" s="1132"/>
    </row>
    <row r="8" spans="1:88" x14ac:dyDescent="0.5">
      <c r="A8" s="227">
        <v>19126462</v>
      </c>
      <c r="B8" s="22">
        <v>19121208</v>
      </c>
      <c r="C8" s="23" t="s">
        <v>3231</v>
      </c>
      <c r="D8" s="24" t="s">
        <v>1323</v>
      </c>
      <c r="E8" s="884">
        <v>43859</v>
      </c>
      <c r="F8" s="932" t="s">
        <v>3368</v>
      </c>
      <c r="G8" s="933" t="s">
        <v>1439</v>
      </c>
      <c r="H8" s="62">
        <v>43861</v>
      </c>
      <c r="I8" s="27">
        <v>63031</v>
      </c>
      <c r="J8" s="931" t="s">
        <v>869</v>
      </c>
      <c r="K8" s="957">
        <v>43862</v>
      </c>
      <c r="L8" s="22" t="s">
        <v>15</v>
      </c>
      <c r="M8" s="28" t="s">
        <v>3232</v>
      </c>
      <c r="N8" s="22" t="s">
        <v>51</v>
      </c>
      <c r="O8" s="29">
        <v>147114</v>
      </c>
      <c r="P8" s="29">
        <f t="shared" si="0"/>
        <v>10297.98</v>
      </c>
      <c r="Q8" s="29">
        <f t="shared" si="1"/>
        <v>157411.98000000001</v>
      </c>
      <c r="R8" s="61"/>
      <c r="S8" s="96"/>
      <c r="T8" s="97"/>
      <c r="U8" s="98"/>
      <c r="V8" s="99"/>
      <c r="W8" s="100"/>
      <c r="X8" s="99"/>
      <c r="Y8" s="99"/>
      <c r="Z8" s="100"/>
      <c r="AA8" s="101"/>
      <c r="AB8" s="40">
        <v>20020025</v>
      </c>
      <c r="AC8" s="41">
        <v>147114</v>
      </c>
      <c r="AD8" s="52">
        <f t="shared" si="2"/>
        <v>10297.98</v>
      </c>
      <c r="AE8" s="52">
        <f t="shared" si="3"/>
        <v>157411.98000000001</v>
      </c>
      <c r="AF8" s="53">
        <v>43916</v>
      </c>
      <c r="AG8" s="39" t="s">
        <v>869</v>
      </c>
      <c r="AH8" s="39"/>
      <c r="AI8" s="39"/>
      <c r="AJ8" s="21" t="s">
        <v>3803</v>
      </c>
      <c r="AK8" s="1132">
        <v>1</v>
      </c>
      <c r="AL8" s="45" t="s">
        <v>3233</v>
      </c>
      <c r="AM8" s="46"/>
      <c r="AN8" s="46"/>
      <c r="AO8" s="47">
        <v>1</v>
      </c>
      <c r="AP8" s="48" t="s">
        <v>633</v>
      </c>
      <c r="AQ8" s="1132"/>
      <c r="AR8" s="54"/>
      <c r="AS8" s="1132"/>
      <c r="AT8" s="1132"/>
      <c r="AU8" s="1132"/>
      <c r="AV8" s="54"/>
      <c r="AW8" s="1132"/>
      <c r="AX8" s="54"/>
      <c r="AY8" s="1132"/>
      <c r="AZ8" s="1132"/>
      <c r="BA8" s="1132"/>
      <c r="BB8" s="54"/>
      <c r="BC8" s="1132"/>
      <c r="BD8" s="54"/>
      <c r="BE8" s="1132"/>
      <c r="BF8" s="1132"/>
      <c r="BG8" s="1132"/>
      <c r="BH8" s="54"/>
      <c r="BI8" s="1132"/>
      <c r="BJ8" s="54"/>
      <c r="BK8" s="1132"/>
      <c r="BL8" s="1132"/>
      <c r="BM8" s="1132"/>
      <c r="BN8" s="54"/>
      <c r="BO8" s="1132"/>
      <c r="BP8" s="54"/>
      <c r="BQ8" s="1132"/>
      <c r="BR8" s="1132"/>
      <c r="BS8" s="1132"/>
      <c r="BT8" s="54"/>
      <c r="BU8" s="1132"/>
      <c r="BV8" s="54"/>
      <c r="BW8" s="1132"/>
      <c r="BX8" s="1132"/>
      <c r="BY8" s="1132"/>
      <c r="BZ8" s="54"/>
      <c r="CA8" s="1132"/>
      <c r="CB8" s="54"/>
      <c r="CC8" s="1132"/>
      <c r="CD8" s="1132"/>
      <c r="CE8" s="1132"/>
      <c r="CF8" s="1132"/>
    </row>
    <row r="9" spans="1:88" x14ac:dyDescent="0.5">
      <c r="A9" s="227">
        <v>19126461</v>
      </c>
      <c r="B9" s="22">
        <v>19121207</v>
      </c>
      <c r="C9" s="55"/>
      <c r="D9" s="56"/>
      <c r="E9" s="910"/>
      <c r="F9" s="57"/>
      <c r="G9" s="58"/>
      <c r="H9" s="59"/>
      <c r="I9" s="60"/>
      <c r="J9" s="269"/>
      <c r="K9" s="59"/>
      <c r="L9" s="22" t="s">
        <v>3234</v>
      </c>
      <c r="M9" s="28" t="s">
        <v>3235</v>
      </c>
      <c r="N9" s="22" t="s">
        <v>51</v>
      </c>
      <c r="O9" s="29">
        <v>24800</v>
      </c>
      <c r="P9" s="29">
        <f t="shared" si="0"/>
        <v>1736</v>
      </c>
      <c r="Q9" s="29">
        <f t="shared" si="1"/>
        <v>26536</v>
      </c>
      <c r="R9" s="61"/>
      <c r="S9" s="96"/>
      <c r="T9" s="97"/>
      <c r="U9" s="98"/>
      <c r="V9" s="99"/>
      <c r="W9" s="100"/>
      <c r="X9" s="99"/>
      <c r="Y9" s="99"/>
      <c r="Z9" s="100"/>
      <c r="AA9" s="101"/>
      <c r="AB9" s="40">
        <v>19120531</v>
      </c>
      <c r="AC9" s="41">
        <v>24800</v>
      </c>
      <c r="AD9" s="63">
        <f t="shared" si="2"/>
        <v>1736</v>
      </c>
      <c r="AE9" s="64">
        <f t="shared" si="3"/>
        <v>26536</v>
      </c>
      <c r="AF9" s="53">
        <v>43829</v>
      </c>
      <c r="AG9" s="39" t="s">
        <v>869</v>
      </c>
      <c r="AH9" s="39"/>
      <c r="AI9" s="39"/>
      <c r="AJ9" s="21" t="s">
        <v>3468</v>
      </c>
      <c r="AK9" s="1132">
        <v>1</v>
      </c>
      <c r="AL9" s="45" t="s">
        <v>3236</v>
      </c>
      <c r="AM9" s="46"/>
      <c r="AN9" s="46"/>
      <c r="AO9" s="47">
        <v>1</v>
      </c>
      <c r="AP9" s="48" t="s">
        <v>628</v>
      </c>
      <c r="AQ9" s="1132"/>
      <c r="AR9" s="54"/>
      <c r="AS9" s="1132"/>
      <c r="AT9" s="1132"/>
      <c r="AU9" s="1132"/>
      <c r="AV9" s="54"/>
      <c r="AW9" s="1132"/>
      <c r="AX9" s="54"/>
      <c r="AY9" s="1132"/>
      <c r="AZ9" s="1132"/>
      <c r="BA9" s="1132"/>
      <c r="BB9" s="54"/>
      <c r="BC9" s="1132"/>
      <c r="BD9" s="54"/>
      <c r="BE9" s="1132"/>
      <c r="BF9" s="1132"/>
      <c r="BG9" s="1132"/>
      <c r="BH9" s="54"/>
      <c r="BI9" s="1132"/>
      <c r="BJ9" s="54"/>
      <c r="BK9" s="1132"/>
      <c r="BL9" s="1132"/>
      <c r="BM9" s="1132"/>
      <c r="BN9" s="54"/>
      <c r="BO9" s="1132"/>
      <c r="BP9" s="54"/>
      <c r="BQ9" s="1132"/>
      <c r="BR9" s="1132"/>
      <c r="BS9" s="1132"/>
      <c r="BT9" s="54"/>
      <c r="BU9" s="1132"/>
      <c r="BV9" s="54"/>
      <c r="BW9" s="1132"/>
      <c r="BX9" s="1132"/>
      <c r="BY9" s="1132"/>
      <c r="BZ9" s="54"/>
      <c r="CA9" s="1132"/>
      <c r="CB9" s="54"/>
      <c r="CC9" s="1132"/>
      <c r="CD9" s="1132"/>
      <c r="CE9" s="1132"/>
      <c r="CF9" s="1132"/>
    </row>
    <row r="10" spans="1:88" x14ac:dyDescent="0.5">
      <c r="A10" s="227">
        <v>19126460</v>
      </c>
      <c r="B10" s="22">
        <v>19121206</v>
      </c>
      <c r="C10" s="55"/>
      <c r="D10" s="56"/>
      <c r="E10" s="910"/>
      <c r="F10" s="57"/>
      <c r="G10" s="58"/>
      <c r="H10" s="59"/>
      <c r="I10" s="60"/>
      <c r="J10" s="269"/>
      <c r="K10" s="59"/>
      <c r="L10" s="22" t="s">
        <v>3234</v>
      </c>
      <c r="M10" s="28" t="s">
        <v>3235</v>
      </c>
      <c r="N10" s="22" t="s">
        <v>51</v>
      </c>
      <c r="O10" s="29">
        <v>24800</v>
      </c>
      <c r="P10" s="29">
        <f t="shared" si="0"/>
        <v>1736</v>
      </c>
      <c r="Q10" s="29">
        <f t="shared" si="1"/>
        <v>26536</v>
      </c>
      <c r="R10" s="61"/>
      <c r="S10" s="96"/>
      <c r="T10" s="97"/>
      <c r="U10" s="98"/>
      <c r="V10" s="99"/>
      <c r="W10" s="100"/>
      <c r="X10" s="99"/>
      <c r="Y10" s="99"/>
      <c r="Z10" s="100"/>
      <c r="AA10" s="101"/>
      <c r="AB10" s="40">
        <v>19120530</v>
      </c>
      <c r="AC10" s="41">
        <v>24800</v>
      </c>
      <c r="AD10" s="63">
        <f t="shared" si="2"/>
        <v>1736</v>
      </c>
      <c r="AE10" s="64">
        <f t="shared" si="3"/>
        <v>26536</v>
      </c>
      <c r="AF10" s="53">
        <v>43829</v>
      </c>
      <c r="AG10" s="39" t="s">
        <v>869</v>
      </c>
      <c r="AH10" s="39"/>
      <c r="AI10" s="39"/>
      <c r="AJ10" s="21" t="s">
        <v>3468</v>
      </c>
      <c r="AK10" s="1132">
        <v>1</v>
      </c>
      <c r="AL10" s="45" t="s">
        <v>3236</v>
      </c>
      <c r="AM10" s="46"/>
      <c r="AN10" s="46"/>
      <c r="AO10" s="47">
        <v>1</v>
      </c>
      <c r="AP10" s="48" t="s">
        <v>628</v>
      </c>
      <c r="AQ10" s="1132"/>
      <c r="AR10" s="54"/>
      <c r="AS10" s="1132"/>
      <c r="AT10" s="1132"/>
      <c r="AU10" s="1132"/>
      <c r="AV10" s="54"/>
      <c r="AW10" s="1132"/>
      <c r="AX10" s="54"/>
      <c r="AY10" s="1132"/>
      <c r="AZ10" s="1132"/>
      <c r="BA10" s="1132"/>
      <c r="BB10" s="54"/>
      <c r="BC10" s="1132"/>
      <c r="BD10" s="54"/>
      <c r="BE10" s="1132"/>
      <c r="BF10" s="1132"/>
      <c r="BG10" s="1132"/>
      <c r="BH10" s="54"/>
      <c r="BI10" s="1132"/>
      <c r="BJ10" s="54"/>
      <c r="BK10" s="1132"/>
      <c r="BL10" s="1132"/>
      <c r="BM10" s="1132"/>
      <c r="BN10" s="54"/>
      <c r="BO10" s="1132"/>
      <c r="BP10" s="54"/>
      <c r="BQ10" s="1132"/>
      <c r="BR10" s="1132"/>
      <c r="BS10" s="1132"/>
      <c r="BT10" s="54"/>
      <c r="BU10" s="1132"/>
      <c r="BV10" s="54"/>
      <c r="BW10" s="1132"/>
      <c r="BX10" s="1132"/>
      <c r="BY10" s="1132"/>
      <c r="BZ10" s="54"/>
      <c r="CA10" s="1132"/>
      <c r="CB10" s="54"/>
      <c r="CC10" s="1132"/>
      <c r="CD10" s="1132"/>
      <c r="CE10" s="1132"/>
      <c r="CF10" s="1132"/>
    </row>
    <row r="11" spans="1:88" x14ac:dyDescent="0.5">
      <c r="A11" s="227">
        <v>19126459</v>
      </c>
      <c r="B11" s="22">
        <v>19121205</v>
      </c>
      <c r="C11" s="55"/>
      <c r="D11" s="56"/>
      <c r="E11" s="910"/>
      <c r="F11" s="57"/>
      <c r="G11" s="58"/>
      <c r="H11" s="59"/>
      <c r="I11" s="60"/>
      <c r="J11" s="269"/>
      <c r="K11" s="59"/>
      <c r="L11" s="22" t="s">
        <v>3234</v>
      </c>
      <c r="M11" s="28" t="s">
        <v>3235</v>
      </c>
      <c r="N11" s="22" t="s">
        <v>51</v>
      </c>
      <c r="O11" s="29">
        <v>24800</v>
      </c>
      <c r="P11" s="29">
        <f t="shared" si="0"/>
        <v>1736</v>
      </c>
      <c r="Q11" s="29">
        <f t="shared" si="1"/>
        <v>26536</v>
      </c>
      <c r="R11" s="61"/>
      <c r="S11" s="96"/>
      <c r="T11" s="97"/>
      <c r="U11" s="98"/>
      <c r="V11" s="99"/>
      <c r="W11" s="100"/>
      <c r="X11" s="99"/>
      <c r="Y11" s="99"/>
      <c r="Z11" s="100"/>
      <c r="AA11" s="101"/>
      <c r="AB11" s="40">
        <v>19120529</v>
      </c>
      <c r="AC11" s="41">
        <v>24800</v>
      </c>
      <c r="AD11" s="63">
        <f t="shared" si="2"/>
        <v>1736</v>
      </c>
      <c r="AE11" s="64">
        <f t="shared" si="3"/>
        <v>26536</v>
      </c>
      <c r="AF11" s="53">
        <v>43829</v>
      </c>
      <c r="AG11" s="39" t="s">
        <v>869</v>
      </c>
      <c r="AH11" s="39"/>
      <c r="AI11" s="39"/>
      <c r="AJ11" s="21" t="s">
        <v>3468</v>
      </c>
      <c r="AK11" s="1132">
        <v>1</v>
      </c>
      <c r="AL11" s="45" t="s">
        <v>3236</v>
      </c>
      <c r="AM11" s="46"/>
      <c r="AN11" s="46"/>
      <c r="AO11" s="47">
        <v>1</v>
      </c>
      <c r="AP11" s="48" t="s">
        <v>628</v>
      </c>
      <c r="AQ11" s="1132" t="s">
        <v>3237</v>
      </c>
      <c r="AR11" s="54"/>
      <c r="AS11" s="1132"/>
      <c r="AT11" s="1132"/>
      <c r="AU11" s="1132"/>
      <c r="AV11" s="54"/>
      <c r="AW11" s="1132"/>
      <c r="AX11" s="54"/>
      <c r="AY11" s="1132"/>
      <c r="AZ11" s="1132"/>
      <c r="BA11" s="1132"/>
      <c r="BB11" s="54"/>
      <c r="BC11" s="1132"/>
      <c r="BD11" s="54"/>
      <c r="BE11" s="1132"/>
      <c r="BF11" s="1132"/>
      <c r="BG11" s="1132"/>
      <c r="BH11" s="54"/>
      <c r="BI11" s="1132"/>
      <c r="BJ11" s="54"/>
      <c r="BK11" s="1132"/>
      <c r="BL11" s="1132"/>
      <c r="BM11" s="1132"/>
      <c r="BN11" s="54"/>
      <c r="BO11" s="1132"/>
      <c r="BP11" s="54"/>
      <c r="BQ11" s="1132"/>
      <c r="BR11" s="1132"/>
      <c r="BS11" s="1132"/>
      <c r="BT11" s="54"/>
      <c r="BU11" s="1132"/>
      <c r="BV11" s="54"/>
      <c r="BW11" s="1132"/>
      <c r="BX11" s="1132"/>
      <c r="BY11" s="1132"/>
      <c r="BZ11" s="54"/>
      <c r="CA11" s="1132"/>
      <c r="CB11" s="54"/>
      <c r="CC11" s="1132"/>
      <c r="CD11" s="1132"/>
      <c r="CE11" s="1132"/>
      <c r="CF11" s="1132"/>
    </row>
    <row r="12" spans="1:88" x14ac:dyDescent="0.5">
      <c r="A12" s="259">
        <v>19126458</v>
      </c>
      <c r="B12" s="104">
        <v>19121203</v>
      </c>
      <c r="C12" s="105" t="s">
        <v>3238</v>
      </c>
      <c r="D12" s="106" t="s">
        <v>1323</v>
      </c>
      <c r="E12" s="302">
        <v>43859</v>
      </c>
      <c r="F12" s="946" t="s">
        <v>3368</v>
      </c>
      <c r="G12" s="947" t="s">
        <v>1358</v>
      </c>
      <c r="H12" s="211">
        <v>43845</v>
      </c>
      <c r="I12" s="164">
        <v>63014</v>
      </c>
      <c r="J12" s="960"/>
      <c r="K12" s="962">
        <v>43846</v>
      </c>
      <c r="L12" s="104" t="s">
        <v>4235</v>
      </c>
      <c r="M12" s="110" t="s">
        <v>3239</v>
      </c>
      <c r="N12" s="104" t="s">
        <v>1523</v>
      </c>
      <c r="O12" s="111">
        <v>1124800</v>
      </c>
      <c r="P12" s="111">
        <f t="shared" si="0"/>
        <v>78736</v>
      </c>
      <c r="Q12" s="111">
        <f t="shared" si="1"/>
        <v>1203536</v>
      </c>
      <c r="R12" s="212"/>
      <c r="S12" s="113" t="s">
        <v>3414</v>
      </c>
      <c r="T12" s="114">
        <f>O12</f>
        <v>1124800</v>
      </c>
      <c r="U12" s="115">
        <v>5</v>
      </c>
      <c r="V12" s="116">
        <f>T12*U12/100</f>
        <v>56240</v>
      </c>
      <c r="W12" s="117">
        <f>T12-V12</f>
        <v>1068560</v>
      </c>
      <c r="X12" s="118">
        <v>0.39</v>
      </c>
      <c r="Y12" s="118">
        <f>W12*X12/100</f>
        <v>4167.384</v>
      </c>
      <c r="Z12" s="119">
        <v>0.2</v>
      </c>
      <c r="AA12" s="120">
        <f>W12*Z12/100</f>
        <v>2137.12</v>
      </c>
      <c r="AB12" s="123">
        <v>20020024</v>
      </c>
      <c r="AC12" s="124">
        <v>1124800</v>
      </c>
      <c r="AD12" s="260">
        <f t="shared" si="2"/>
        <v>78736</v>
      </c>
      <c r="AE12" s="260">
        <f t="shared" si="3"/>
        <v>1203536</v>
      </c>
      <c r="AF12" s="126">
        <v>43901</v>
      </c>
      <c r="AG12" s="127" t="s">
        <v>869</v>
      </c>
      <c r="AH12" s="127"/>
      <c r="AI12" s="127"/>
      <c r="AJ12" s="103" t="s">
        <v>4347</v>
      </c>
      <c r="AK12" s="128">
        <v>1</v>
      </c>
      <c r="AL12" s="129" t="s">
        <v>3240</v>
      </c>
      <c r="AM12" s="130"/>
      <c r="AN12" s="130"/>
      <c r="AO12" s="131">
        <v>2</v>
      </c>
      <c r="AP12" s="132" t="s">
        <v>634</v>
      </c>
      <c r="AQ12" s="128">
        <v>2</v>
      </c>
      <c r="AR12" s="123" t="s">
        <v>3241</v>
      </c>
      <c r="AS12" s="131"/>
      <c r="AT12" s="131"/>
      <c r="AU12" s="131">
        <v>2</v>
      </c>
      <c r="AV12" s="169" t="s">
        <v>634</v>
      </c>
      <c r="AW12" s="128">
        <v>3</v>
      </c>
      <c r="AX12" s="123" t="s">
        <v>710</v>
      </c>
      <c r="AY12" s="131"/>
      <c r="AZ12" s="131"/>
      <c r="BA12" s="131">
        <v>1</v>
      </c>
      <c r="BB12" s="169" t="s">
        <v>634</v>
      </c>
      <c r="BC12" s="128"/>
      <c r="BD12" s="133"/>
      <c r="BE12" s="128"/>
      <c r="BF12" s="128"/>
      <c r="BG12" s="128"/>
      <c r="BH12" s="133"/>
      <c r="BI12" s="128"/>
      <c r="BJ12" s="133"/>
      <c r="BK12" s="128"/>
      <c r="BL12" s="128"/>
      <c r="BM12" s="128"/>
      <c r="BN12" s="133"/>
      <c r="BO12" s="128"/>
      <c r="BP12" s="133"/>
      <c r="BQ12" s="128"/>
      <c r="BR12" s="128"/>
      <c r="BS12" s="128"/>
      <c r="BT12" s="133"/>
      <c r="BU12" s="128"/>
      <c r="BV12" s="133"/>
      <c r="BW12" s="128"/>
      <c r="BX12" s="128"/>
      <c r="BY12" s="128"/>
      <c r="BZ12" s="133"/>
      <c r="CA12" s="128"/>
      <c r="CB12" s="133"/>
      <c r="CC12" s="128"/>
      <c r="CD12" s="128"/>
      <c r="CE12" s="128"/>
      <c r="CF12" s="128"/>
    </row>
    <row r="13" spans="1:88" x14ac:dyDescent="0.5">
      <c r="A13" s="262"/>
      <c r="B13" s="135"/>
      <c r="C13" s="136"/>
      <c r="D13" s="137"/>
      <c r="E13" s="906"/>
      <c r="F13" s="940" t="s">
        <v>3368</v>
      </c>
      <c r="G13" s="941" t="s">
        <v>1433</v>
      </c>
      <c r="H13" s="170">
        <v>43867</v>
      </c>
      <c r="I13" s="251">
        <v>63038</v>
      </c>
      <c r="J13" s="963" t="s">
        <v>869</v>
      </c>
      <c r="K13" s="964">
        <v>43868</v>
      </c>
      <c r="L13" s="135"/>
      <c r="M13" s="141"/>
      <c r="N13" s="135"/>
      <c r="O13" s="142"/>
      <c r="P13" s="142"/>
      <c r="Q13" s="142"/>
      <c r="R13" s="213"/>
      <c r="S13" s="144"/>
      <c r="T13" s="145"/>
      <c r="U13" s="146"/>
      <c r="V13" s="147"/>
      <c r="W13" s="148"/>
      <c r="X13" s="149"/>
      <c r="Y13" s="149"/>
      <c r="Z13" s="150"/>
      <c r="AA13" s="151"/>
      <c r="AB13" s="154"/>
      <c r="AC13" s="155"/>
      <c r="AD13" s="255"/>
      <c r="AE13" s="255"/>
      <c r="AF13" s="256"/>
      <c r="AG13" s="152"/>
      <c r="AH13" s="152"/>
      <c r="AI13" s="152"/>
      <c r="AJ13" s="134"/>
      <c r="AK13" s="158"/>
      <c r="AL13" s="159"/>
      <c r="AM13" s="160"/>
      <c r="AN13" s="160"/>
      <c r="AO13" s="161"/>
      <c r="AP13" s="162"/>
      <c r="AQ13" s="158"/>
      <c r="AR13" s="154"/>
      <c r="AS13" s="161"/>
      <c r="AT13" s="161"/>
      <c r="AU13" s="161"/>
      <c r="AV13" s="177"/>
      <c r="AW13" s="158"/>
      <c r="AX13" s="154"/>
      <c r="AY13" s="161"/>
      <c r="AZ13" s="161"/>
      <c r="BA13" s="161"/>
      <c r="BB13" s="177"/>
      <c r="BC13" s="158"/>
      <c r="BD13" s="163"/>
      <c r="BE13" s="158"/>
      <c r="BF13" s="158"/>
      <c r="BG13" s="158"/>
      <c r="BH13" s="163"/>
      <c r="BI13" s="158"/>
      <c r="BJ13" s="163"/>
      <c r="BK13" s="158"/>
      <c r="BL13" s="158"/>
      <c r="BM13" s="158"/>
      <c r="BN13" s="163"/>
      <c r="BO13" s="158"/>
      <c r="BP13" s="163"/>
      <c r="BQ13" s="158"/>
      <c r="BR13" s="158"/>
      <c r="BS13" s="158"/>
      <c r="BT13" s="163"/>
      <c r="BU13" s="158"/>
      <c r="BV13" s="163"/>
      <c r="BW13" s="158"/>
      <c r="BX13" s="158"/>
      <c r="BY13" s="158"/>
      <c r="BZ13" s="163"/>
      <c r="CA13" s="158"/>
      <c r="CB13" s="163"/>
      <c r="CC13" s="158"/>
      <c r="CD13" s="158"/>
      <c r="CE13" s="158"/>
      <c r="CF13" s="158"/>
    </row>
    <row r="14" spans="1:88" x14ac:dyDescent="0.5">
      <c r="A14" s="262"/>
      <c r="B14" s="135"/>
      <c r="C14" s="136"/>
      <c r="D14" s="137"/>
      <c r="E14" s="906"/>
      <c r="F14" s="940"/>
      <c r="G14" s="941"/>
      <c r="H14" s="170">
        <v>43867</v>
      </c>
      <c r="I14" s="251">
        <v>63039</v>
      </c>
      <c r="J14" s="963"/>
      <c r="K14" s="964"/>
      <c r="L14" s="135"/>
      <c r="M14" s="141"/>
      <c r="N14" s="135"/>
      <c r="O14" s="142"/>
      <c r="P14" s="142"/>
      <c r="Q14" s="142"/>
      <c r="R14" s="213"/>
      <c r="S14" s="144"/>
      <c r="T14" s="145"/>
      <c r="U14" s="146"/>
      <c r="V14" s="147"/>
      <c r="W14" s="148"/>
      <c r="X14" s="149"/>
      <c r="Y14" s="149"/>
      <c r="Z14" s="150"/>
      <c r="AA14" s="151"/>
      <c r="AB14" s="154"/>
      <c r="AC14" s="155"/>
      <c r="AD14" s="255"/>
      <c r="AE14" s="255"/>
      <c r="AF14" s="256"/>
      <c r="AG14" s="152"/>
      <c r="AH14" s="152"/>
      <c r="AI14" s="152"/>
      <c r="AJ14" s="134"/>
      <c r="AK14" s="158"/>
      <c r="AL14" s="159"/>
      <c r="AM14" s="160"/>
      <c r="AN14" s="160"/>
      <c r="AO14" s="161"/>
      <c r="AP14" s="162"/>
      <c r="AQ14" s="158"/>
      <c r="AR14" s="154"/>
      <c r="AS14" s="161"/>
      <c r="AT14" s="161"/>
      <c r="AU14" s="161"/>
      <c r="AV14" s="177"/>
      <c r="AW14" s="158"/>
      <c r="AX14" s="154"/>
      <c r="AY14" s="161"/>
      <c r="AZ14" s="161"/>
      <c r="BA14" s="161"/>
      <c r="BB14" s="177"/>
      <c r="BC14" s="158"/>
      <c r="BD14" s="163"/>
      <c r="BE14" s="158"/>
      <c r="BF14" s="158"/>
      <c r="BG14" s="158"/>
      <c r="BH14" s="163"/>
      <c r="BI14" s="158"/>
      <c r="BJ14" s="163"/>
      <c r="BK14" s="158"/>
      <c r="BL14" s="158"/>
      <c r="BM14" s="158"/>
      <c r="BN14" s="163"/>
      <c r="BO14" s="158"/>
      <c r="BP14" s="163"/>
      <c r="BQ14" s="158"/>
      <c r="BR14" s="158"/>
      <c r="BS14" s="158"/>
      <c r="BT14" s="163"/>
      <c r="BU14" s="158"/>
      <c r="BV14" s="163"/>
      <c r="BW14" s="158"/>
      <c r="BX14" s="158"/>
      <c r="BY14" s="158"/>
      <c r="BZ14" s="163"/>
      <c r="CA14" s="158"/>
      <c r="CB14" s="163"/>
      <c r="CC14" s="158"/>
      <c r="CD14" s="158"/>
      <c r="CE14" s="158"/>
      <c r="CF14" s="158"/>
    </row>
    <row r="15" spans="1:88" x14ac:dyDescent="0.5">
      <c r="A15" s="262"/>
      <c r="B15" s="135"/>
      <c r="C15" s="136"/>
      <c r="D15" s="137"/>
      <c r="E15" s="906"/>
      <c r="F15" s="940"/>
      <c r="G15" s="941"/>
      <c r="H15" s="170">
        <v>43867</v>
      </c>
      <c r="I15" s="251">
        <v>63040</v>
      </c>
      <c r="J15" s="963"/>
      <c r="K15" s="964"/>
      <c r="L15" s="135"/>
      <c r="M15" s="141"/>
      <c r="N15" s="135"/>
      <c r="O15" s="142"/>
      <c r="P15" s="142"/>
      <c r="Q15" s="142"/>
      <c r="R15" s="213"/>
      <c r="S15" s="144"/>
      <c r="T15" s="145"/>
      <c r="U15" s="146"/>
      <c r="V15" s="147"/>
      <c r="W15" s="148"/>
      <c r="X15" s="149"/>
      <c r="Y15" s="149"/>
      <c r="Z15" s="150"/>
      <c r="AA15" s="151"/>
      <c r="AB15" s="154"/>
      <c r="AC15" s="155"/>
      <c r="AD15" s="255"/>
      <c r="AE15" s="255"/>
      <c r="AF15" s="256"/>
      <c r="AG15" s="152"/>
      <c r="AH15" s="152"/>
      <c r="AI15" s="152"/>
      <c r="AJ15" s="134"/>
      <c r="AK15" s="158"/>
      <c r="AL15" s="159"/>
      <c r="AM15" s="160"/>
      <c r="AN15" s="160"/>
      <c r="AO15" s="161"/>
      <c r="AP15" s="162"/>
      <c r="AQ15" s="158"/>
      <c r="AR15" s="154"/>
      <c r="AS15" s="161"/>
      <c r="AT15" s="161"/>
      <c r="AU15" s="161"/>
      <c r="AV15" s="177"/>
      <c r="AW15" s="158"/>
      <c r="AX15" s="154"/>
      <c r="AY15" s="161"/>
      <c r="AZ15" s="161"/>
      <c r="BA15" s="161"/>
      <c r="BB15" s="177"/>
      <c r="BC15" s="158"/>
      <c r="BD15" s="163"/>
      <c r="BE15" s="158"/>
      <c r="BF15" s="158"/>
      <c r="BG15" s="158"/>
      <c r="BH15" s="163"/>
      <c r="BI15" s="158"/>
      <c r="BJ15" s="163"/>
      <c r="BK15" s="158"/>
      <c r="BL15" s="158"/>
      <c r="BM15" s="158"/>
      <c r="BN15" s="163"/>
      <c r="BO15" s="158"/>
      <c r="BP15" s="163"/>
      <c r="BQ15" s="158"/>
      <c r="BR15" s="158"/>
      <c r="BS15" s="158"/>
      <c r="BT15" s="163"/>
      <c r="BU15" s="158"/>
      <c r="BV15" s="163"/>
      <c r="BW15" s="158"/>
      <c r="BX15" s="158"/>
      <c r="BY15" s="158"/>
      <c r="BZ15" s="163"/>
      <c r="CA15" s="158"/>
      <c r="CB15" s="163"/>
      <c r="CC15" s="158"/>
      <c r="CD15" s="158"/>
      <c r="CE15" s="158"/>
      <c r="CF15" s="158"/>
    </row>
    <row r="16" spans="1:88" x14ac:dyDescent="0.5">
      <c r="A16" s="268"/>
      <c r="B16" s="181"/>
      <c r="C16" s="182"/>
      <c r="D16" s="183"/>
      <c r="E16" s="749"/>
      <c r="F16" s="938"/>
      <c r="G16" s="939"/>
      <c r="H16" s="186">
        <v>43867</v>
      </c>
      <c r="I16" s="187">
        <v>63041</v>
      </c>
      <c r="J16" s="961"/>
      <c r="K16" s="966"/>
      <c r="L16" s="181"/>
      <c r="M16" s="188"/>
      <c r="N16" s="181"/>
      <c r="O16" s="189"/>
      <c r="P16" s="189"/>
      <c r="Q16" s="189"/>
      <c r="R16" s="214"/>
      <c r="S16" s="215"/>
      <c r="T16" s="216"/>
      <c r="U16" s="217"/>
      <c r="V16" s="218"/>
      <c r="W16" s="195"/>
      <c r="X16" s="196"/>
      <c r="Y16" s="196"/>
      <c r="Z16" s="197"/>
      <c r="AA16" s="198"/>
      <c r="AB16" s="200"/>
      <c r="AC16" s="201"/>
      <c r="AD16" s="240"/>
      <c r="AE16" s="240"/>
      <c r="AF16" s="241"/>
      <c r="AG16" s="199"/>
      <c r="AH16" s="199"/>
      <c r="AI16" s="199"/>
      <c r="AJ16" s="180"/>
      <c r="AK16" s="204"/>
      <c r="AL16" s="205"/>
      <c r="AM16" s="206"/>
      <c r="AN16" s="206"/>
      <c r="AO16" s="207"/>
      <c r="AP16" s="208"/>
      <c r="AQ16" s="204"/>
      <c r="AR16" s="200"/>
      <c r="AS16" s="207"/>
      <c r="AT16" s="207"/>
      <c r="AU16" s="207"/>
      <c r="AV16" s="209"/>
      <c r="AW16" s="204"/>
      <c r="AX16" s="200"/>
      <c r="AY16" s="207"/>
      <c r="AZ16" s="207"/>
      <c r="BA16" s="207"/>
      <c r="BB16" s="209"/>
      <c r="BC16" s="204"/>
      <c r="BD16" s="210"/>
      <c r="BE16" s="204"/>
      <c r="BF16" s="204"/>
      <c r="BG16" s="204"/>
      <c r="BH16" s="210"/>
      <c r="BI16" s="204"/>
      <c r="BJ16" s="210"/>
      <c r="BK16" s="204"/>
      <c r="BL16" s="204"/>
      <c r="BM16" s="204"/>
      <c r="BN16" s="210"/>
      <c r="BO16" s="204"/>
      <c r="BP16" s="210"/>
      <c r="BQ16" s="204"/>
      <c r="BR16" s="204"/>
      <c r="BS16" s="204"/>
      <c r="BT16" s="210"/>
      <c r="BU16" s="204"/>
      <c r="BV16" s="210"/>
      <c r="BW16" s="204"/>
      <c r="BX16" s="204"/>
      <c r="BY16" s="204"/>
      <c r="BZ16" s="210"/>
      <c r="CA16" s="204"/>
      <c r="CB16" s="210"/>
      <c r="CC16" s="204"/>
      <c r="CD16" s="204"/>
      <c r="CE16" s="204"/>
      <c r="CF16" s="204"/>
    </row>
    <row r="17" spans="1:84" x14ac:dyDescent="0.5">
      <c r="A17" s="227">
        <v>19126457</v>
      </c>
      <c r="B17" s="22">
        <v>19121202</v>
      </c>
      <c r="C17" s="55"/>
      <c r="D17" s="56"/>
      <c r="E17" s="910"/>
      <c r="F17" s="57"/>
      <c r="G17" s="58"/>
      <c r="H17" s="59"/>
      <c r="I17" s="60"/>
      <c r="J17" s="269"/>
      <c r="K17" s="59"/>
      <c r="L17" s="22" t="s">
        <v>3228</v>
      </c>
      <c r="M17" s="28" t="s">
        <v>3242</v>
      </c>
      <c r="N17" s="22" t="s">
        <v>51</v>
      </c>
      <c r="O17" s="29">
        <v>8700</v>
      </c>
      <c r="P17" s="29">
        <f t="shared" si="0"/>
        <v>609</v>
      </c>
      <c r="Q17" s="29">
        <f t="shared" si="1"/>
        <v>9309</v>
      </c>
      <c r="R17" s="61"/>
      <c r="S17" s="96"/>
      <c r="T17" s="97"/>
      <c r="U17" s="98"/>
      <c r="V17" s="99"/>
      <c r="W17" s="100"/>
      <c r="X17" s="99"/>
      <c r="Y17" s="99"/>
      <c r="Z17" s="100"/>
      <c r="AA17" s="101"/>
      <c r="AB17" s="40">
        <v>19120532</v>
      </c>
      <c r="AC17" s="41">
        <v>8700</v>
      </c>
      <c r="AD17" s="52">
        <f>AC17*7/100</f>
        <v>609</v>
      </c>
      <c r="AE17" s="52">
        <f>AC17+AD17</f>
        <v>9309</v>
      </c>
      <c r="AF17" s="53">
        <v>43853</v>
      </c>
      <c r="AG17" s="39" t="s">
        <v>869</v>
      </c>
      <c r="AH17" s="39"/>
      <c r="AI17" s="39"/>
      <c r="AJ17" s="21" t="s">
        <v>3619</v>
      </c>
      <c r="AK17" s="1132">
        <v>1</v>
      </c>
      <c r="AL17" s="45" t="s">
        <v>3243</v>
      </c>
      <c r="AM17" s="46"/>
      <c r="AN17" s="46"/>
      <c r="AO17" s="47">
        <v>1</v>
      </c>
      <c r="AP17" s="48" t="s">
        <v>628</v>
      </c>
      <c r="AQ17" s="1132">
        <v>2</v>
      </c>
      <c r="AR17" s="40" t="s">
        <v>3244</v>
      </c>
      <c r="AS17" s="47"/>
      <c r="AT17" s="47"/>
      <c r="AU17" s="47">
        <v>1</v>
      </c>
      <c r="AV17" s="49" t="s">
        <v>628</v>
      </c>
      <c r="AW17" s="1132"/>
      <c r="AX17" s="54"/>
      <c r="AY17" s="1132"/>
      <c r="AZ17" s="1132"/>
      <c r="BA17" s="1132"/>
      <c r="BB17" s="54"/>
      <c r="BC17" s="1132"/>
      <c r="BD17" s="54"/>
      <c r="BE17" s="1132"/>
      <c r="BF17" s="1132"/>
      <c r="BG17" s="1132"/>
      <c r="BH17" s="54"/>
      <c r="BI17" s="1132"/>
      <c r="BJ17" s="54"/>
      <c r="BK17" s="1132"/>
      <c r="BL17" s="1132"/>
      <c r="BM17" s="1132"/>
      <c r="BN17" s="54"/>
      <c r="BO17" s="1132"/>
      <c r="BP17" s="54"/>
      <c r="BQ17" s="1132"/>
      <c r="BR17" s="1132"/>
      <c r="BS17" s="1132"/>
      <c r="BT17" s="54"/>
      <c r="BU17" s="1132"/>
      <c r="BV17" s="54"/>
      <c r="BW17" s="1132"/>
      <c r="BX17" s="1132"/>
      <c r="BY17" s="1132"/>
      <c r="BZ17" s="54"/>
      <c r="CA17" s="1132"/>
      <c r="CB17" s="54"/>
      <c r="CC17" s="1132"/>
      <c r="CD17" s="1132"/>
      <c r="CE17" s="1132"/>
      <c r="CF17" s="1132"/>
    </row>
    <row r="18" spans="1:84" x14ac:dyDescent="0.5">
      <c r="A18" s="227">
        <v>19126456</v>
      </c>
      <c r="B18" s="22">
        <v>19121197</v>
      </c>
      <c r="C18" s="23" t="s">
        <v>3245</v>
      </c>
      <c r="D18" s="24" t="s">
        <v>1323</v>
      </c>
      <c r="E18" s="884">
        <v>43849</v>
      </c>
      <c r="F18" s="932" t="s">
        <v>3368</v>
      </c>
      <c r="G18" s="933" t="s">
        <v>1438</v>
      </c>
      <c r="H18" s="62">
        <v>43864</v>
      </c>
      <c r="I18" s="27">
        <v>63032</v>
      </c>
      <c r="J18" s="931" t="s">
        <v>869</v>
      </c>
      <c r="K18" s="957">
        <v>43865</v>
      </c>
      <c r="L18" s="22" t="s">
        <v>15</v>
      </c>
      <c r="M18" s="28" t="s">
        <v>3246</v>
      </c>
      <c r="N18" s="22" t="s">
        <v>51</v>
      </c>
      <c r="O18" s="29">
        <v>126534</v>
      </c>
      <c r="P18" s="29">
        <f t="shared" si="0"/>
        <v>8857.3799999999992</v>
      </c>
      <c r="Q18" s="29">
        <f t="shared" si="1"/>
        <v>135391.38</v>
      </c>
      <c r="R18" s="61"/>
      <c r="S18" s="96"/>
      <c r="T18" s="97"/>
      <c r="U18" s="98"/>
      <c r="V18" s="99"/>
      <c r="W18" s="100"/>
      <c r="X18" s="99"/>
      <c r="Y18" s="99"/>
      <c r="Z18" s="100"/>
      <c r="AA18" s="101"/>
      <c r="AB18" s="40">
        <v>20020026</v>
      </c>
      <c r="AC18" s="41">
        <v>126534</v>
      </c>
      <c r="AD18" s="63">
        <f>AC18*7/100</f>
        <v>8857.3799999999992</v>
      </c>
      <c r="AE18" s="63">
        <f>AC18+AD18</f>
        <v>135391.38</v>
      </c>
      <c r="AF18" s="53">
        <v>43916</v>
      </c>
      <c r="AG18" s="39" t="s">
        <v>869</v>
      </c>
      <c r="AH18" s="39"/>
      <c r="AI18" s="39"/>
      <c r="AJ18" s="21" t="s">
        <v>3803</v>
      </c>
      <c r="AK18" s="1132">
        <v>1</v>
      </c>
      <c r="AL18" s="45" t="s">
        <v>3247</v>
      </c>
      <c r="AM18" s="46" t="s">
        <v>869</v>
      </c>
      <c r="AN18" s="46"/>
      <c r="AO18" s="47">
        <v>1</v>
      </c>
      <c r="AP18" s="48" t="s">
        <v>633</v>
      </c>
      <c r="AQ18" s="1132"/>
      <c r="AR18" s="54"/>
      <c r="AS18" s="1132"/>
      <c r="AT18" s="1132"/>
      <c r="AU18" s="1132"/>
      <c r="AV18" s="54"/>
      <c r="AW18" s="1132"/>
      <c r="AX18" s="54"/>
      <c r="AY18" s="1132"/>
      <c r="AZ18" s="1132"/>
      <c r="BA18" s="1132"/>
      <c r="BB18" s="54"/>
      <c r="BC18" s="1132"/>
      <c r="BD18" s="54"/>
      <c r="BE18" s="1132"/>
      <c r="BF18" s="1132"/>
      <c r="BG18" s="1132"/>
      <c r="BH18" s="54"/>
      <c r="BI18" s="1132"/>
      <c r="BJ18" s="54"/>
      <c r="BK18" s="1132"/>
      <c r="BL18" s="1132"/>
      <c r="BM18" s="1132"/>
      <c r="BN18" s="54"/>
      <c r="BO18" s="1132"/>
      <c r="BP18" s="54"/>
      <c r="BQ18" s="1132"/>
      <c r="BR18" s="1132"/>
      <c r="BS18" s="1132"/>
      <c r="BT18" s="54"/>
      <c r="BU18" s="1132"/>
      <c r="BV18" s="54"/>
      <c r="BW18" s="1132"/>
      <c r="BX18" s="1132"/>
      <c r="BY18" s="1132"/>
      <c r="BZ18" s="54"/>
      <c r="CA18" s="1132"/>
      <c r="CB18" s="54"/>
      <c r="CC18" s="1132"/>
      <c r="CD18" s="1132"/>
      <c r="CE18" s="1132"/>
      <c r="CF18" s="1132"/>
    </row>
    <row r="19" spans="1:84" x14ac:dyDescent="0.5">
      <c r="A19" s="259">
        <v>19126455</v>
      </c>
      <c r="B19" s="104">
        <v>19121195</v>
      </c>
      <c r="C19" s="105" t="s">
        <v>3218</v>
      </c>
      <c r="D19" s="106" t="s">
        <v>1323</v>
      </c>
      <c r="E19" s="302">
        <v>43845</v>
      </c>
      <c r="F19" s="936" t="s">
        <v>3368</v>
      </c>
      <c r="G19" s="937" t="s">
        <v>1428</v>
      </c>
      <c r="H19" s="122">
        <v>43872</v>
      </c>
      <c r="I19" s="109">
        <v>63044</v>
      </c>
      <c r="J19" s="960" t="s">
        <v>869</v>
      </c>
      <c r="K19" s="965">
        <v>43874</v>
      </c>
      <c r="L19" s="104" t="s">
        <v>304</v>
      </c>
      <c r="M19" s="110" t="s">
        <v>3248</v>
      </c>
      <c r="N19" s="104" t="s">
        <v>50</v>
      </c>
      <c r="O19" s="111">
        <v>160000</v>
      </c>
      <c r="P19" s="111">
        <f t="shared" si="0"/>
        <v>11200</v>
      </c>
      <c r="Q19" s="111">
        <f t="shared" si="1"/>
        <v>171200</v>
      </c>
      <c r="R19" s="311">
        <v>11200</v>
      </c>
      <c r="S19" s="165"/>
      <c r="T19" s="166"/>
      <c r="U19" s="167"/>
      <c r="V19" s="168"/>
      <c r="W19" s="117">
        <f>O19-R19</f>
        <v>148800</v>
      </c>
      <c r="X19" s="118">
        <v>0.39</v>
      </c>
      <c r="Y19" s="118">
        <f>W19*X19/100</f>
        <v>580.32000000000005</v>
      </c>
      <c r="Z19" s="119">
        <v>0.2</v>
      </c>
      <c r="AA19" s="120">
        <f>W19*Z19/100</f>
        <v>297.60000000000002</v>
      </c>
      <c r="AB19" s="229">
        <v>20020049</v>
      </c>
      <c r="AC19" s="230">
        <v>112000</v>
      </c>
      <c r="AD19" s="220">
        <f>AC19*7/100</f>
        <v>7840</v>
      </c>
      <c r="AE19" s="220">
        <f>AC19+AD19</f>
        <v>119840</v>
      </c>
      <c r="AF19" s="221">
        <v>43917</v>
      </c>
      <c r="AG19" s="121" t="s">
        <v>869</v>
      </c>
      <c r="AH19" s="121"/>
      <c r="AI19" s="121"/>
      <c r="AJ19" s="979" t="s">
        <v>3814</v>
      </c>
      <c r="AK19" s="128">
        <v>1</v>
      </c>
      <c r="AL19" s="129" t="s">
        <v>710</v>
      </c>
      <c r="AM19" s="130"/>
      <c r="AN19" s="130" t="s">
        <v>869</v>
      </c>
      <c r="AO19" s="131">
        <v>1</v>
      </c>
      <c r="AP19" s="132" t="s">
        <v>634</v>
      </c>
      <c r="AQ19" s="128">
        <v>2</v>
      </c>
      <c r="AR19" s="123" t="s">
        <v>830</v>
      </c>
      <c r="AS19" s="131"/>
      <c r="AT19" s="131" t="s">
        <v>869</v>
      </c>
      <c r="AU19" s="131">
        <v>1</v>
      </c>
      <c r="AV19" s="169" t="s">
        <v>634</v>
      </c>
      <c r="AW19" s="128">
        <v>3</v>
      </c>
      <c r="AX19" s="123" t="s">
        <v>716</v>
      </c>
      <c r="AY19" s="131"/>
      <c r="AZ19" s="131" t="s">
        <v>869</v>
      </c>
      <c r="BA19" s="131">
        <v>1</v>
      </c>
      <c r="BB19" s="169" t="s">
        <v>634</v>
      </c>
      <c r="BC19" s="128"/>
      <c r="BD19" s="133"/>
      <c r="BE19" s="128"/>
      <c r="BF19" s="128"/>
      <c r="BG19" s="128"/>
      <c r="BH19" s="133"/>
      <c r="BI19" s="128"/>
      <c r="BJ19" s="133"/>
      <c r="BK19" s="128"/>
      <c r="BL19" s="128"/>
      <c r="BM19" s="128"/>
      <c r="BN19" s="133"/>
      <c r="BO19" s="128"/>
      <c r="BP19" s="133"/>
      <c r="BQ19" s="128"/>
      <c r="BR19" s="128"/>
      <c r="BS19" s="128"/>
      <c r="BT19" s="133"/>
      <c r="BU19" s="128"/>
      <c r="BV19" s="133"/>
      <c r="BW19" s="128"/>
      <c r="BX19" s="128"/>
      <c r="BY19" s="128"/>
      <c r="BZ19" s="133"/>
      <c r="CA19" s="128"/>
      <c r="CB19" s="133"/>
      <c r="CC19" s="128"/>
      <c r="CD19" s="128"/>
      <c r="CE19" s="128"/>
      <c r="CF19" s="128"/>
    </row>
    <row r="20" spans="1:84" x14ac:dyDescent="0.5">
      <c r="A20" s="268"/>
      <c r="B20" s="181"/>
      <c r="C20" s="182"/>
      <c r="D20" s="183"/>
      <c r="E20" s="749"/>
      <c r="F20" s="938"/>
      <c r="G20" s="939"/>
      <c r="H20" s="186"/>
      <c r="I20" s="187"/>
      <c r="J20" s="961"/>
      <c r="K20" s="966"/>
      <c r="L20" s="181"/>
      <c r="M20" s="188"/>
      <c r="N20" s="181"/>
      <c r="O20" s="189"/>
      <c r="P20" s="189"/>
      <c r="Q20" s="189"/>
      <c r="R20" s="190"/>
      <c r="S20" s="191"/>
      <c r="T20" s="192"/>
      <c r="U20" s="193"/>
      <c r="V20" s="194"/>
      <c r="W20" s="195"/>
      <c r="X20" s="196"/>
      <c r="Y20" s="196"/>
      <c r="Z20" s="197"/>
      <c r="AA20" s="198"/>
      <c r="AB20" s="200">
        <v>20020050</v>
      </c>
      <c r="AC20" s="201">
        <v>48000</v>
      </c>
      <c r="AD20" s="202">
        <f>AC20*7/100</f>
        <v>3360</v>
      </c>
      <c r="AE20" s="202">
        <f>AC20+AD20</f>
        <v>51360</v>
      </c>
      <c r="AF20" s="203">
        <v>43887</v>
      </c>
      <c r="AG20" s="199" t="s">
        <v>869</v>
      </c>
      <c r="AH20" s="199"/>
      <c r="AI20" s="199"/>
      <c r="AJ20" s="843" t="s">
        <v>3815</v>
      </c>
      <c r="AK20" s="204"/>
      <c r="AL20" s="205"/>
      <c r="AM20" s="206"/>
      <c r="AN20" s="206"/>
      <c r="AO20" s="207"/>
      <c r="AP20" s="208"/>
      <c r="AQ20" s="204"/>
      <c r="AR20" s="200"/>
      <c r="AS20" s="207"/>
      <c r="AT20" s="207"/>
      <c r="AU20" s="207"/>
      <c r="AV20" s="209"/>
      <c r="AW20" s="204"/>
      <c r="AX20" s="200"/>
      <c r="AY20" s="207"/>
      <c r="AZ20" s="207"/>
      <c r="BA20" s="207"/>
      <c r="BB20" s="209"/>
      <c r="BC20" s="204"/>
      <c r="BD20" s="210"/>
      <c r="BE20" s="204"/>
      <c r="BF20" s="204"/>
      <c r="BG20" s="204"/>
      <c r="BH20" s="210"/>
      <c r="BI20" s="204"/>
      <c r="BJ20" s="210"/>
      <c r="BK20" s="204"/>
      <c r="BL20" s="204"/>
      <c r="BM20" s="204"/>
      <c r="BN20" s="210"/>
      <c r="BO20" s="204"/>
      <c r="BP20" s="210"/>
      <c r="BQ20" s="204"/>
      <c r="BR20" s="204"/>
      <c r="BS20" s="204"/>
      <c r="BT20" s="210"/>
      <c r="BU20" s="204"/>
      <c r="BV20" s="210"/>
      <c r="BW20" s="204"/>
      <c r="BX20" s="204"/>
      <c r="BY20" s="204"/>
      <c r="BZ20" s="210"/>
      <c r="CA20" s="204"/>
      <c r="CB20" s="210"/>
      <c r="CC20" s="204"/>
      <c r="CD20" s="204"/>
      <c r="CE20" s="204"/>
      <c r="CF20" s="204"/>
    </row>
    <row r="21" spans="1:84" x14ac:dyDescent="0.5">
      <c r="A21" s="21">
        <v>19126454</v>
      </c>
      <c r="B21" s="22">
        <v>19121191</v>
      </c>
      <c r="C21" s="23" t="s">
        <v>3249</v>
      </c>
      <c r="D21" s="24" t="s">
        <v>1323</v>
      </c>
      <c r="E21" s="884">
        <v>43838</v>
      </c>
      <c r="F21" s="932" t="s">
        <v>3368</v>
      </c>
      <c r="G21" s="933" t="s">
        <v>2270</v>
      </c>
      <c r="H21" s="62">
        <v>44035</v>
      </c>
      <c r="I21" s="27">
        <v>63182</v>
      </c>
      <c r="J21" s="931" t="s">
        <v>869</v>
      </c>
      <c r="K21" s="957">
        <v>44035</v>
      </c>
      <c r="L21" s="22" t="s">
        <v>204</v>
      </c>
      <c r="M21" s="28" t="s">
        <v>3250</v>
      </c>
      <c r="N21" s="22" t="s">
        <v>51</v>
      </c>
      <c r="O21" s="29">
        <v>848400</v>
      </c>
      <c r="P21" s="29" t="s">
        <v>402</v>
      </c>
      <c r="Q21" s="29">
        <f>O21</f>
        <v>848400</v>
      </c>
      <c r="R21" s="61"/>
      <c r="S21" s="96"/>
      <c r="T21" s="97"/>
      <c r="U21" s="98"/>
      <c r="V21" s="99"/>
      <c r="W21" s="100"/>
      <c r="X21" s="99"/>
      <c r="Y21" s="99"/>
      <c r="Z21" s="100"/>
      <c r="AA21" s="101"/>
      <c r="AB21" s="40" t="s">
        <v>3943</v>
      </c>
      <c r="AC21" s="41">
        <v>254520</v>
      </c>
      <c r="AD21" s="96"/>
      <c r="AE21" s="63">
        <f>AC21+AD21</f>
        <v>254520</v>
      </c>
      <c r="AF21" s="53">
        <v>44012</v>
      </c>
      <c r="AG21" s="39" t="s">
        <v>869</v>
      </c>
      <c r="AH21" s="39"/>
      <c r="AI21" s="39"/>
      <c r="AJ21" s="1368" t="s">
        <v>3984</v>
      </c>
      <c r="AK21" s="1126">
        <v>1</v>
      </c>
      <c r="AL21" s="45" t="s">
        <v>3251</v>
      </c>
      <c r="AM21" s="46" t="s">
        <v>869</v>
      </c>
      <c r="AN21" s="46"/>
      <c r="AO21" s="47">
        <v>1</v>
      </c>
      <c r="AP21" s="48" t="s">
        <v>1882</v>
      </c>
      <c r="AQ21" s="1132"/>
      <c r="AR21" s="54"/>
      <c r="AS21" s="1132"/>
      <c r="AT21" s="1132"/>
      <c r="AU21" s="1132"/>
      <c r="AV21" s="54"/>
      <c r="AW21" s="1132"/>
      <c r="AX21" s="54"/>
      <c r="AY21" s="1132"/>
      <c r="AZ21" s="1132"/>
      <c r="BA21" s="1132"/>
      <c r="BB21" s="54"/>
      <c r="BC21" s="1132"/>
      <c r="BD21" s="54"/>
      <c r="BE21" s="1132"/>
      <c r="BF21" s="1132"/>
      <c r="BG21" s="1132"/>
      <c r="BH21" s="54"/>
      <c r="BI21" s="1132"/>
      <c r="BJ21" s="54"/>
      <c r="BK21" s="1132"/>
      <c r="BL21" s="1132"/>
      <c r="BM21" s="1132"/>
      <c r="BN21" s="54"/>
      <c r="BO21" s="1132"/>
      <c r="BP21" s="54"/>
      <c r="BQ21" s="1132"/>
      <c r="BR21" s="1132"/>
      <c r="BS21" s="1132"/>
      <c r="BT21" s="54"/>
      <c r="BU21" s="1132"/>
      <c r="BV21" s="54"/>
      <c r="BW21" s="1132"/>
      <c r="BX21" s="1132"/>
      <c r="BY21" s="1132"/>
      <c r="BZ21" s="54"/>
      <c r="CA21" s="1132"/>
      <c r="CB21" s="54"/>
      <c r="CC21" s="1132"/>
      <c r="CD21" s="1132"/>
      <c r="CE21" s="1132"/>
      <c r="CF21" s="1132"/>
    </row>
    <row r="22" spans="1:84" x14ac:dyDescent="0.5">
      <c r="A22" s="227">
        <v>19126453</v>
      </c>
      <c r="B22" s="22">
        <v>19121188</v>
      </c>
      <c r="C22" s="23" t="s">
        <v>3194</v>
      </c>
      <c r="D22" s="24" t="s">
        <v>1323</v>
      </c>
      <c r="E22" s="884">
        <v>43837</v>
      </c>
      <c r="F22" s="932" t="s">
        <v>3368</v>
      </c>
      <c r="G22" s="933" t="s">
        <v>1449</v>
      </c>
      <c r="H22" s="62">
        <v>43846</v>
      </c>
      <c r="I22" s="27">
        <v>63016</v>
      </c>
      <c r="J22" s="931" t="s">
        <v>869</v>
      </c>
      <c r="K22" s="957">
        <v>43848</v>
      </c>
      <c r="L22" s="22" t="s">
        <v>1221</v>
      </c>
      <c r="M22" s="28" t="s">
        <v>3252</v>
      </c>
      <c r="N22" s="22" t="s">
        <v>51</v>
      </c>
      <c r="O22" s="29">
        <v>204000</v>
      </c>
      <c r="P22" s="29">
        <f>O22*7/100</f>
        <v>14280</v>
      </c>
      <c r="Q22" s="29">
        <f>O22+P22</f>
        <v>218280</v>
      </c>
      <c r="R22" s="61"/>
      <c r="S22" s="96"/>
      <c r="T22" s="97"/>
      <c r="U22" s="98"/>
      <c r="V22" s="99"/>
      <c r="W22" s="100"/>
      <c r="X22" s="99"/>
      <c r="Y22" s="99"/>
      <c r="Z22" s="100"/>
      <c r="AA22" s="101"/>
      <c r="AB22" s="40">
        <v>20010018</v>
      </c>
      <c r="AC22" s="41">
        <v>204000</v>
      </c>
      <c r="AD22" s="63">
        <f t="shared" ref="AD22:AD28" si="4">AC22*7/100</f>
        <v>14280</v>
      </c>
      <c r="AE22" s="64">
        <f t="shared" ref="AE22:AE28" si="5">AC22+AD22</f>
        <v>218280</v>
      </c>
      <c r="AF22" s="53">
        <v>43902</v>
      </c>
      <c r="AG22" s="39" t="s">
        <v>869</v>
      </c>
      <c r="AH22" s="39"/>
      <c r="AI22" s="39"/>
      <c r="AJ22" s="21" t="s">
        <v>3701</v>
      </c>
      <c r="AK22" s="1126">
        <v>1</v>
      </c>
      <c r="AL22" s="45" t="s">
        <v>3253</v>
      </c>
      <c r="AM22" s="46"/>
      <c r="AN22" s="46" t="s">
        <v>869</v>
      </c>
      <c r="AO22" s="47">
        <v>1</v>
      </c>
      <c r="AP22" s="48" t="s">
        <v>633</v>
      </c>
      <c r="AQ22" s="1132"/>
      <c r="AR22" s="54"/>
      <c r="AS22" s="1132"/>
      <c r="AT22" s="1132"/>
      <c r="AU22" s="1132"/>
      <c r="AV22" s="54"/>
      <c r="AW22" s="1132"/>
      <c r="AX22" s="54"/>
      <c r="AY22" s="1132"/>
      <c r="AZ22" s="1132"/>
      <c r="BA22" s="1132"/>
      <c r="BB22" s="54"/>
      <c r="BC22" s="1132"/>
      <c r="BD22" s="54"/>
      <c r="BE22" s="1132"/>
      <c r="BF22" s="1132"/>
      <c r="BG22" s="1132"/>
      <c r="BH22" s="54"/>
      <c r="BI22" s="1132"/>
      <c r="BJ22" s="54"/>
      <c r="BK22" s="1132"/>
      <c r="BL22" s="1132"/>
      <c r="BM22" s="1132"/>
      <c r="BN22" s="54"/>
      <c r="BO22" s="1132"/>
      <c r="BP22" s="54"/>
      <c r="BQ22" s="1132"/>
      <c r="BR22" s="1132"/>
      <c r="BS22" s="1132"/>
      <c r="BT22" s="54"/>
      <c r="BU22" s="1132"/>
      <c r="BV22" s="54"/>
      <c r="BW22" s="1132"/>
      <c r="BX22" s="1132"/>
      <c r="BY22" s="1132"/>
      <c r="BZ22" s="54"/>
      <c r="CA22" s="1132"/>
      <c r="CB22" s="54"/>
      <c r="CC22" s="1132"/>
      <c r="CD22" s="1132"/>
      <c r="CE22" s="1132"/>
      <c r="CF22" s="1132"/>
    </row>
    <row r="23" spans="1:84" x14ac:dyDescent="0.5">
      <c r="A23" s="227">
        <v>19126452</v>
      </c>
      <c r="B23" s="22">
        <v>19121184</v>
      </c>
      <c r="C23" s="23" t="s">
        <v>3197</v>
      </c>
      <c r="D23" s="24" t="s">
        <v>1323</v>
      </c>
      <c r="E23" s="884">
        <v>43837</v>
      </c>
      <c r="F23" s="932" t="s">
        <v>3368</v>
      </c>
      <c r="G23" s="933" t="s">
        <v>1434</v>
      </c>
      <c r="H23" s="62">
        <v>43865</v>
      </c>
      <c r="I23" s="27">
        <v>63037</v>
      </c>
      <c r="J23" s="931" t="s">
        <v>869</v>
      </c>
      <c r="K23" s="957">
        <v>43867</v>
      </c>
      <c r="L23" s="22" t="s">
        <v>1221</v>
      </c>
      <c r="M23" s="28" t="s">
        <v>3254</v>
      </c>
      <c r="N23" s="22" t="s">
        <v>51</v>
      </c>
      <c r="O23" s="29">
        <v>63000</v>
      </c>
      <c r="P23" s="29">
        <f>O23*7/100</f>
        <v>4410</v>
      </c>
      <c r="Q23" s="29">
        <f>O23+P23</f>
        <v>67410</v>
      </c>
      <c r="R23" s="61"/>
      <c r="S23" s="96"/>
      <c r="T23" s="97"/>
      <c r="U23" s="98"/>
      <c r="V23" s="99"/>
      <c r="W23" s="100"/>
      <c r="X23" s="99"/>
      <c r="Y23" s="99"/>
      <c r="Z23" s="100"/>
      <c r="AA23" s="101"/>
      <c r="AB23" s="40">
        <v>20020027</v>
      </c>
      <c r="AC23" s="41">
        <v>63000</v>
      </c>
      <c r="AD23" s="52">
        <f t="shared" si="4"/>
        <v>4410</v>
      </c>
      <c r="AE23" s="52">
        <f t="shared" si="5"/>
        <v>67410</v>
      </c>
      <c r="AF23" s="53">
        <v>43916</v>
      </c>
      <c r="AG23" s="39" t="s">
        <v>869</v>
      </c>
      <c r="AH23" s="39"/>
      <c r="AI23" s="39"/>
      <c r="AJ23" s="21" t="s">
        <v>3695</v>
      </c>
      <c r="AK23" s="1126">
        <v>1</v>
      </c>
      <c r="AL23" s="45" t="s">
        <v>1341</v>
      </c>
      <c r="AM23" s="46"/>
      <c r="AN23" s="46" t="s">
        <v>869</v>
      </c>
      <c r="AO23" s="47">
        <v>1</v>
      </c>
      <c r="AP23" s="48" t="s">
        <v>633</v>
      </c>
      <c r="AQ23" s="1132"/>
      <c r="AR23" s="54"/>
      <c r="AS23" s="1132"/>
      <c r="AT23" s="1132"/>
      <c r="AU23" s="1132"/>
      <c r="AV23" s="54"/>
      <c r="AW23" s="1132"/>
      <c r="AX23" s="54"/>
      <c r="AY23" s="1132"/>
      <c r="AZ23" s="1132"/>
      <c r="BA23" s="1132"/>
      <c r="BB23" s="54"/>
      <c r="BC23" s="1132"/>
      <c r="BD23" s="54"/>
      <c r="BE23" s="1132"/>
      <c r="BF23" s="1132"/>
      <c r="BG23" s="1132"/>
      <c r="BH23" s="54"/>
      <c r="BI23" s="1132"/>
      <c r="BJ23" s="54"/>
      <c r="BK23" s="1132"/>
      <c r="BL23" s="1132"/>
      <c r="BM23" s="1132"/>
      <c r="BN23" s="54"/>
      <c r="BO23" s="1132"/>
      <c r="BP23" s="54"/>
      <c r="BQ23" s="1132"/>
      <c r="BR23" s="1132"/>
      <c r="BS23" s="1132"/>
      <c r="BT23" s="54"/>
      <c r="BU23" s="1132"/>
      <c r="BV23" s="54"/>
      <c r="BW23" s="1132"/>
      <c r="BX23" s="1132"/>
      <c r="BY23" s="1132"/>
      <c r="BZ23" s="54"/>
      <c r="CA23" s="1132"/>
      <c r="CB23" s="54"/>
      <c r="CC23" s="1132"/>
      <c r="CD23" s="1132"/>
      <c r="CE23" s="1132"/>
      <c r="CF23" s="1132"/>
    </row>
    <row r="24" spans="1:84" x14ac:dyDescent="0.5">
      <c r="A24" s="21">
        <v>19126451</v>
      </c>
      <c r="B24" s="22">
        <v>19121178</v>
      </c>
      <c r="C24" s="55"/>
      <c r="D24" s="56"/>
      <c r="E24" s="910"/>
      <c r="F24" s="57"/>
      <c r="G24" s="58"/>
      <c r="H24" s="59"/>
      <c r="I24" s="60"/>
      <c r="J24" s="269"/>
      <c r="K24" s="59"/>
      <c r="L24" s="22" t="s">
        <v>3255</v>
      </c>
      <c r="M24" s="28" t="s">
        <v>3256</v>
      </c>
      <c r="N24" s="22" t="s">
        <v>51</v>
      </c>
      <c r="O24" s="29">
        <v>10000</v>
      </c>
      <c r="P24" s="29">
        <f>O24*7/100</f>
        <v>700</v>
      </c>
      <c r="Q24" s="29">
        <f>O24+P24</f>
        <v>10700</v>
      </c>
      <c r="R24" s="61"/>
      <c r="S24" s="96"/>
      <c r="T24" s="97"/>
      <c r="U24" s="98"/>
      <c r="V24" s="99"/>
      <c r="W24" s="100"/>
      <c r="X24" s="99"/>
      <c r="Y24" s="99"/>
      <c r="Z24" s="100"/>
      <c r="AA24" s="101"/>
      <c r="AB24" s="40">
        <v>19120535</v>
      </c>
      <c r="AC24" s="41">
        <v>10000</v>
      </c>
      <c r="AD24" s="52">
        <f t="shared" si="4"/>
        <v>700</v>
      </c>
      <c r="AE24" s="52">
        <f t="shared" si="5"/>
        <v>10700</v>
      </c>
      <c r="AF24" s="53">
        <v>43854</v>
      </c>
      <c r="AG24" s="39"/>
      <c r="AH24" s="39"/>
      <c r="AI24" s="39" t="s">
        <v>869</v>
      </c>
      <c r="AJ24" s="21"/>
      <c r="AK24" s="1126">
        <v>1</v>
      </c>
      <c r="AL24" s="45" t="s">
        <v>3257</v>
      </c>
      <c r="AM24" s="46"/>
      <c r="AN24" s="46"/>
      <c r="AO24" s="47">
        <v>1</v>
      </c>
      <c r="AP24" s="48" t="s">
        <v>628</v>
      </c>
      <c r="AQ24" s="1126">
        <v>2</v>
      </c>
      <c r="AR24" s="40" t="s">
        <v>3258</v>
      </c>
      <c r="AS24" s="47"/>
      <c r="AT24" s="47"/>
      <c r="AU24" s="47">
        <v>1</v>
      </c>
      <c r="AV24" s="49" t="s">
        <v>628</v>
      </c>
      <c r="AW24" s="1126">
        <v>3</v>
      </c>
      <c r="AX24" s="40" t="s">
        <v>3259</v>
      </c>
      <c r="AY24" s="47"/>
      <c r="AZ24" s="47"/>
      <c r="BA24" s="47">
        <v>1</v>
      </c>
      <c r="BB24" s="49" t="s">
        <v>628</v>
      </c>
      <c r="BC24" s="1132"/>
      <c r="BD24" s="54"/>
      <c r="BE24" s="1132"/>
      <c r="BF24" s="1132"/>
      <c r="BG24" s="1132"/>
      <c r="BH24" s="54"/>
      <c r="BI24" s="1132"/>
      <c r="BJ24" s="54"/>
      <c r="BK24" s="1132"/>
      <c r="BL24" s="1132"/>
      <c r="BM24" s="1132"/>
      <c r="BN24" s="54"/>
      <c r="BO24" s="1132"/>
      <c r="BP24" s="54"/>
      <c r="BQ24" s="1132"/>
      <c r="BR24" s="1132"/>
      <c r="BS24" s="1132"/>
      <c r="BT24" s="54"/>
      <c r="BU24" s="1132"/>
      <c r="BV24" s="54"/>
      <c r="BW24" s="1132"/>
      <c r="BX24" s="1132"/>
      <c r="BY24" s="1132"/>
      <c r="BZ24" s="54"/>
      <c r="CA24" s="1132"/>
      <c r="CB24" s="54"/>
      <c r="CC24" s="1132"/>
      <c r="CD24" s="1132"/>
      <c r="CE24" s="1132"/>
      <c r="CF24" s="1132"/>
    </row>
    <row r="25" spans="1:84" x14ac:dyDescent="0.5">
      <c r="A25" s="227">
        <v>19126450</v>
      </c>
      <c r="B25" s="22">
        <v>19121177</v>
      </c>
      <c r="C25" s="23" t="s">
        <v>3198</v>
      </c>
      <c r="D25" s="24" t="s">
        <v>1323</v>
      </c>
      <c r="E25" s="884">
        <v>43819</v>
      </c>
      <c r="F25" s="932" t="s">
        <v>3368</v>
      </c>
      <c r="G25" s="933" t="s">
        <v>1445</v>
      </c>
      <c r="H25" s="62">
        <v>43854</v>
      </c>
      <c r="I25" s="27">
        <v>63021</v>
      </c>
      <c r="J25" s="931" t="s">
        <v>869</v>
      </c>
      <c r="K25" s="957">
        <v>43854</v>
      </c>
      <c r="L25" s="22" t="s">
        <v>20</v>
      </c>
      <c r="M25" s="28" t="s">
        <v>3260</v>
      </c>
      <c r="N25" s="22" t="s">
        <v>51</v>
      </c>
      <c r="O25" s="29">
        <v>87612</v>
      </c>
      <c r="P25" s="29">
        <f>O25*7/100</f>
        <v>6132.84</v>
      </c>
      <c r="Q25" s="29">
        <f>O25+P25</f>
        <v>93744.84</v>
      </c>
      <c r="R25" s="61"/>
      <c r="S25" s="96"/>
      <c r="T25" s="97"/>
      <c r="U25" s="98"/>
      <c r="V25" s="99"/>
      <c r="W25" s="100"/>
      <c r="X25" s="99"/>
      <c r="Y25" s="99"/>
      <c r="Z25" s="100"/>
      <c r="AA25" s="101"/>
      <c r="AB25" s="40">
        <v>20010019</v>
      </c>
      <c r="AC25" s="41">
        <v>87612</v>
      </c>
      <c r="AD25" s="63">
        <f t="shared" si="4"/>
        <v>6132.84</v>
      </c>
      <c r="AE25" s="64">
        <f t="shared" si="5"/>
        <v>93744.84</v>
      </c>
      <c r="AF25" s="53">
        <v>43891</v>
      </c>
      <c r="AG25" s="39" t="s">
        <v>869</v>
      </c>
      <c r="AH25" s="39"/>
      <c r="AI25" s="39"/>
      <c r="AJ25" s="21" t="s">
        <v>3798</v>
      </c>
      <c r="AK25" s="1126">
        <v>1</v>
      </c>
      <c r="AL25" s="45" t="s">
        <v>3261</v>
      </c>
      <c r="AM25" s="46"/>
      <c r="AN25" s="46" t="s">
        <v>869</v>
      </c>
      <c r="AO25" s="47">
        <v>2</v>
      </c>
      <c r="AP25" s="48" t="s">
        <v>633</v>
      </c>
      <c r="AQ25" s="1132"/>
      <c r="AR25" s="54"/>
      <c r="AS25" s="1132"/>
      <c r="AT25" s="1132"/>
      <c r="AU25" s="1132"/>
      <c r="AV25" s="54"/>
      <c r="AW25" s="1132"/>
      <c r="AX25" s="54"/>
      <c r="AY25" s="1132"/>
      <c r="AZ25" s="1132"/>
      <c r="BA25" s="1132"/>
      <c r="BB25" s="54"/>
      <c r="BC25" s="1132"/>
      <c r="BD25" s="54"/>
      <c r="BE25" s="1132"/>
      <c r="BF25" s="1132"/>
      <c r="BG25" s="1132"/>
      <c r="BH25" s="54"/>
      <c r="BI25" s="1132"/>
      <c r="BJ25" s="54"/>
      <c r="BK25" s="1132"/>
      <c r="BL25" s="1132"/>
      <c r="BM25" s="1132"/>
      <c r="BN25" s="54"/>
      <c r="BO25" s="1132"/>
      <c r="BP25" s="54"/>
      <c r="BQ25" s="1132"/>
      <c r="BR25" s="1132"/>
      <c r="BS25" s="1132"/>
      <c r="BT25" s="54"/>
      <c r="BU25" s="1132"/>
      <c r="BV25" s="54"/>
      <c r="BW25" s="1132"/>
      <c r="BX25" s="1132"/>
      <c r="BY25" s="1132"/>
      <c r="BZ25" s="54"/>
      <c r="CA25" s="1132"/>
      <c r="CB25" s="54"/>
      <c r="CC25" s="1132"/>
      <c r="CD25" s="1132"/>
      <c r="CE25" s="1132"/>
      <c r="CF25" s="1132"/>
    </row>
    <row r="26" spans="1:84" x14ac:dyDescent="0.5">
      <c r="A26" s="259">
        <v>19126449</v>
      </c>
      <c r="B26" s="104">
        <v>19121175</v>
      </c>
      <c r="C26" s="105" t="s">
        <v>3199</v>
      </c>
      <c r="D26" s="106" t="s">
        <v>1323</v>
      </c>
      <c r="E26" s="302">
        <v>43845</v>
      </c>
      <c r="F26" s="936" t="s">
        <v>3368</v>
      </c>
      <c r="G26" s="937" t="s">
        <v>1362</v>
      </c>
      <c r="H26" s="211">
        <v>43844</v>
      </c>
      <c r="I26" s="164">
        <v>63011</v>
      </c>
      <c r="J26" s="960" t="s">
        <v>869</v>
      </c>
      <c r="K26" s="965">
        <v>43846</v>
      </c>
      <c r="L26" s="104" t="s">
        <v>3210</v>
      </c>
      <c r="M26" s="110" t="s">
        <v>3262</v>
      </c>
      <c r="N26" s="104" t="s">
        <v>50</v>
      </c>
      <c r="O26" s="111">
        <v>402160</v>
      </c>
      <c r="P26" s="111">
        <f>O26*7/100</f>
        <v>28151.200000000001</v>
      </c>
      <c r="Q26" s="111">
        <f>O26+P26</f>
        <v>430311.2</v>
      </c>
      <c r="R26" s="311">
        <v>60000</v>
      </c>
      <c r="S26" s="113" t="s">
        <v>3410</v>
      </c>
      <c r="T26" s="114">
        <f>O26-R26</f>
        <v>342160</v>
      </c>
      <c r="U26" s="115"/>
      <c r="V26" s="116">
        <v>60000</v>
      </c>
      <c r="W26" s="117">
        <f>T26-V26</f>
        <v>282160</v>
      </c>
      <c r="X26" s="118">
        <v>0.22</v>
      </c>
      <c r="Y26" s="118">
        <f>W26*X26/100</f>
        <v>620.75199999999995</v>
      </c>
      <c r="Z26" s="119">
        <v>0.2</v>
      </c>
      <c r="AA26" s="120">
        <f>W26*Z26/100</f>
        <v>564.32000000000005</v>
      </c>
      <c r="AB26" s="229">
        <v>19120512</v>
      </c>
      <c r="AC26" s="230">
        <v>201080</v>
      </c>
      <c r="AD26" s="220">
        <f t="shared" si="4"/>
        <v>14075.6</v>
      </c>
      <c r="AE26" s="220">
        <f t="shared" si="5"/>
        <v>215155.6</v>
      </c>
      <c r="AF26" s="221">
        <v>43812</v>
      </c>
      <c r="AG26" s="121" t="s">
        <v>869</v>
      </c>
      <c r="AH26" s="121"/>
      <c r="AI26" s="121"/>
      <c r="AJ26" s="222" t="s">
        <v>3299</v>
      </c>
      <c r="AK26" s="128">
        <v>1</v>
      </c>
      <c r="AL26" s="129" t="s">
        <v>1316</v>
      </c>
      <c r="AM26" s="130"/>
      <c r="AN26" s="130"/>
      <c r="AO26" s="131">
        <v>4</v>
      </c>
      <c r="AP26" s="132" t="s">
        <v>634</v>
      </c>
      <c r="AQ26" s="128"/>
      <c r="AR26" s="133"/>
      <c r="AS26" s="128"/>
      <c r="AT26" s="128"/>
      <c r="AU26" s="128"/>
      <c r="AV26" s="133"/>
      <c r="AW26" s="128"/>
      <c r="AX26" s="133"/>
      <c r="AY26" s="128"/>
      <c r="AZ26" s="128"/>
      <c r="BA26" s="128"/>
      <c r="BB26" s="133"/>
      <c r="BC26" s="128"/>
      <c r="BD26" s="133"/>
      <c r="BE26" s="128"/>
      <c r="BF26" s="128"/>
      <c r="BG26" s="128"/>
      <c r="BH26" s="133"/>
      <c r="BI26" s="128"/>
      <c r="BJ26" s="133"/>
      <c r="BK26" s="128"/>
      <c r="BL26" s="128"/>
      <c r="BM26" s="128"/>
      <c r="BN26" s="133"/>
      <c r="BO26" s="128"/>
      <c r="BP26" s="133"/>
      <c r="BQ26" s="128"/>
      <c r="BR26" s="128"/>
      <c r="BS26" s="128"/>
      <c r="BT26" s="133"/>
      <c r="BU26" s="128"/>
      <c r="BV26" s="133"/>
      <c r="BW26" s="128"/>
      <c r="BX26" s="128"/>
      <c r="BY26" s="128"/>
      <c r="BZ26" s="133"/>
      <c r="CA26" s="128"/>
      <c r="CB26" s="133"/>
      <c r="CC26" s="128"/>
      <c r="CD26" s="128"/>
      <c r="CE26" s="128"/>
      <c r="CF26" s="128"/>
    </row>
    <row r="27" spans="1:84" x14ac:dyDescent="0.5">
      <c r="A27" s="262"/>
      <c r="B27" s="135"/>
      <c r="C27" s="136"/>
      <c r="D27" s="137"/>
      <c r="E27" s="906"/>
      <c r="F27" s="940"/>
      <c r="G27" s="941"/>
      <c r="H27" s="179">
        <v>43844</v>
      </c>
      <c r="I27" s="140">
        <v>63012</v>
      </c>
      <c r="J27" s="963"/>
      <c r="K27" s="964"/>
      <c r="L27" s="135"/>
      <c r="M27" s="141"/>
      <c r="N27" s="135"/>
      <c r="O27" s="142"/>
      <c r="P27" s="142"/>
      <c r="Q27" s="142"/>
      <c r="R27" s="143"/>
      <c r="S27" s="144"/>
      <c r="T27" s="145"/>
      <c r="U27" s="146"/>
      <c r="V27" s="1182" t="s">
        <v>3411</v>
      </c>
      <c r="W27" s="148"/>
      <c r="X27" s="149"/>
      <c r="Y27" s="149"/>
      <c r="Z27" s="150"/>
      <c r="AA27" s="151"/>
      <c r="AB27" s="292">
        <v>20010004</v>
      </c>
      <c r="AC27" s="293">
        <v>160864</v>
      </c>
      <c r="AD27" s="307">
        <f t="shared" si="4"/>
        <v>11260.48</v>
      </c>
      <c r="AE27" s="307">
        <f t="shared" si="5"/>
        <v>172124.48</v>
      </c>
      <c r="AF27" s="295">
        <v>43838</v>
      </c>
      <c r="AG27" s="296" t="s">
        <v>869</v>
      </c>
      <c r="AH27" s="296"/>
      <c r="AI27" s="296"/>
      <c r="AJ27" s="308" t="s">
        <v>3470</v>
      </c>
      <c r="AK27" s="158"/>
      <c r="AL27" s="159"/>
      <c r="AM27" s="160"/>
      <c r="AN27" s="160"/>
      <c r="AO27" s="161"/>
      <c r="AP27" s="162"/>
      <c r="AQ27" s="158"/>
      <c r="AR27" s="163"/>
      <c r="AS27" s="158"/>
      <c r="AT27" s="158"/>
      <c r="AU27" s="158"/>
      <c r="AV27" s="163"/>
      <c r="AW27" s="158"/>
      <c r="AX27" s="163"/>
      <c r="AY27" s="158"/>
      <c r="AZ27" s="158"/>
      <c r="BA27" s="158"/>
      <c r="BB27" s="163"/>
      <c r="BC27" s="158"/>
      <c r="BD27" s="163"/>
      <c r="BE27" s="158"/>
      <c r="BF27" s="158"/>
      <c r="BG27" s="158"/>
      <c r="BH27" s="163"/>
      <c r="BI27" s="158"/>
      <c r="BJ27" s="163"/>
      <c r="BK27" s="158"/>
      <c r="BL27" s="158"/>
      <c r="BM27" s="158"/>
      <c r="BN27" s="163"/>
      <c r="BO27" s="158"/>
      <c r="BP27" s="163"/>
      <c r="BQ27" s="158"/>
      <c r="BR27" s="158"/>
      <c r="BS27" s="158"/>
      <c r="BT27" s="163"/>
      <c r="BU27" s="158"/>
      <c r="BV27" s="163"/>
      <c r="BW27" s="158"/>
      <c r="BX27" s="158"/>
      <c r="BY27" s="158"/>
      <c r="BZ27" s="163"/>
      <c r="CA27" s="158"/>
      <c r="CB27" s="163"/>
      <c r="CC27" s="158"/>
      <c r="CD27" s="158"/>
      <c r="CE27" s="158"/>
      <c r="CF27" s="158"/>
    </row>
    <row r="28" spans="1:84" x14ac:dyDescent="0.5">
      <c r="A28" s="262"/>
      <c r="B28" s="135"/>
      <c r="C28" s="136"/>
      <c r="D28" s="137"/>
      <c r="E28" s="906"/>
      <c r="F28" s="940"/>
      <c r="G28" s="941"/>
      <c r="H28" s="135"/>
      <c r="I28" s="140"/>
      <c r="J28" s="963"/>
      <c r="K28" s="964"/>
      <c r="L28" s="135"/>
      <c r="M28" s="141"/>
      <c r="N28" s="135"/>
      <c r="O28" s="142"/>
      <c r="P28" s="142"/>
      <c r="Q28" s="142"/>
      <c r="R28" s="143"/>
      <c r="S28" s="144"/>
      <c r="T28" s="145"/>
      <c r="U28" s="146"/>
      <c r="V28" s="1182" t="s">
        <v>3412</v>
      </c>
      <c r="W28" s="148"/>
      <c r="X28" s="149"/>
      <c r="Y28" s="149"/>
      <c r="Z28" s="150"/>
      <c r="AA28" s="151"/>
      <c r="AB28" s="154">
        <v>20010009</v>
      </c>
      <c r="AC28" s="155">
        <v>40216</v>
      </c>
      <c r="AD28" s="156">
        <f t="shared" si="4"/>
        <v>2815.12</v>
      </c>
      <c r="AE28" s="156">
        <f t="shared" si="5"/>
        <v>43031.12</v>
      </c>
      <c r="AF28" s="157">
        <v>43844</v>
      </c>
      <c r="AG28" s="152" t="s">
        <v>869</v>
      </c>
      <c r="AH28" s="152"/>
      <c r="AI28" s="152"/>
      <c r="AJ28" s="134" t="s">
        <v>3469</v>
      </c>
      <c r="AK28" s="158"/>
      <c r="AL28" s="159"/>
      <c r="AM28" s="160"/>
      <c r="AN28" s="160"/>
      <c r="AO28" s="161"/>
      <c r="AP28" s="162"/>
      <c r="AQ28" s="158"/>
      <c r="AR28" s="163"/>
      <c r="AS28" s="158"/>
      <c r="AT28" s="158"/>
      <c r="AU28" s="158"/>
      <c r="AV28" s="163"/>
      <c r="AW28" s="158"/>
      <c r="AX28" s="163"/>
      <c r="AY28" s="158"/>
      <c r="AZ28" s="158"/>
      <c r="BA28" s="158"/>
      <c r="BB28" s="163"/>
      <c r="BC28" s="158"/>
      <c r="BD28" s="163"/>
      <c r="BE28" s="158"/>
      <c r="BF28" s="158"/>
      <c r="BG28" s="158"/>
      <c r="BH28" s="163"/>
      <c r="BI28" s="158"/>
      <c r="BJ28" s="163"/>
      <c r="BK28" s="158"/>
      <c r="BL28" s="158"/>
      <c r="BM28" s="158"/>
      <c r="BN28" s="163"/>
      <c r="BO28" s="158"/>
      <c r="BP28" s="163"/>
      <c r="BQ28" s="158"/>
      <c r="BR28" s="158"/>
      <c r="BS28" s="158"/>
      <c r="BT28" s="163"/>
      <c r="BU28" s="158"/>
      <c r="BV28" s="163"/>
      <c r="BW28" s="158"/>
      <c r="BX28" s="158"/>
      <c r="BY28" s="158"/>
      <c r="BZ28" s="163"/>
      <c r="CA28" s="158"/>
      <c r="CB28" s="163"/>
      <c r="CC28" s="158"/>
      <c r="CD28" s="158"/>
      <c r="CE28" s="158"/>
      <c r="CF28" s="158"/>
    </row>
    <row r="29" spans="1:84" x14ac:dyDescent="0.5">
      <c r="A29" s="259" t="s">
        <v>3279</v>
      </c>
      <c r="B29" s="104">
        <v>19121176</v>
      </c>
      <c r="C29" s="105" t="s">
        <v>3202</v>
      </c>
      <c r="D29" s="106" t="s">
        <v>1323</v>
      </c>
      <c r="E29" s="302">
        <v>43819</v>
      </c>
      <c r="F29" s="936" t="s">
        <v>1324</v>
      </c>
      <c r="G29" s="937" t="s">
        <v>3245</v>
      </c>
      <c r="H29" s="122">
        <v>43819</v>
      </c>
      <c r="I29" s="109">
        <v>19408</v>
      </c>
      <c r="J29" s="960" t="s">
        <v>869</v>
      </c>
      <c r="K29" s="965">
        <v>43819</v>
      </c>
      <c r="L29" s="104" t="s">
        <v>260</v>
      </c>
      <c r="M29" s="110" t="s">
        <v>3280</v>
      </c>
      <c r="N29" s="104" t="s">
        <v>52</v>
      </c>
      <c r="O29" s="111">
        <v>20970</v>
      </c>
      <c r="P29" s="111" t="s">
        <v>402</v>
      </c>
      <c r="Q29" s="111">
        <f>O29</f>
        <v>20970</v>
      </c>
      <c r="R29" s="212"/>
      <c r="S29" s="165"/>
      <c r="T29" s="166"/>
      <c r="U29" s="167"/>
      <c r="V29" s="168"/>
      <c r="W29" s="117">
        <f>O29</f>
        <v>20970</v>
      </c>
      <c r="X29" s="118">
        <v>0.37</v>
      </c>
      <c r="Y29" s="118">
        <f>W29*X29/100</f>
        <v>77.588999999999999</v>
      </c>
      <c r="Z29" s="119">
        <v>0.2</v>
      </c>
      <c r="AA29" s="120">
        <f>W29*Z29/100</f>
        <v>41.94</v>
      </c>
      <c r="AB29" s="123"/>
      <c r="AC29" s="124"/>
      <c r="AD29" s="125"/>
      <c r="AE29" s="125"/>
      <c r="AF29" s="126"/>
      <c r="AG29" s="127" t="s">
        <v>869</v>
      </c>
      <c r="AH29" s="127"/>
      <c r="AI29" s="127"/>
      <c r="AJ29" s="103" t="s">
        <v>3382</v>
      </c>
      <c r="AK29" s="128">
        <v>1</v>
      </c>
      <c r="AL29" s="129" t="s">
        <v>797</v>
      </c>
      <c r="AM29" s="130"/>
      <c r="AN29" s="130" t="s">
        <v>869</v>
      </c>
      <c r="AO29" s="131">
        <v>1</v>
      </c>
      <c r="AP29" s="132" t="s">
        <v>634</v>
      </c>
      <c r="AQ29" s="128"/>
      <c r="AR29" s="133"/>
      <c r="AS29" s="128"/>
      <c r="AT29" s="128"/>
      <c r="AU29" s="128"/>
      <c r="AV29" s="133"/>
      <c r="AW29" s="128"/>
      <c r="AX29" s="133"/>
      <c r="AY29" s="128"/>
      <c r="AZ29" s="128"/>
      <c r="BA29" s="128"/>
      <c r="BB29" s="133"/>
      <c r="BC29" s="128"/>
      <c r="BD29" s="133"/>
      <c r="BE29" s="128"/>
      <c r="BF29" s="128"/>
      <c r="BG29" s="128"/>
      <c r="BH29" s="133"/>
      <c r="BI29" s="128"/>
      <c r="BJ29" s="133"/>
      <c r="BK29" s="128"/>
      <c r="BL29" s="128"/>
      <c r="BM29" s="128"/>
      <c r="BN29" s="133"/>
      <c r="BO29" s="128"/>
      <c r="BP29" s="133"/>
      <c r="BQ29" s="128"/>
      <c r="BR29" s="128"/>
      <c r="BS29" s="128"/>
      <c r="BT29" s="133"/>
      <c r="BU29" s="128"/>
      <c r="BV29" s="133"/>
      <c r="BW29" s="128"/>
      <c r="BX29" s="128"/>
      <c r="BY29" s="128"/>
      <c r="BZ29" s="133"/>
      <c r="CA29" s="128"/>
      <c r="CB29" s="133"/>
      <c r="CC29" s="128"/>
      <c r="CD29" s="128"/>
      <c r="CE29" s="128"/>
      <c r="CF29" s="128"/>
    </row>
    <row r="30" spans="1:84" x14ac:dyDescent="0.5">
      <c r="A30" s="259">
        <v>19126448</v>
      </c>
      <c r="B30" s="104" t="s">
        <v>3192</v>
      </c>
      <c r="C30" s="105" t="s">
        <v>3193</v>
      </c>
      <c r="D30" s="106" t="s">
        <v>1323</v>
      </c>
      <c r="E30" s="302">
        <v>43817</v>
      </c>
      <c r="F30" s="936" t="s">
        <v>1324</v>
      </c>
      <c r="G30" s="937" t="s">
        <v>3194</v>
      </c>
      <c r="H30" s="122">
        <v>43816</v>
      </c>
      <c r="I30" s="109">
        <v>19406</v>
      </c>
      <c r="J30" s="960" t="s">
        <v>869</v>
      </c>
      <c r="K30" s="965">
        <v>43817</v>
      </c>
      <c r="L30" s="104" t="s">
        <v>3195</v>
      </c>
      <c r="M30" s="110" t="s">
        <v>3196</v>
      </c>
      <c r="N30" s="104" t="s">
        <v>52</v>
      </c>
      <c r="O30" s="111">
        <v>28000</v>
      </c>
      <c r="P30" s="111">
        <f>O30*7/100</f>
        <v>1960</v>
      </c>
      <c r="Q30" s="111">
        <f>O30+P30</f>
        <v>29960</v>
      </c>
      <c r="R30" s="311">
        <v>7000</v>
      </c>
      <c r="S30" s="113"/>
      <c r="T30" s="114"/>
      <c r="U30" s="115"/>
      <c r="V30" s="116"/>
      <c r="W30" s="117"/>
      <c r="X30" s="118"/>
      <c r="Y30" s="118"/>
      <c r="Z30" s="119"/>
      <c r="AA30" s="120"/>
      <c r="AB30" s="229">
        <v>19120508</v>
      </c>
      <c r="AC30" s="230">
        <v>8400</v>
      </c>
      <c r="AD30" s="220">
        <f>AC30*7/100</f>
        <v>588</v>
      </c>
      <c r="AE30" s="220">
        <f>AC30+AD30</f>
        <v>8988</v>
      </c>
      <c r="AF30" s="221">
        <v>43812</v>
      </c>
      <c r="AG30" s="121" t="s">
        <v>869</v>
      </c>
      <c r="AH30" s="121"/>
      <c r="AI30" s="121"/>
      <c r="AJ30" s="222" t="s">
        <v>3297</v>
      </c>
      <c r="AK30" s="128">
        <v>1</v>
      </c>
      <c r="AL30" s="129" t="s">
        <v>890</v>
      </c>
      <c r="AM30" s="130"/>
      <c r="AN30" s="130" t="s">
        <v>869</v>
      </c>
      <c r="AO30" s="131">
        <v>2</v>
      </c>
      <c r="AP30" s="132" t="s">
        <v>634</v>
      </c>
      <c r="AQ30" s="128"/>
      <c r="AR30" s="133"/>
      <c r="AS30" s="128"/>
      <c r="AT30" s="128"/>
      <c r="AU30" s="128"/>
      <c r="AV30" s="133"/>
      <c r="AW30" s="128"/>
      <c r="AX30" s="133"/>
      <c r="AY30" s="128"/>
      <c r="AZ30" s="128"/>
      <c r="BA30" s="128"/>
      <c r="BB30" s="133"/>
      <c r="BC30" s="128"/>
      <c r="BD30" s="133"/>
      <c r="BE30" s="128"/>
      <c r="BF30" s="128"/>
      <c r="BG30" s="128"/>
      <c r="BH30" s="133"/>
      <c r="BI30" s="128"/>
      <c r="BJ30" s="133"/>
      <c r="BK30" s="128"/>
      <c r="BL30" s="128"/>
      <c r="BM30" s="128"/>
      <c r="BN30" s="133"/>
      <c r="BO30" s="128"/>
      <c r="BP30" s="133"/>
      <c r="BQ30" s="128"/>
      <c r="BR30" s="128"/>
      <c r="BS30" s="128"/>
      <c r="BT30" s="133"/>
      <c r="BU30" s="128"/>
      <c r="BV30" s="133"/>
      <c r="BW30" s="128"/>
      <c r="BX30" s="128"/>
      <c r="BY30" s="128"/>
      <c r="BZ30" s="133"/>
      <c r="CA30" s="128"/>
      <c r="CB30" s="133"/>
      <c r="CC30" s="128"/>
      <c r="CD30" s="128"/>
      <c r="CE30" s="128"/>
      <c r="CF30" s="128"/>
    </row>
    <row r="31" spans="1:84" x14ac:dyDescent="0.5">
      <c r="A31" s="268"/>
      <c r="B31" s="181"/>
      <c r="C31" s="182"/>
      <c r="D31" s="183"/>
      <c r="E31" s="749"/>
      <c r="F31" s="938"/>
      <c r="G31" s="939"/>
      <c r="H31" s="181"/>
      <c r="I31" s="187"/>
      <c r="J31" s="961"/>
      <c r="K31" s="966"/>
      <c r="L31" s="181"/>
      <c r="M31" s="188"/>
      <c r="N31" s="181"/>
      <c r="O31" s="189"/>
      <c r="P31" s="189"/>
      <c r="Q31" s="189"/>
      <c r="R31" s="190"/>
      <c r="S31" s="215"/>
      <c r="T31" s="216"/>
      <c r="U31" s="217"/>
      <c r="V31" s="218"/>
      <c r="W31" s="195"/>
      <c r="X31" s="196"/>
      <c r="Y31" s="196"/>
      <c r="Z31" s="197"/>
      <c r="AA31" s="198"/>
      <c r="AB31" s="200">
        <v>19120509</v>
      </c>
      <c r="AC31" s="201">
        <v>19600</v>
      </c>
      <c r="AD31" s="202">
        <f>AC31*7/100</f>
        <v>1372</v>
      </c>
      <c r="AE31" s="202">
        <f>AC31+AD31</f>
        <v>20972</v>
      </c>
      <c r="AF31" s="203">
        <v>43812</v>
      </c>
      <c r="AG31" s="199" t="s">
        <v>869</v>
      </c>
      <c r="AH31" s="199"/>
      <c r="AI31" s="199"/>
      <c r="AJ31" s="180" t="s">
        <v>3298</v>
      </c>
      <c r="AK31" s="204"/>
      <c r="AL31" s="205"/>
      <c r="AM31" s="206"/>
      <c r="AN31" s="206"/>
      <c r="AO31" s="207"/>
      <c r="AP31" s="208"/>
      <c r="AQ31" s="204"/>
      <c r="AR31" s="210"/>
      <c r="AS31" s="204"/>
      <c r="AT31" s="204"/>
      <c r="AU31" s="204"/>
      <c r="AV31" s="210"/>
      <c r="AW31" s="204"/>
      <c r="AX31" s="210"/>
      <c r="AY31" s="204"/>
      <c r="AZ31" s="204"/>
      <c r="BA31" s="204"/>
      <c r="BB31" s="210"/>
      <c r="BC31" s="204"/>
      <c r="BD31" s="210"/>
      <c r="BE31" s="204"/>
      <c r="BF31" s="204"/>
      <c r="BG31" s="204"/>
      <c r="BH31" s="210"/>
      <c r="BI31" s="204"/>
      <c r="BJ31" s="210"/>
      <c r="BK31" s="204"/>
      <c r="BL31" s="204"/>
      <c r="BM31" s="204"/>
      <c r="BN31" s="210"/>
      <c r="BO31" s="204"/>
      <c r="BP31" s="210"/>
      <c r="BQ31" s="204"/>
      <c r="BR31" s="204"/>
      <c r="BS31" s="204"/>
      <c r="BT31" s="210"/>
      <c r="BU31" s="204"/>
      <c r="BV31" s="210"/>
      <c r="BW31" s="204"/>
      <c r="BX31" s="204"/>
      <c r="BY31" s="204"/>
      <c r="BZ31" s="210"/>
      <c r="CA31" s="204"/>
      <c r="CB31" s="210"/>
      <c r="CC31" s="204"/>
      <c r="CD31" s="204"/>
      <c r="CE31" s="204"/>
      <c r="CF31" s="204"/>
    </row>
    <row r="32" spans="1:84" x14ac:dyDescent="0.5">
      <c r="A32" s="227">
        <v>19126447</v>
      </c>
      <c r="B32" s="22">
        <v>19121167</v>
      </c>
      <c r="C32" s="23" t="s">
        <v>3203</v>
      </c>
      <c r="D32" s="24" t="s">
        <v>1323</v>
      </c>
      <c r="E32" s="884">
        <v>43807</v>
      </c>
      <c r="F32" s="57"/>
      <c r="G32" s="58"/>
      <c r="H32" s="59"/>
      <c r="I32" s="60"/>
      <c r="J32" s="269"/>
      <c r="K32" s="59"/>
      <c r="L32" s="22" t="s">
        <v>9</v>
      </c>
      <c r="M32" s="28" t="s">
        <v>3263</v>
      </c>
      <c r="N32" s="22" t="s">
        <v>50</v>
      </c>
      <c r="O32" s="29">
        <v>7000</v>
      </c>
      <c r="P32" s="29">
        <f t="shared" ref="P32:P40" si="6">O32*7/100</f>
        <v>490</v>
      </c>
      <c r="Q32" s="29">
        <f t="shared" ref="Q32:Q40" si="7">O32+P32</f>
        <v>7490</v>
      </c>
      <c r="R32" s="30"/>
      <c r="S32" s="31"/>
      <c r="T32" s="32"/>
      <c r="U32" s="33"/>
      <c r="V32" s="34"/>
      <c r="W32" s="35"/>
      <c r="X32" s="36"/>
      <c r="Y32" s="36"/>
      <c r="Z32" s="37"/>
      <c r="AA32" s="38"/>
      <c r="AB32" s="40">
        <v>20020043</v>
      </c>
      <c r="AC32" s="41">
        <v>7000</v>
      </c>
      <c r="AD32" s="63">
        <f>AC32*7/100</f>
        <v>490</v>
      </c>
      <c r="AE32" s="63">
        <f>AC32+AD32</f>
        <v>7490</v>
      </c>
      <c r="AF32" s="53">
        <v>43912</v>
      </c>
      <c r="AG32" s="39" t="s">
        <v>869</v>
      </c>
      <c r="AH32" s="39"/>
      <c r="AI32" s="39"/>
      <c r="AJ32" s="21" t="s">
        <v>4041</v>
      </c>
      <c r="AK32" s="1126">
        <v>1</v>
      </c>
      <c r="AL32" s="45" t="s">
        <v>3264</v>
      </c>
      <c r="AM32" s="46"/>
      <c r="AN32" s="46"/>
      <c r="AO32" s="47">
        <v>2</v>
      </c>
      <c r="AP32" s="48" t="s">
        <v>628</v>
      </c>
      <c r="AQ32" s="1132"/>
      <c r="AR32" s="54"/>
      <c r="AS32" s="1132"/>
      <c r="AT32" s="1132"/>
      <c r="AU32" s="1132"/>
      <c r="AV32" s="54"/>
      <c r="AW32" s="1132"/>
      <c r="AX32" s="54"/>
      <c r="AY32" s="1132"/>
      <c r="AZ32" s="1132"/>
      <c r="BA32" s="1132"/>
      <c r="BB32" s="54"/>
      <c r="BC32" s="1132"/>
      <c r="BD32" s="54"/>
      <c r="BE32" s="1132"/>
      <c r="BF32" s="1132"/>
      <c r="BG32" s="1132"/>
      <c r="BH32" s="54"/>
      <c r="BI32" s="1132"/>
      <c r="BJ32" s="54"/>
      <c r="BK32" s="1132"/>
      <c r="BL32" s="1132"/>
      <c r="BM32" s="1132"/>
      <c r="BN32" s="54"/>
      <c r="BO32" s="1132"/>
      <c r="BP32" s="54"/>
      <c r="BQ32" s="1132"/>
      <c r="BR32" s="1132"/>
      <c r="BS32" s="1132"/>
      <c r="BT32" s="54"/>
      <c r="BU32" s="1132"/>
      <c r="BV32" s="54"/>
      <c r="BW32" s="1132"/>
      <c r="BX32" s="1132"/>
      <c r="BY32" s="1132"/>
      <c r="BZ32" s="54"/>
      <c r="CA32" s="1132"/>
      <c r="CB32" s="54"/>
      <c r="CC32" s="1132"/>
      <c r="CD32" s="1132"/>
      <c r="CE32" s="1132"/>
      <c r="CF32" s="1132"/>
    </row>
    <row r="33" spans="1:84" x14ac:dyDescent="0.5">
      <c r="A33" s="227">
        <v>19126446</v>
      </c>
      <c r="B33" s="22">
        <v>19121160</v>
      </c>
      <c r="C33" s="55"/>
      <c r="D33" s="56"/>
      <c r="E33" s="910"/>
      <c r="F33" s="57"/>
      <c r="G33" s="58"/>
      <c r="H33" s="59"/>
      <c r="I33" s="60"/>
      <c r="J33" s="269"/>
      <c r="K33" s="59"/>
      <c r="L33" s="22" t="s">
        <v>3265</v>
      </c>
      <c r="M33" s="28" t="s">
        <v>349</v>
      </c>
      <c r="N33" s="22" t="s">
        <v>51</v>
      </c>
      <c r="O33" s="29">
        <v>36500</v>
      </c>
      <c r="P33" s="29">
        <f t="shared" si="6"/>
        <v>2555</v>
      </c>
      <c r="Q33" s="29">
        <f t="shared" si="7"/>
        <v>39055</v>
      </c>
      <c r="R33" s="61"/>
      <c r="S33" s="96"/>
      <c r="T33" s="97"/>
      <c r="U33" s="98"/>
      <c r="V33" s="99"/>
      <c r="W33" s="100"/>
      <c r="X33" s="99"/>
      <c r="Y33" s="99"/>
      <c r="Z33" s="100"/>
      <c r="AA33" s="101"/>
      <c r="AB33" s="40">
        <v>20010007</v>
      </c>
      <c r="AC33" s="41">
        <v>36500</v>
      </c>
      <c r="AD33" s="52">
        <f t="shared" ref="AD33:AD40" si="8">AC33*7/100</f>
        <v>2555</v>
      </c>
      <c r="AE33" s="52">
        <f t="shared" ref="AE33:AE40" si="9">AC33+AD33</f>
        <v>39055</v>
      </c>
      <c r="AF33" s="53">
        <v>43869</v>
      </c>
      <c r="AG33" s="39" t="s">
        <v>869</v>
      </c>
      <c r="AH33" s="39"/>
      <c r="AI33" s="39"/>
      <c r="AJ33" s="21" t="s">
        <v>3705</v>
      </c>
      <c r="AK33" s="1126">
        <v>1</v>
      </c>
      <c r="AL33" s="45" t="s">
        <v>3266</v>
      </c>
      <c r="AM33" s="46"/>
      <c r="AN33" s="46"/>
      <c r="AO33" s="47">
        <v>1</v>
      </c>
      <c r="AP33" s="48" t="s">
        <v>628</v>
      </c>
      <c r="AQ33" s="1132"/>
      <c r="AR33" s="54"/>
      <c r="AS33" s="1132"/>
      <c r="AT33" s="1132"/>
      <c r="AU33" s="1132"/>
      <c r="AV33" s="54"/>
      <c r="AW33" s="1132"/>
      <c r="AX33" s="54"/>
      <c r="AY33" s="1132"/>
      <c r="AZ33" s="1132"/>
      <c r="BA33" s="1132"/>
      <c r="BB33" s="54"/>
      <c r="BC33" s="1132"/>
      <c r="BD33" s="54"/>
      <c r="BE33" s="1132"/>
      <c r="BF33" s="1132"/>
      <c r="BG33" s="1132"/>
      <c r="BH33" s="54"/>
      <c r="BI33" s="1132"/>
      <c r="BJ33" s="54"/>
      <c r="BK33" s="1132"/>
      <c r="BL33" s="1132"/>
      <c r="BM33" s="1132"/>
      <c r="BN33" s="54"/>
      <c r="BO33" s="1132"/>
      <c r="BP33" s="54"/>
      <c r="BQ33" s="1132"/>
      <c r="BR33" s="1132"/>
      <c r="BS33" s="1132"/>
      <c r="BT33" s="54"/>
      <c r="BU33" s="1132"/>
      <c r="BV33" s="54"/>
      <c r="BW33" s="1132"/>
      <c r="BX33" s="1132"/>
      <c r="BY33" s="1132"/>
      <c r="BZ33" s="54"/>
      <c r="CA33" s="1132"/>
      <c r="CB33" s="54"/>
      <c r="CC33" s="1132"/>
      <c r="CD33" s="1132"/>
      <c r="CE33" s="1132"/>
      <c r="CF33" s="1132"/>
    </row>
    <row r="34" spans="1:84" x14ac:dyDescent="0.5">
      <c r="A34" s="227">
        <v>19126445</v>
      </c>
      <c r="B34" s="22">
        <v>19121159</v>
      </c>
      <c r="C34" s="55"/>
      <c r="D34" s="56"/>
      <c r="E34" s="910"/>
      <c r="F34" s="57"/>
      <c r="G34" s="58"/>
      <c r="H34" s="59"/>
      <c r="I34" s="60"/>
      <c r="J34" s="269"/>
      <c r="K34" s="59"/>
      <c r="L34" s="22" t="s">
        <v>3265</v>
      </c>
      <c r="M34" s="28" t="s">
        <v>3267</v>
      </c>
      <c r="N34" s="22" t="s">
        <v>51</v>
      </c>
      <c r="O34" s="29">
        <v>22000</v>
      </c>
      <c r="P34" s="29">
        <f t="shared" si="6"/>
        <v>1540</v>
      </c>
      <c r="Q34" s="29">
        <f t="shared" si="7"/>
        <v>23540</v>
      </c>
      <c r="R34" s="61"/>
      <c r="S34" s="96"/>
      <c r="T34" s="97"/>
      <c r="U34" s="98"/>
      <c r="V34" s="99"/>
      <c r="W34" s="100"/>
      <c r="X34" s="99"/>
      <c r="Y34" s="99"/>
      <c r="Z34" s="100"/>
      <c r="AA34" s="101"/>
      <c r="AB34" s="40">
        <v>20010006</v>
      </c>
      <c r="AC34" s="41">
        <v>22000</v>
      </c>
      <c r="AD34" s="52">
        <f t="shared" si="8"/>
        <v>1540</v>
      </c>
      <c r="AE34" s="52">
        <f t="shared" si="9"/>
        <v>23540</v>
      </c>
      <c r="AF34" s="53">
        <v>43869</v>
      </c>
      <c r="AG34" s="39" t="s">
        <v>869</v>
      </c>
      <c r="AH34" s="39"/>
      <c r="AI34" s="39"/>
      <c r="AJ34" s="21" t="s">
        <v>3705</v>
      </c>
      <c r="AK34" s="1126">
        <v>1</v>
      </c>
      <c r="AL34" s="45" t="s">
        <v>3268</v>
      </c>
      <c r="AM34" s="46"/>
      <c r="AN34" s="46"/>
      <c r="AO34" s="47">
        <v>1</v>
      </c>
      <c r="AP34" s="48" t="s">
        <v>628</v>
      </c>
      <c r="AQ34" s="1132"/>
      <c r="AR34" s="54"/>
      <c r="AS34" s="1132"/>
      <c r="AT34" s="1132"/>
      <c r="AU34" s="1132"/>
      <c r="AV34" s="54"/>
      <c r="AW34" s="1132"/>
      <c r="AX34" s="54"/>
      <c r="AY34" s="1132"/>
      <c r="AZ34" s="1132"/>
      <c r="BA34" s="1132"/>
      <c r="BB34" s="54"/>
      <c r="BC34" s="1132"/>
      <c r="BD34" s="54"/>
      <c r="BE34" s="1132"/>
      <c r="BF34" s="1132"/>
      <c r="BG34" s="1132"/>
      <c r="BH34" s="54"/>
      <c r="BI34" s="1132"/>
      <c r="BJ34" s="54"/>
      <c r="BK34" s="1132"/>
      <c r="BL34" s="1132"/>
      <c r="BM34" s="1132"/>
      <c r="BN34" s="54"/>
      <c r="BO34" s="1132"/>
      <c r="BP34" s="54"/>
      <c r="BQ34" s="1132"/>
      <c r="BR34" s="1132"/>
      <c r="BS34" s="1132"/>
      <c r="BT34" s="54"/>
      <c r="BU34" s="1132"/>
      <c r="BV34" s="54"/>
      <c r="BW34" s="1132"/>
      <c r="BX34" s="1132"/>
      <c r="BY34" s="1132"/>
      <c r="BZ34" s="54"/>
      <c r="CA34" s="1132"/>
      <c r="CB34" s="54"/>
      <c r="CC34" s="1132"/>
      <c r="CD34" s="1132"/>
      <c r="CE34" s="1132"/>
      <c r="CF34" s="1132"/>
    </row>
    <row r="35" spans="1:84" x14ac:dyDescent="0.5">
      <c r="A35" s="227">
        <v>19126444</v>
      </c>
      <c r="B35" s="22">
        <v>19121158</v>
      </c>
      <c r="C35" s="55"/>
      <c r="D35" s="56"/>
      <c r="E35" s="910"/>
      <c r="F35" s="57"/>
      <c r="G35" s="58"/>
      <c r="H35" s="59"/>
      <c r="I35" s="60"/>
      <c r="J35" s="269"/>
      <c r="K35" s="59"/>
      <c r="L35" s="22" t="s">
        <v>3265</v>
      </c>
      <c r="M35" s="28" t="s">
        <v>3269</v>
      </c>
      <c r="N35" s="22" t="s">
        <v>51</v>
      </c>
      <c r="O35" s="29">
        <v>41500</v>
      </c>
      <c r="P35" s="29">
        <f t="shared" si="6"/>
        <v>2905</v>
      </c>
      <c r="Q35" s="29">
        <f t="shared" si="7"/>
        <v>44405</v>
      </c>
      <c r="R35" s="61"/>
      <c r="S35" s="96"/>
      <c r="T35" s="97"/>
      <c r="U35" s="98"/>
      <c r="V35" s="99"/>
      <c r="W35" s="100"/>
      <c r="X35" s="99"/>
      <c r="Y35" s="99"/>
      <c r="Z35" s="100"/>
      <c r="AA35" s="101"/>
      <c r="AB35" s="40">
        <v>20010008</v>
      </c>
      <c r="AC35" s="41">
        <v>41500</v>
      </c>
      <c r="AD35" s="63">
        <f t="shared" si="8"/>
        <v>2905</v>
      </c>
      <c r="AE35" s="63">
        <f t="shared" si="9"/>
        <v>44405</v>
      </c>
      <c r="AF35" s="53">
        <v>43869</v>
      </c>
      <c r="AG35" s="39" t="s">
        <v>869</v>
      </c>
      <c r="AH35" s="39"/>
      <c r="AI35" s="39"/>
      <c r="AJ35" s="21" t="s">
        <v>3705</v>
      </c>
      <c r="AK35" s="1126">
        <v>1</v>
      </c>
      <c r="AL35" s="45" t="s">
        <v>3270</v>
      </c>
      <c r="AM35" s="46"/>
      <c r="AN35" s="46"/>
      <c r="AO35" s="47">
        <v>1</v>
      </c>
      <c r="AP35" s="48" t="s">
        <v>628</v>
      </c>
      <c r="AQ35" s="1126">
        <v>2</v>
      </c>
      <c r="AR35" s="40" t="s">
        <v>3271</v>
      </c>
      <c r="AS35" s="47"/>
      <c r="AT35" s="47"/>
      <c r="AU35" s="47">
        <v>1</v>
      </c>
      <c r="AV35" s="49" t="s">
        <v>628</v>
      </c>
      <c r="AW35" s="1132"/>
      <c r="AX35" s="54"/>
      <c r="AY35" s="1132"/>
      <c r="AZ35" s="1132"/>
      <c r="BA35" s="1132"/>
      <c r="BB35" s="54"/>
      <c r="BC35" s="1132"/>
      <c r="BD35" s="54"/>
      <c r="BE35" s="1132"/>
      <c r="BF35" s="1132"/>
      <c r="BG35" s="1132"/>
      <c r="BH35" s="54"/>
      <c r="BI35" s="1132"/>
      <c r="BJ35" s="54"/>
      <c r="BK35" s="1132"/>
      <c r="BL35" s="1132"/>
      <c r="BM35" s="1132"/>
      <c r="BN35" s="54"/>
      <c r="BO35" s="1132"/>
      <c r="BP35" s="54"/>
      <c r="BQ35" s="1132"/>
      <c r="BR35" s="1132"/>
      <c r="BS35" s="1132"/>
      <c r="BT35" s="54"/>
      <c r="BU35" s="1132"/>
      <c r="BV35" s="54"/>
      <c r="BW35" s="1132"/>
      <c r="BX35" s="1132"/>
      <c r="BY35" s="1132"/>
      <c r="BZ35" s="54"/>
      <c r="CA35" s="1132"/>
      <c r="CB35" s="54"/>
      <c r="CC35" s="1132"/>
      <c r="CD35" s="1132"/>
      <c r="CE35" s="1132"/>
      <c r="CF35" s="1132"/>
    </row>
    <row r="36" spans="1:84" x14ac:dyDescent="0.5">
      <c r="A36" s="227">
        <v>19126443</v>
      </c>
      <c r="B36" s="22">
        <v>19121151</v>
      </c>
      <c r="C36" s="55"/>
      <c r="D36" s="56"/>
      <c r="E36" s="910"/>
      <c r="F36" s="57"/>
      <c r="G36" s="58"/>
      <c r="H36" s="59"/>
      <c r="I36" s="60"/>
      <c r="J36" s="269"/>
      <c r="K36" s="59"/>
      <c r="L36" s="22" t="s">
        <v>3206</v>
      </c>
      <c r="M36" s="28" t="s">
        <v>3272</v>
      </c>
      <c r="N36" s="22" t="s">
        <v>51</v>
      </c>
      <c r="O36" s="29">
        <v>3760</v>
      </c>
      <c r="P36" s="29">
        <f t="shared" si="6"/>
        <v>263.2</v>
      </c>
      <c r="Q36" s="29">
        <f t="shared" si="7"/>
        <v>4023.2</v>
      </c>
      <c r="R36" s="61"/>
      <c r="S36" s="96"/>
      <c r="T36" s="97"/>
      <c r="U36" s="98"/>
      <c r="V36" s="99"/>
      <c r="W36" s="100"/>
      <c r="X36" s="99"/>
      <c r="Y36" s="99"/>
      <c r="Z36" s="100"/>
      <c r="AA36" s="101"/>
      <c r="AB36" s="40">
        <v>19120501</v>
      </c>
      <c r="AC36" s="41">
        <v>3760</v>
      </c>
      <c r="AD36" s="52">
        <f t="shared" si="8"/>
        <v>263.2</v>
      </c>
      <c r="AE36" s="52">
        <f t="shared" si="9"/>
        <v>4023.2</v>
      </c>
      <c r="AF36" s="53">
        <v>43839</v>
      </c>
      <c r="AG36" s="39" t="s">
        <v>869</v>
      </c>
      <c r="AH36" s="39"/>
      <c r="AI36" s="39"/>
      <c r="AJ36" s="21" t="s">
        <v>3625</v>
      </c>
      <c r="AK36" s="1126">
        <v>1</v>
      </c>
      <c r="AL36" s="45" t="s">
        <v>3207</v>
      </c>
      <c r="AM36" s="46"/>
      <c r="AN36" s="46"/>
      <c r="AO36" s="47">
        <v>2</v>
      </c>
      <c r="AP36" s="48" t="s">
        <v>628</v>
      </c>
      <c r="AQ36" s="1126">
        <v>2</v>
      </c>
      <c r="AR36" s="40" t="s">
        <v>3208</v>
      </c>
      <c r="AS36" s="47"/>
      <c r="AT36" s="47"/>
      <c r="AU36" s="47">
        <v>2</v>
      </c>
      <c r="AV36" s="49" t="s">
        <v>628</v>
      </c>
      <c r="AW36" s="1126">
        <v>3</v>
      </c>
      <c r="AX36" s="40" t="s">
        <v>3209</v>
      </c>
      <c r="AY36" s="47"/>
      <c r="AZ36" s="47"/>
      <c r="BA36" s="47">
        <v>1</v>
      </c>
      <c r="BB36" s="49" t="s">
        <v>628</v>
      </c>
      <c r="BC36" s="1126"/>
      <c r="BD36" s="54"/>
      <c r="BE36" s="1126"/>
      <c r="BF36" s="1126"/>
      <c r="BG36" s="1126"/>
      <c r="BH36" s="54"/>
      <c r="BI36" s="1126"/>
      <c r="BJ36" s="54"/>
      <c r="BK36" s="1126"/>
      <c r="BL36" s="1126"/>
      <c r="BM36" s="1126"/>
      <c r="BN36" s="54"/>
      <c r="BO36" s="1126"/>
      <c r="BP36" s="54"/>
      <c r="BQ36" s="1126"/>
      <c r="BR36" s="1126"/>
      <c r="BS36" s="1126"/>
      <c r="BT36" s="54"/>
      <c r="BU36" s="1126"/>
      <c r="BV36" s="54"/>
      <c r="BW36" s="1126"/>
      <c r="BX36" s="1126"/>
      <c r="BY36" s="1126"/>
      <c r="BZ36" s="54"/>
      <c r="CA36" s="1126"/>
      <c r="CB36" s="54"/>
      <c r="CC36" s="1126"/>
      <c r="CD36" s="1126"/>
      <c r="CE36" s="1126"/>
      <c r="CF36" s="1126"/>
    </row>
    <row r="37" spans="1:84" x14ac:dyDescent="0.5">
      <c r="A37" s="259">
        <v>19126442</v>
      </c>
      <c r="B37" s="104">
        <v>19121157</v>
      </c>
      <c r="C37" s="105" t="s">
        <v>3187</v>
      </c>
      <c r="D37" s="106" t="s">
        <v>1323</v>
      </c>
      <c r="E37" s="302">
        <v>43819</v>
      </c>
      <c r="F37" s="936" t="s">
        <v>3368</v>
      </c>
      <c r="G37" s="937" t="s">
        <v>1351</v>
      </c>
      <c r="H37" s="122">
        <v>43843</v>
      </c>
      <c r="I37" s="109">
        <v>63009</v>
      </c>
      <c r="J37" s="960" t="s">
        <v>869</v>
      </c>
      <c r="K37" s="965">
        <v>43844</v>
      </c>
      <c r="L37" s="104" t="s">
        <v>3273</v>
      </c>
      <c r="M37" s="110" t="s">
        <v>3274</v>
      </c>
      <c r="N37" s="104" t="s">
        <v>1523</v>
      </c>
      <c r="O37" s="111">
        <v>213200</v>
      </c>
      <c r="P37" s="111">
        <f t="shared" si="6"/>
        <v>14924</v>
      </c>
      <c r="Q37" s="111">
        <f t="shared" si="7"/>
        <v>228124</v>
      </c>
      <c r="R37" s="311">
        <v>28000</v>
      </c>
      <c r="S37" s="165"/>
      <c r="T37" s="166"/>
      <c r="U37" s="167"/>
      <c r="V37" s="168"/>
      <c r="W37" s="117">
        <f>O37-R37</f>
        <v>185200</v>
      </c>
      <c r="X37" s="118">
        <v>0.45</v>
      </c>
      <c r="Y37" s="118">
        <f>W37*X37/100</f>
        <v>833.4</v>
      </c>
      <c r="Z37" s="119">
        <v>0.2</v>
      </c>
      <c r="AA37" s="120">
        <f>W37*Z37/100</f>
        <v>370.4</v>
      </c>
      <c r="AB37" s="229">
        <v>20010002</v>
      </c>
      <c r="AC37" s="230">
        <v>63960</v>
      </c>
      <c r="AD37" s="233">
        <f t="shared" si="8"/>
        <v>4477.2</v>
      </c>
      <c r="AE37" s="234">
        <f t="shared" si="9"/>
        <v>68437.2</v>
      </c>
      <c r="AF37" s="221">
        <v>43836</v>
      </c>
      <c r="AG37" s="121" t="s">
        <v>869</v>
      </c>
      <c r="AH37" s="121"/>
      <c r="AI37" s="121"/>
      <c r="AJ37" s="222" t="s">
        <v>3505</v>
      </c>
      <c r="AK37" s="128">
        <v>1</v>
      </c>
      <c r="AL37" s="129" t="s">
        <v>726</v>
      </c>
      <c r="AM37" s="130"/>
      <c r="AN37" s="130"/>
      <c r="AO37" s="131">
        <v>2</v>
      </c>
      <c r="AP37" s="132" t="s">
        <v>634</v>
      </c>
      <c r="AQ37" s="128"/>
      <c r="AR37" s="133"/>
      <c r="AS37" s="128"/>
      <c r="AT37" s="128"/>
      <c r="AU37" s="128"/>
      <c r="AV37" s="133"/>
      <c r="AW37" s="128"/>
      <c r="AX37" s="133"/>
      <c r="AY37" s="128"/>
      <c r="AZ37" s="128"/>
      <c r="BA37" s="128"/>
      <c r="BB37" s="133"/>
      <c r="BC37" s="128"/>
      <c r="BD37" s="133"/>
      <c r="BE37" s="128"/>
      <c r="BF37" s="128"/>
      <c r="BG37" s="128"/>
      <c r="BH37" s="133"/>
      <c r="BI37" s="128"/>
      <c r="BJ37" s="133"/>
      <c r="BK37" s="128"/>
      <c r="BL37" s="128"/>
      <c r="BM37" s="128"/>
      <c r="BN37" s="133"/>
      <c r="BO37" s="128"/>
      <c r="BP37" s="133"/>
      <c r="BQ37" s="128"/>
      <c r="BR37" s="128"/>
      <c r="BS37" s="128"/>
      <c r="BT37" s="133"/>
      <c r="BU37" s="128"/>
      <c r="BV37" s="133"/>
      <c r="BW37" s="128"/>
      <c r="BX37" s="128"/>
      <c r="BY37" s="128"/>
      <c r="BZ37" s="133"/>
      <c r="CA37" s="128"/>
      <c r="CB37" s="133"/>
      <c r="CC37" s="128"/>
      <c r="CD37" s="128"/>
      <c r="CE37" s="128"/>
      <c r="CF37" s="128"/>
    </row>
    <row r="38" spans="1:84" x14ac:dyDescent="0.5">
      <c r="A38" s="268"/>
      <c r="B38" s="181"/>
      <c r="C38" s="182"/>
      <c r="D38" s="183"/>
      <c r="E38" s="749"/>
      <c r="F38" s="938"/>
      <c r="G38" s="939"/>
      <c r="H38" s="186"/>
      <c r="I38" s="187"/>
      <c r="J38" s="961"/>
      <c r="K38" s="966"/>
      <c r="L38" s="181"/>
      <c r="M38" s="188"/>
      <c r="N38" s="181"/>
      <c r="O38" s="189"/>
      <c r="P38" s="189"/>
      <c r="Q38" s="189"/>
      <c r="R38" s="190"/>
      <c r="S38" s="191"/>
      <c r="T38" s="192"/>
      <c r="U38" s="193"/>
      <c r="V38" s="194"/>
      <c r="W38" s="195"/>
      <c r="X38" s="196"/>
      <c r="Y38" s="196"/>
      <c r="Z38" s="197"/>
      <c r="AA38" s="198"/>
      <c r="AB38" s="200">
        <v>20010003</v>
      </c>
      <c r="AC38" s="201">
        <v>149240</v>
      </c>
      <c r="AD38" s="237">
        <f t="shared" si="8"/>
        <v>10446.799999999999</v>
      </c>
      <c r="AE38" s="238">
        <f t="shared" si="9"/>
        <v>159686.79999999999</v>
      </c>
      <c r="AF38" s="203">
        <v>43836</v>
      </c>
      <c r="AG38" s="199" t="s">
        <v>869</v>
      </c>
      <c r="AH38" s="199"/>
      <c r="AI38" s="199"/>
      <c r="AJ38" s="180" t="s">
        <v>3465</v>
      </c>
      <c r="AK38" s="204"/>
      <c r="AL38" s="205"/>
      <c r="AM38" s="206"/>
      <c r="AN38" s="206"/>
      <c r="AO38" s="207"/>
      <c r="AP38" s="208"/>
      <c r="AQ38" s="204"/>
      <c r="AR38" s="210"/>
      <c r="AS38" s="204"/>
      <c r="AT38" s="204"/>
      <c r="AU38" s="204"/>
      <c r="AV38" s="210"/>
      <c r="AW38" s="204"/>
      <c r="AX38" s="210"/>
      <c r="AY38" s="204"/>
      <c r="AZ38" s="204"/>
      <c r="BA38" s="204"/>
      <c r="BB38" s="210"/>
      <c r="BC38" s="204"/>
      <c r="BD38" s="210"/>
      <c r="BE38" s="204"/>
      <c r="BF38" s="204"/>
      <c r="BG38" s="204"/>
      <c r="BH38" s="210"/>
      <c r="BI38" s="204"/>
      <c r="BJ38" s="210"/>
      <c r="BK38" s="204"/>
      <c r="BL38" s="204"/>
      <c r="BM38" s="204"/>
      <c r="BN38" s="210"/>
      <c r="BO38" s="204"/>
      <c r="BP38" s="210"/>
      <c r="BQ38" s="204"/>
      <c r="BR38" s="204"/>
      <c r="BS38" s="204"/>
      <c r="BT38" s="210"/>
      <c r="BU38" s="204"/>
      <c r="BV38" s="210"/>
      <c r="BW38" s="204"/>
      <c r="BX38" s="204"/>
      <c r="BY38" s="204"/>
      <c r="BZ38" s="210"/>
      <c r="CA38" s="204"/>
      <c r="CB38" s="210"/>
      <c r="CC38" s="204"/>
      <c r="CD38" s="204"/>
      <c r="CE38" s="204"/>
      <c r="CF38" s="204"/>
    </row>
    <row r="39" spans="1:84" x14ac:dyDescent="0.5">
      <c r="A39" s="227">
        <v>19126441</v>
      </c>
      <c r="B39" s="22">
        <v>19121155</v>
      </c>
      <c r="C39" s="23" t="s">
        <v>3188</v>
      </c>
      <c r="D39" s="24" t="s">
        <v>1323</v>
      </c>
      <c r="E39" s="884">
        <v>43811</v>
      </c>
      <c r="F39" s="932" t="s">
        <v>1324</v>
      </c>
      <c r="G39" s="933" t="s">
        <v>3199</v>
      </c>
      <c r="H39" s="62">
        <v>43812</v>
      </c>
      <c r="I39" s="27">
        <v>19398</v>
      </c>
      <c r="J39" s="931" t="s">
        <v>869</v>
      </c>
      <c r="K39" s="957">
        <v>43813</v>
      </c>
      <c r="L39" s="22" t="s">
        <v>15</v>
      </c>
      <c r="M39" s="28" t="s">
        <v>3200</v>
      </c>
      <c r="N39" s="22" t="s">
        <v>51</v>
      </c>
      <c r="O39" s="29">
        <v>182100</v>
      </c>
      <c r="P39" s="29">
        <f t="shared" si="6"/>
        <v>12747</v>
      </c>
      <c r="Q39" s="29">
        <f t="shared" si="7"/>
        <v>194847</v>
      </c>
      <c r="R39" s="61"/>
      <c r="S39" s="96"/>
      <c r="T39" s="97"/>
      <c r="U39" s="98"/>
      <c r="V39" s="99"/>
      <c r="W39" s="100"/>
      <c r="X39" s="99"/>
      <c r="Y39" s="99"/>
      <c r="Z39" s="100"/>
      <c r="AA39" s="101"/>
      <c r="AB39" s="40">
        <v>19120526</v>
      </c>
      <c r="AC39" s="41">
        <v>182100</v>
      </c>
      <c r="AD39" s="52">
        <f t="shared" si="8"/>
        <v>12747</v>
      </c>
      <c r="AE39" s="52">
        <f t="shared" si="9"/>
        <v>194847</v>
      </c>
      <c r="AF39" s="53">
        <v>43862</v>
      </c>
      <c r="AG39" s="39" t="s">
        <v>869</v>
      </c>
      <c r="AH39" s="39"/>
      <c r="AI39" s="39"/>
      <c r="AJ39" s="21" t="s">
        <v>3634</v>
      </c>
      <c r="AK39" s="1126">
        <v>1</v>
      </c>
      <c r="AL39" s="45" t="s">
        <v>3201</v>
      </c>
      <c r="AM39" s="46" t="s">
        <v>869</v>
      </c>
      <c r="AN39" s="46"/>
      <c r="AO39" s="47">
        <v>1</v>
      </c>
      <c r="AP39" s="48" t="s">
        <v>635</v>
      </c>
      <c r="AQ39" s="1126"/>
      <c r="AR39" s="54"/>
      <c r="AS39" s="1126"/>
      <c r="AT39" s="1126"/>
      <c r="AU39" s="1126"/>
      <c r="AV39" s="54"/>
      <c r="AW39" s="1126"/>
      <c r="AX39" s="54"/>
      <c r="AY39" s="1126"/>
      <c r="AZ39" s="1126"/>
      <c r="BA39" s="1126"/>
      <c r="BB39" s="54"/>
      <c r="BC39" s="1126"/>
      <c r="BD39" s="54"/>
      <c r="BE39" s="1126"/>
      <c r="BF39" s="1126"/>
      <c r="BG39" s="1126"/>
      <c r="BH39" s="54"/>
      <c r="BI39" s="1126"/>
      <c r="BJ39" s="54"/>
      <c r="BK39" s="1126"/>
      <c r="BL39" s="1126"/>
      <c r="BM39" s="1126"/>
      <c r="BN39" s="54"/>
      <c r="BO39" s="1126"/>
      <c r="BP39" s="54"/>
      <c r="BQ39" s="1126"/>
      <c r="BR39" s="1126"/>
      <c r="BS39" s="1126"/>
      <c r="BT39" s="54"/>
      <c r="BU39" s="1126"/>
      <c r="BV39" s="54"/>
      <c r="BW39" s="1126"/>
      <c r="BX39" s="1126"/>
      <c r="BY39" s="1126"/>
      <c r="BZ39" s="54"/>
      <c r="CA39" s="1126"/>
      <c r="CB39" s="54"/>
      <c r="CC39" s="1126"/>
      <c r="CD39" s="1126"/>
      <c r="CE39" s="1126"/>
      <c r="CF39" s="1126"/>
    </row>
    <row r="40" spans="1:84" x14ac:dyDescent="0.5">
      <c r="A40" s="259">
        <v>19126440</v>
      </c>
      <c r="B40" s="104">
        <v>19121152</v>
      </c>
      <c r="C40" s="105" t="s">
        <v>3189</v>
      </c>
      <c r="D40" s="106" t="s">
        <v>1323</v>
      </c>
      <c r="E40" s="302">
        <v>43815</v>
      </c>
      <c r="F40" s="936" t="s">
        <v>1324</v>
      </c>
      <c r="G40" s="937" t="s">
        <v>3197</v>
      </c>
      <c r="H40" s="122">
        <v>43815</v>
      </c>
      <c r="I40" s="109">
        <v>19401</v>
      </c>
      <c r="J40" s="960" t="s">
        <v>869</v>
      </c>
      <c r="K40" s="965">
        <v>43815</v>
      </c>
      <c r="L40" s="104" t="s">
        <v>20</v>
      </c>
      <c r="M40" s="110" t="s">
        <v>415</v>
      </c>
      <c r="N40" s="104" t="s">
        <v>51</v>
      </c>
      <c r="O40" s="111">
        <v>7000</v>
      </c>
      <c r="P40" s="111">
        <f t="shared" si="6"/>
        <v>490</v>
      </c>
      <c r="Q40" s="111">
        <f t="shared" si="7"/>
        <v>7490</v>
      </c>
      <c r="R40" s="212"/>
      <c r="S40" s="165"/>
      <c r="T40" s="166"/>
      <c r="U40" s="167"/>
      <c r="V40" s="168"/>
      <c r="W40" s="231"/>
      <c r="X40" s="168"/>
      <c r="Y40" s="168"/>
      <c r="Z40" s="231"/>
      <c r="AA40" s="232"/>
      <c r="AB40" s="123">
        <v>19120528</v>
      </c>
      <c r="AC40" s="124">
        <v>7000</v>
      </c>
      <c r="AD40" s="125">
        <f t="shared" si="8"/>
        <v>490</v>
      </c>
      <c r="AE40" s="125">
        <f t="shared" si="9"/>
        <v>7490</v>
      </c>
      <c r="AF40" s="126">
        <v>43847</v>
      </c>
      <c r="AG40" s="127" t="s">
        <v>869</v>
      </c>
      <c r="AH40" s="127"/>
      <c r="AI40" s="127"/>
      <c r="AJ40" s="103" t="s">
        <v>3622</v>
      </c>
      <c r="AK40" s="128">
        <v>1</v>
      </c>
      <c r="AL40" s="129" t="s">
        <v>803</v>
      </c>
      <c r="AM40" s="130" t="s">
        <v>869</v>
      </c>
      <c r="AN40" s="130"/>
      <c r="AO40" s="131">
        <v>1</v>
      </c>
      <c r="AP40" s="132" t="s">
        <v>635</v>
      </c>
      <c r="AQ40" s="128"/>
      <c r="AR40" s="133"/>
      <c r="AS40" s="128"/>
      <c r="AT40" s="128"/>
      <c r="AU40" s="128"/>
      <c r="AV40" s="133"/>
      <c r="AW40" s="128"/>
      <c r="AX40" s="133"/>
      <c r="AY40" s="128"/>
      <c r="AZ40" s="128"/>
      <c r="BA40" s="128"/>
      <c r="BB40" s="133"/>
      <c r="BC40" s="128"/>
      <c r="BD40" s="133"/>
      <c r="BE40" s="128"/>
      <c r="BF40" s="128"/>
      <c r="BG40" s="128"/>
      <c r="BH40" s="133"/>
      <c r="BI40" s="128"/>
      <c r="BJ40" s="133"/>
      <c r="BK40" s="128"/>
      <c r="BL40" s="128"/>
      <c r="BM40" s="128"/>
      <c r="BN40" s="133"/>
      <c r="BO40" s="128"/>
      <c r="BP40" s="133"/>
      <c r="BQ40" s="128"/>
      <c r="BR40" s="128"/>
      <c r="BS40" s="128"/>
      <c r="BT40" s="133"/>
      <c r="BU40" s="128"/>
      <c r="BV40" s="133"/>
      <c r="BW40" s="128"/>
      <c r="BX40" s="128"/>
      <c r="BY40" s="128"/>
      <c r="BZ40" s="133"/>
      <c r="CA40" s="128"/>
      <c r="CB40" s="133"/>
      <c r="CC40" s="128"/>
      <c r="CD40" s="128"/>
      <c r="CE40" s="128"/>
      <c r="CF40" s="128"/>
    </row>
    <row r="41" spans="1:84" x14ac:dyDescent="0.5">
      <c r="A41" s="268"/>
      <c r="B41" s="181"/>
      <c r="C41" s="182"/>
      <c r="D41" s="183"/>
      <c r="E41" s="749"/>
      <c r="F41" s="938"/>
      <c r="G41" s="939"/>
      <c r="H41" s="186">
        <v>43818</v>
      </c>
      <c r="I41" s="187">
        <v>19407</v>
      </c>
      <c r="J41" s="961"/>
      <c r="K41" s="966">
        <v>43819</v>
      </c>
      <c r="L41" s="180" t="s">
        <v>3212</v>
      </c>
      <c r="M41" s="188"/>
      <c r="N41" s="181"/>
      <c r="O41" s="189"/>
      <c r="P41" s="189"/>
      <c r="Q41" s="189"/>
      <c r="R41" s="214"/>
      <c r="S41" s="191"/>
      <c r="T41" s="192"/>
      <c r="U41" s="193"/>
      <c r="V41" s="194"/>
      <c r="W41" s="235"/>
      <c r="X41" s="194"/>
      <c r="Y41" s="194"/>
      <c r="Z41" s="235"/>
      <c r="AA41" s="236"/>
      <c r="AB41" s="200"/>
      <c r="AC41" s="201"/>
      <c r="AD41" s="202"/>
      <c r="AE41" s="202"/>
      <c r="AF41" s="203"/>
      <c r="AG41" s="199"/>
      <c r="AH41" s="199"/>
      <c r="AI41" s="199"/>
      <c r="AJ41" s="180"/>
      <c r="AK41" s="204"/>
      <c r="AL41" s="205"/>
      <c r="AM41" s="206"/>
      <c r="AN41" s="206"/>
      <c r="AO41" s="207"/>
      <c r="AP41" s="208"/>
      <c r="AQ41" s="204"/>
      <c r="AR41" s="210"/>
      <c r="AS41" s="204"/>
      <c r="AT41" s="204"/>
      <c r="AU41" s="204"/>
      <c r="AV41" s="210"/>
      <c r="AW41" s="204"/>
      <c r="AX41" s="210"/>
      <c r="AY41" s="204"/>
      <c r="AZ41" s="204"/>
      <c r="BA41" s="204"/>
      <c r="BB41" s="210"/>
      <c r="BC41" s="204"/>
      <c r="BD41" s="210"/>
      <c r="BE41" s="204"/>
      <c r="BF41" s="204"/>
      <c r="BG41" s="204"/>
      <c r="BH41" s="210"/>
      <c r="BI41" s="204"/>
      <c r="BJ41" s="210"/>
      <c r="BK41" s="204"/>
      <c r="BL41" s="204"/>
      <c r="BM41" s="204"/>
      <c r="BN41" s="210"/>
      <c r="BO41" s="204"/>
      <c r="BP41" s="210"/>
      <c r="BQ41" s="204"/>
      <c r="BR41" s="204"/>
      <c r="BS41" s="204"/>
      <c r="BT41" s="210"/>
      <c r="BU41" s="204"/>
      <c r="BV41" s="210"/>
      <c r="BW41" s="204"/>
      <c r="BX41" s="204"/>
      <c r="BY41" s="204"/>
      <c r="BZ41" s="210"/>
      <c r="CA41" s="204"/>
      <c r="CB41" s="210"/>
      <c r="CC41" s="204"/>
      <c r="CD41" s="204"/>
      <c r="CE41" s="204"/>
      <c r="CF41" s="204"/>
    </row>
    <row r="42" spans="1:84" s="95" customFormat="1" x14ac:dyDescent="0.5">
      <c r="A42" s="65">
        <v>19126439</v>
      </c>
      <c r="B42" s="66">
        <v>19111078</v>
      </c>
      <c r="C42" s="67" t="s">
        <v>3275</v>
      </c>
      <c r="D42" s="68" t="s">
        <v>1323</v>
      </c>
      <c r="E42" s="905">
        <v>43819</v>
      </c>
      <c r="F42" s="934"/>
      <c r="G42" s="935"/>
      <c r="H42" s="66"/>
      <c r="I42" s="71"/>
      <c r="J42" s="958"/>
      <c r="K42" s="84"/>
      <c r="L42" s="66" t="s">
        <v>2881</v>
      </c>
      <c r="M42" s="72" t="s">
        <v>3179</v>
      </c>
      <c r="N42" s="66" t="s">
        <v>51</v>
      </c>
      <c r="O42" s="73">
        <v>96400</v>
      </c>
      <c r="P42" s="73">
        <f>O42*7/100</f>
        <v>6748</v>
      </c>
      <c r="Q42" s="73">
        <f>O42+P42</f>
        <v>103148</v>
      </c>
      <c r="R42" s="318"/>
      <c r="S42" s="319"/>
      <c r="T42" s="320"/>
      <c r="U42" s="321"/>
      <c r="V42" s="322"/>
      <c r="W42" s="323"/>
      <c r="X42" s="322"/>
      <c r="Y42" s="322"/>
      <c r="Z42" s="323"/>
      <c r="AA42" s="324"/>
      <c r="AB42" s="84"/>
      <c r="AC42" s="85"/>
      <c r="AD42" s="86"/>
      <c r="AE42" s="86"/>
      <c r="AF42" s="87"/>
      <c r="AG42" s="83"/>
      <c r="AH42" s="83"/>
      <c r="AI42" s="83"/>
      <c r="AJ42" s="65"/>
      <c r="AK42" s="88">
        <v>1</v>
      </c>
      <c r="AL42" s="89" t="s">
        <v>2901</v>
      </c>
      <c r="AM42" s="90" t="s">
        <v>869</v>
      </c>
      <c r="AN42" s="90"/>
      <c r="AO42" s="91">
        <v>1</v>
      </c>
      <c r="AP42" s="92" t="s">
        <v>635</v>
      </c>
      <c r="AQ42" s="88"/>
      <c r="AR42" s="94"/>
      <c r="AS42" s="88"/>
      <c r="AT42" s="88"/>
      <c r="AU42" s="88"/>
      <c r="AV42" s="94"/>
      <c r="AW42" s="88"/>
      <c r="AX42" s="94"/>
      <c r="AY42" s="88"/>
      <c r="AZ42" s="88"/>
      <c r="BA42" s="88"/>
      <c r="BB42" s="94"/>
      <c r="BC42" s="88"/>
      <c r="BD42" s="94"/>
      <c r="BE42" s="88"/>
      <c r="BF42" s="88"/>
      <c r="BG42" s="88"/>
      <c r="BH42" s="94"/>
      <c r="BI42" s="88"/>
      <c r="BJ42" s="94"/>
      <c r="BK42" s="88"/>
      <c r="BL42" s="88"/>
      <c r="BM42" s="88"/>
      <c r="BN42" s="94"/>
      <c r="BO42" s="88"/>
      <c r="BP42" s="94"/>
      <c r="BQ42" s="88"/>
      <c r="BR42" s="88"/>
      <c r="BS42" s="88"/>
      <c r="BT42" s="94"/>
      <c r="BU42" s="88"/>
      <c r="BV42" s="94"/>
      <c r="BW42" s="88"/>
      <c r="BX42" s="88"/>
      <c r="BY42" s="88"/>
      <c r="BZ42" s="94"/>
      <c r="CA42" s="88"/>
      <c r="CB42" s="94"/>
      <c r="CC42" s="88"/>
      <c r="CD42" s="88"/>
      <c r="CE42" s="88"/>
      <c r="CF42" s="88"/>
    </row>
    <row r="43" spans="1:84" s="95" customFormat="1" x14ac:dyDescent="0.5">
      <c r="A43" s="65">
        <v>19126438</v>
      </c>
      <c r="B43" s="66">
        <v>19111074</v>
      </c>
      <c r="C43" s="67" t="s">
        <v>3276</v>
      </c>
      <c r="D43" s="68" t="s">
        <v>1323</v>
      </c>
      <c r="E43" s="905">
        <v>43811</v>
      </c>
      <c r="F43" s="934"/>
      <c r="G43" s="935"/>
      <c r="H43" s="66"/>
      <c r="I43" s="71"/>
      <c r="J43" s="958"/>
      <c r="K43" s="84"/>
      <c r="L43" s="66" t="s">
        <v>2881</v>
      </c>
      <c r="M43" s="72" t="s">
        <v>3277</v>
      </c>
      <c r="N43" s="66" t="s">
        <v>51</v>
      </c>
      <c r="O43" s="73">
        <v>49600</v>
      </c>
      <c r="P43" s="73">
        <f>O43*7/100</f>
        <v>3472</v>
      </c>
      <c r="Q43" s="73">
        <f>O43+P43</f>
        <v>53072</v>
      </c>
      <c r="R43" s="318"/>
      <c r="S43" s="319"/>
      <c r="T43" s="320"/>
      <c r="U43" s="321"/>
      <c r="V43" s="322"/>
      <c r="W43" s="323"/>
      <c r="X43" s="322"/>
      <c r="Y43" s="322"/>
      <c r="Z43" s="323"/>
      <c r="AA43" s="324"/>
      <c r="AB43" s="84"/>
      <c r="AC43" s="85"/>
      <c r="AD43" s="86"/>
      <c r="AE43" s="86"/>
      <c r="AF43" s="87"/>
      <c r="AG43" s="83"/>
      <c r="AH43" s="83"/>
      <c r="AI43" s="83"/>
      <c r="AJ43" s="65"/>
      <c r="AK43" s="88">
        <v>1</v>
      </c>
      <c r="AL43" s="89" t="s">
        <v>3278</v>
      </c>
      <c r="AM43" s="90" t="s">
        <v>869</v>
      </c>
      <c r="AN43" s="90"/>
      <c r="AO43" s="91">
        <v>1</v>
      </c>
      <c r="AP43" s="92" t="s">
        <v>635</v>
      </c>
      <c r="AQ43" s="88"/>
      <c r="AR43" s="94"/>
      <c r="AS43" s="88"/>
      <c r="AT43" s="88"/>
      <c r="AU43" s="88"/>
      <c r="AV43" s="94"/>
      <c r="AW43" s="88"/>
      <c r="AX43" s="94"/>
      <c r="AY43" s="88"/>
      <c r="AZ43" s="88"/>
      <c r="BA43" s="88"/>
      <c r="BB43" s="94"/>
      <c r="BC43" s="88"/>
      <c r="BD43" s="94"/>
      <c r="BE43" s="88"/>
      <c r="BF43" s="88"/>
      <c r="BG43" s="88"/>
      <c r="BH43" s="94"/>
      <c r="BI43" s="88"/>
      <c r="BJ43" s="94"/>
      <c r="BK43" s="88"/>
      <c r="BL43" s="88"/>
      <c r="BM43" s="88"/>
      <c r="BN43" s="94"/>
      <c r="BO43" s="88"/>
      <c r="BP43" s="94"/>
      <c r="BQ43" s="88"/>
      <c r="BR43" s="88"/>
      <c r="BS43" s="88"/>
      <c r="BT43" s="94"/>
      <c r="BU43" s="88"/>
      <c r="BV43" s="94"/>
      <c r="BW43" s="88"/>
      <c r="BX43" s="88"/>
      <c r="BY43" s="88"/>
      <c r="BZ43" s="94"/>
      <c r="CA43" s="88"/>
      <c r="CB43" s="94"/>
      <c r="CC43" s="88"/>
      <c r="CD43" s="88"/>
      <c r="CE43" s="88"/>
      <c r="CF43" s="88"/>
    </row>
    <row r="44" spans="1:84" s="95" customFormat="1" x14ac:dyDescent="0.5">
      <c r="A44" s="65">
        <v>19126437</v>
      </c>
      <c r="B44" s="66">
        <v>19111075</v>
      </c>
      <c r="C44" s="67" t="s">
        <v>3190</v>
      </c>
      <c r="D44" s="68" t="s">
        <v>1323</v>
      </c>
      <c r="E44" s="905">
        <v>43811</v>
      </c>
      <c r="F44" s="934"/>
      <c r="G44" s="935"/>
      <c r="H44" s="66"/>
      <c r="I44" s="71"/>
      <c r="J44" s="958"/>
      <c r="K44" s="84"/>
      <c r="L44" s="66" t="s">
        <v>2881</v>
      </c>
      <c r="M44" s="72" t="s">
        <v>3277</v>
      </c>
      <c r="N44" s="66" t="s">
        <v>51</v>
      </c>
      <c r="O44" s="73">
        <v>49600</v>
      </c>
      <c r="P44" s="73">
        <f>O44*7/100</f>
        <v>3472</v>
      </c>
      <c r="Q44" s="73">
        <f>O44+P44</f>
        <v>53072</v>
      </c>
      <c r="R44" s="318"/>
      <c r="S44" s="319"/>
      <c r="T44" s="320"/>
      <c r="U44" s="321"/>
      <c r="V44" s="322"/>
      <c r="W44" s="323"/>
      <c r="X44" s="322"/>
      <c r="Y44" s="322"/>
      <c r="Z44" s="323"/>
      <c r="AA44" s="324"/>
      <c r="AB44" s="84"/>
      <c r="AC44" s="85"/>
      <c r="AD44" s="86"/>
      <c r="AE44" s="86"/>
      <c r="AF44" s="87"/>
      <c r="AG44" s="83"/>
      <c r="AH44" s="83"/>
      <c r="AI44" s="83"/>
      <c r="AJ44" s="65"/>
      <c r="AK44" s="88">
        <v>1</v>
      </c>
      <c r="AL44" s="89" t="s">
        <v>3278</v>
      </c>
      <c r="AM44" s="90" t="s">
        <v>869</v>
      </c>
      <c r="AN44" s="90"/>
      <c r="AO44" s="91">
        <v>1</v>
      </c>
      <c r="AP44" s="92" t="s">
        <v>635</v>
      </c>
      <c r="AQ44" s="88"/>
      <c r="AR44" s="94"/>
      <c r="AS44" s="88"/>
      <c r="AT44" s="88"/>
      <c r="AU44" s="88"/>
      <c r="AV44" s="94"/>
      <c r="AW44" s="88"/>
      <c r="AX44" s="94"/>
      <c r="AY44" s="88"/>
      <c r="AZ44" s="88"/>
      <c r="BA44" s="88"/>
      <c r="BB44" s="94"/>
      <c r="BC44" s="88"/>
      <c r="BD44" s="94"/>
      <c r="BE44" s="88"/>
      <c r="BF44" s="88"/>
      <c r="BG44" s="88"/>
      <c r="BH44" s="94"/>
      <c r="BI44" s="88"/>
      <c r="BJ44" s="94"/>
      <c r="BK44" s="88"/>
      <c r="BL44" s="88"/>
      <c r="BM44" s="88"/>
      <c r="BN44" s="94"/>
      <c r="BO44" s="88"/>
      <c r="BP44" s="94"/>
      <c r="BQ44" s="88"/>
      <c r="BR44" s="88"/>
      <c r="BS44" s="88"/>
      <c r="BT44" s="94"/>
      <c r="BU44" s="88"/>
      <c r="BV44" s="94"/>
      <c r="BW44" s="88"/>
      <c r="BX44" s="88"/>
      <c r="BY44" s="88"/>
      <c r="BZ44" s="94"/>
      <c r="CA44" s="88"/>
      <c r="CB44" s="94"/>
      <c r="CC44" s="88"/>
      <c r="CD44" s="88"/>
      <c r="CE44" s="88"/>
      <c r="CF44" s="88"/>
    </row>
    <row r="45" spans="1:84" s="95" customFormat="1" x14ac:dyDescent="0.5">
      <c r="A45" s="65">
        <v>19126436</v>
      </c>
      <c r="B45" s="66">
        <v>19111076</v>
      </c>
      <c r="C45" s="67" t="s">
        <v>3191</v>
      </c>
      <c r="D45" s="68" t="s">
        <v>1323</v>
      </c>
      <c r="E45" s="905">
        <v>43811</v>
      </c>
      <c r="F45" s="934"/>
      <c r="G45" s="935"/>
      <c r="H45" s="66"/>
      <c r="I45" s="71"/>
      <c r="J45" s="958"/>
      <c r="K45" s="84"/>
      <c r="L45" s="66" t="s">
        <v>2881</v>
      </c>
      <c r="M45" s="72" t="s">
        <v>3277</v>
      </c>
      <c r="N45" s="66" t="s">
        <v>51</v>
      </c>
      <c r="O45" s="73">
        <v>49600</v>
      </c>
      <c r="P45" s="73">
        <f>O45*7/100</f>
        <v>3472</v>
      </c>
      <c r="Q45" s="73">
        <f>O45+P45</f>
        <v>53072</v>
      </c>
      <c r="R45" s="318"/>
      <c r="S45" s="319"/>
      <c r="T45" s="320"/>
      <c r="U45" s="321"/>
      <c r="V45" s="322"/>
      <c r="W45" s="323"/>
      <c r="X45" s="322"/>
      <c r="Y45" s="322"/>
      <c r="Z45" s="323"/>
      <c r="AA45" s="324"/>
      <c r="AB45" s="84"/>
      <c r="AC45" s="85"/>
      <c r="AD45" s="86"/>
      <c r="AE45" s="86"/>
      <c r="AF45" s="87"/>
      <c r="AG45" s="83"/>
      <c r="AH45" s="83"/>
      <c r="AI45" s="83"/>
      <c r="AJ45" s="65"/>
      <c r="AK45" s="88">
        <v>1</v>
      </c>
      <c r="AL45" s="89" t="s">
        <v>3278</v>
      </c>
      <c r="AM45" s="90" t="s">
        <v>869</v>
      </c>
      <c r="AN45" s="90"/>
      <c r="AO45" s="91">
        <v>1</v>
      </c>
      <c r="AP45" s="92" t="s">
        <v>635</v>
      </c>
      <c r="AQ45" s="88"/>
      <c r="AR45" s="94"/>
      <c r="AS45" s="88"/>
      <c r="AT45" s="88"/>
      <c r="AU45" s="88"/>
      <c r="AV45" s="94"/>
      <c r="AW45" s="88"/>
      <c r="AX45" s="94"/>
      <c r="AY45" s="88"/>
      <c r="AZ45" s="88"/>
      <c r="BA45" s="88"/>
      <c r="BB45" s="94"/>
      <c r="BC45" s="88"/>
      <c r="BD45" s="94"/>
      <c r="BE45" s="88"/>
      <c r="BF45" s="88"/>
      <c r="BG45" s="88"/>
      <c r="BH45" s="94"/>
      <c r="BI45" s="88"/>
      <c r="BJ45" s="94"/>
      <c r="BK45" s="88"/>
      <c r="BL45" s="88"/>
      <c r="BM45" s="88"/>
      <c r="BN45" s="94"/>
      <c r="BO45" s="88"/>
      <c r="BP45" s="94"/>
      <c r="BQ45" s="88"/>
      <c r="BR45" s="88"/>
      <c r="BS45" s="88"/>
      <c r="BT45" s="94"/>
      <c r="BU45" s="88"/>
      <c r="BV45" s="94"/>
      <c r="BW45" s="88"/>
      <c r="BX45" s="88"/>
      <c r="BY45" s="88"/>
      <c r="BZ45" s="94"/>
      <c r="CA45" s="88"/>
      <c r="CB45" s="94"/>
      <c r="CC45" s="88"/>
      <c r="CD45" s="88"/>
      <c r="CE45" s="88"/>
      <c r="CF45" s="88"/>
    </row>
    <row r="46" spans="1:84" x14ac:dyDescent="0.5">
      <c r="A46" s="227" t="s">
        <v>3181</v>
      </c>
      <c r="B46" s="22">
        <v>19121147</v>
      </c>
      <c r="C46" s="23" t="s">
        <v>3182</v>
      </c>
      <c r="D46" s="24" t="s">
        <v>1323</v>
      </c>
      <c r="E46" s="884">
        <v>43815</v>
      </c>
      <c r="F46" s="932" t="s">
        <v>1324</v>
      </c>
      <c r="G46" s="933" t="s">
        <v>3249</v>
      </c>
      <c r="H46" s="62">
        <v>43816</v>
      </c>
      <c r="I46" s="27">
        <v>19405</v>
      </c>
      <c r="J46" s="931" t="s">
        <v>869</v>
      </c>
      <c r="K46" s="957">
        <v>43818</v>
      </c>
      <c r="L46" s="22" t="s">
        <v>3183</v>
      </c>
      <c r="M46" s="28" t="s">
        <v>415</v>
      </c>
      <c r="N46" s="22" t="s">
        <v>51</v>
      </c>
      <c r="O46" s="29">
        <v>19000</v>
      </c>
      <c r="P46" s="29" t="s">
        <v>402</v>
      </c>
      <c r="Q46" s="29">
        <f>O46</f>
        <v>19000</v>
      </c>
      <c r="R46" s="30">
        <v>6000</v>
      </c>
      <c r="S46" s="96"/>
      <c r="T46" s="97"/>
      <c r="U46" s="98"/>
      <c r="V46" s="99"/>
      <c r="W46" s="100"/>
      <c r="X46" s="99"/>
      <c r="Y46" s="99"/>
      <c r="Z46" s="100"/>
      <c r="AA46" s="101"/>
      <c r="AB46" s="40"/>
      <c r="AC46" s="41"/>
      <c r="AD46" s="42"/>
      <c r="AE46" s="42"/>
      <c r="AF46" s="43"/>
      <c r="AG46" s="39"/>
      <c r="AH46" s="39"/>
      <c r="AI46" s="39"/>
      <c r="AJ46" s="21"/>
      <c r="AK46" s="1122">
        <v>1</v>
      </c>
      <c r="AL46" s="45" t="s">
        <v>712</v>
      </c>
      <c r="AM46" s="46" t="s">
        <v>869</v>
      </c>
      <c r="AN46" s="46"/>
      <c r="AO46" s="47">
        <v>2</v>
      </c>
      <c r="AP46" s="48" t="s">
        <v>636</v>
      </c>
      <c r="AQ46" s="1123"/>
      <c r="AR46" s="54"/>
      <c r="AS46" s="1123"/>
      <c r="AT46" s="1123"/>
      <c r="AU46" s="1123"/>
      <c r="AV46" s="54"/>
      <c r="AW46" s="1123"/>
      <c r="AX46" s="54"/>
      <c r="AY46" s="1123"/>
      <c r="AZ46" s="1123"/>
      <c r="BA46" s="1123"/>
      <c r="BB46" s="54"/>
      <c r="BC46" s="1123"/>
      <c r="BD46" s="54"/>
      <c r="BE46" s="1123"/>
      <c r="BF46" s="1123"/>
      <c r="BG46" s="1123"/>
      <c r="BH46" s="54"/>
      <c r="BI46" s="1123"/>
      <c r="BJ46" s="54"/>
      <c r="BK46" s="1123"/>
      <c r="BL46" s="1123"/>
      <c r="BM46" s="1123"/>
      <c r="BN46" s="54"/>
      <c r="BO46" s="1123"/>
      <c r="BP46" s="54"/>
      <c r="BQ46" s="1123"/>
      <c r="BR46" s="1123"/>
      <c r="BS46" s="1123"/>
      <c r="BT46" s="54"/>
      <c r="BU46" s="1123"/>
      <c r="BV46" s="54"/>
      <c r="BW46" s="1123"/>
      <c r="BX46" s="1123"/>
      <c r="BY46" s="1123"/>
      <c r="BZ46" s="54"/>
      <c r="CA46" s="1123"/>
      <c r="CB46" s="54"/>
      <c r="CC46" s="1123"/>
      <c r="CD46" s="1123"/>
      <c r="CE46" s="1123"/>
      <c r="CF46" s="1123"/>
    </row>
    <row r="47" spans="1:84" x14ac:dyDescent="0.5">
      <c r="A47" s="227">
        <v>19116435</v>
      </c>
      <c r="B47" s="22">
        <v>19111145</v>
      </c>
      <c r="C47" s="55"/>
      <c r="D47" s="56"/>
      <c r="E47" s="910"/>
      <c r="F47" s="57"/>
      <c r="G47" s="58"/>
      <c r="H47" s="59"/>
      <c r="I47" s="60"/>
      <c r="J47" s="269"/>
      <c r="K47" s="59"/>
      <c r="L47" s="22" t="s">
        <v>3168</v>
      </c>
      <c r="M47" s="28" t="s">
        <v>3169</v>
      </c>
      <c r="N47" s="22" t="s">
        <v>51</v>
      </c>
      <c r="O47" s="29">
        <v>8300</v>
      </c>
      <c r="P47" s="29">
        <f t="shared" ref="P47:P54" si="10">O47*7/100</f>
        <v>581</v>
      </c>
      <c r="Q47" s="29">
        <f t="shared" ref="Q47:Q54" si="11">O47+P47</f>
        <v>8881</v>
      </c>
      <c r="R47" s="61"/>
      <c r="S47" s="96"/>
      <c r="T47" s="97"/>
      <c r="U47" s="98"/>
      <c r="V47" s="99"/>
      <c r="W47" s="100"/>
      <c r="X47" s="99"/>
      <c r="Y47" s="99"/>
      <c r="Z47" s="100"/>
      <c r="AA47" s="101"/>
      <c r="AB47" s="40">
        <v>20010016</v>
      </c>
      <c r="AC47" s="41">
        <v>8300</v>
      </c>
      <c r="AD47" s="63">
        <f>AC47*7/100</f>
        <v>581</v>
      </c>
      <c r="AE47" s="64">
        <f>AC47+AD47</f>
        <v>8881</v>
      </c>
      <c r="AF47" s="53">
        <v>43880</v>
      </c>
      <c r="AG47" s="39" t="s">
        <v>869</v>
      </c>
      <c r="AH47" s="39"/>
      <c r="AI47" s="39"/>
      <c r="AJ47" s="21" t="s">
        <v>3704</v>
      </c>
      <c r="AK47" s="1122">
        <v>1</v>
      </c>
      <c r="AL47" s="45" t="s">
        <v>3170</v>
      </c>
      <c r="AM47" s="46"/>
      <c r="AN47" s="46"/>
      <c r="AO47" s="47">
        <v>1</v>
      </c>
      <c r="AP47" s="48" t="s">
        <v>628</v>
      </c>
      <c r="AQ47" s="1122">
        <v>2</v>
      </c>
      <c r="AR47" s="40" t="s">
        <v>3171</v>
      </c>
      <c r="AS47" s="47"/>
      <c r="AT47" s="47"/>
      <c r="AU47" s="47">
        <v>1</v>
      </c>
      <c r="AV47" s="49" t="s">
        <v>628</v>
      </c>
      <c r="AW47" s="1123"/>
      <c r="AX47" s="54"/>
      <c r="AY47" s="1123"/>
      <c r="AZ47" s="1123"/>
      <c r="BA47" s="1123"/>
      <c r="BB47" s="54"/>
      <c r="BC47" s="1123"/>
      <c r="BD47" s="54"/>
      <c r="BE47" s="1123"/>
      <c r="BF47" s="1123"/>
      <c r="BG47" s="1123"/>
      <c r="BH47" s="54"/>
      <c r="BI47" s="1123"/>
      <c r="BJ47" s="54"/>
      <c r="BK47" s="1123"/>
      <c r="BL47" s="1123"/>
      <c r="BM47" s="1123"/>
      <c r="BN47" s="54"/>
      <c r="BO47" s="1123"/>
      <c r="BP47" s="54"/>
      <c r="BQ47" s="1123"/>
      <c r="BR47" s="1123"/>
      <c r="BS47" s="1123"/>
      <c r="BT47" s="54"/>
      <c r="BU47" s="1123"/>
      <c r="BV47" s="54"/>
      <c r="BW47" s="1123"/>
      <c r="BX47" s="1123"/>
      <c r="BY47" s="1123"/>
      <c r="BZ47" s="54"/>
      <c r="CA47" s="1123"/>
      <c r="CB47" s="54"/>
      <c r="CC47" s="1123"/>
      <c r="CD47" s="1123"/>
      <c r="CE47" s="1123"/>
      <c r="CF47" s="1123"/>
    </row>
    <row r="48" spans="1:84" x14ac:dyDescent="0.5">
      <c r="A48" s="227">
        <v>19116434</v>
      </c>
      <c r="B48" s="22">
        <v>19111144</v>
      </c>
      <c r="C48" s="55"/>
      <c r="D48" s="56"/>
      <c r="E48" s="910"/>
      <c r="F48" s="57"/>
      <c r="G48" s="58"/>
      <c r="H48" s="59"/>
      <c r="I48" s="60"/>
      <c r="J48" s="269"/>
      <c r="K48" s="59"/>
      <c r="L48" s="22" t="s">
        <v>2798</v>
      </c>
      <c r="M48" s="28" t="s">
        <v>1900</v>
      </c>
      <c r="N48" s="22" t="s">
        <v>51</v>
      </c>
      <c r="O48" s="29">
        <v>7700</v>
      </c>
      <c r="P48" s="29">
        <f t="shared" si="10"/>
        <v>539</v>
      </c>
      <c r="Q48" s="29">
        <f t="shared" si="11"/>
        <v>8239</v>
      </c>
      <c r="R48" s="61"/>
      <c r="S48" s="96"/>
      <c r="T48" s="97"/>
      <c r="U48" s="98"/>
      <c r="V48" s="99"/>
      <c r="W48" s="100"/>
      <c r="X48" s="99"/>
      <c r="Y48" s="99"/>
      <c r="Z48" s="100"/>
      <c r="AA48" s="101"/>
      <c r="AB48" s="40">
        <v>19120494</v>
      </c>
      <c r="AC48" s="41">
        <v>7700</v>
      </c>
      <c r="AD48" s="52">
        <f t="shared" ref="AD48:AD54" si="12">AC48*7/100</f>
        <v>539</v>
      </c>
      <c r="AE48" s="52">
        <f t="shared" ref="AE48:AE54" si="13">AC48+AD48</f>
        <v>8239</v>
      </c>
      <c r="AF48" s="53">
        <v>43833</v>
      </c>
      <c r="AG48" s="39" t="s">
        <v>869</v>
      </c>
      <c r="AH48" s="39"/>
      <c r="AI48" s="39"/>
      <c r="AJ48" s="21" t="s">
        <v>3616</v>
      </c>
      <c r="AK48" s="1120">
        <v>1</v>
      </c>
      <c r="AL48" s="45" t="s">
        <v>3172</v>
      </c>
      <c r="AM48" s="46"/>
      <c r="AN48" s="46"/>
      <c r="AO48" s="47">
        <v>1</v>
      </c>
      <c r="AP48" s="48" t="s">
        <v>628</v>
      </c>
      <c r="AQ48" s="1120">
        <v>2</v>
      </c>
      <c r="AR48" s="40" t="s">
        <v>3173</v>
      </c>
      <c r="AS48" s="47"/>
      <c r="AT48" s="47"/>
      <c r="AU48" s="47">
        <v>1</v>
      </c>
      <c r="AV48" s="49" t="s">
        <v>628</v>
      </c>
      <c r="AW48" s="1123"/>
      <c r="AX48" s="54"/>
      <c r="AY48" s="1123"/>
      <c r="AZ48" s="1123"/>
      <c r="BA48" s="1123"/>
      <c r="BB48" s="54"/>
      <c r="BC48" s="1123"/>
      <c r="BD48" s="54"/>
      <c r="BE48" s="1123"/>
      <c r="BF48" s="1123"/>
      <c r="BG48" s="1123"/>
      <c r="BH48" s="54"/>
      <c r="BI48" s="1123"/>
      <c r="BJ48" s="54"/>
      <c r="BK48" s="1123"/>
      <c r="BL48" s="1123"/>
      <c r="BM48" s="1123"/>
      <c r="BN48" s="54"/>
      <c r="BO48" s="1123"/>
      <c r="BP48" s="54"/>
      <c r="BQ48" s="1123"/>
      <c r="BR48" s="1123"/>
      <c r="BS48" s="1123"/>
      <c r="BT48" s="54"/>
      <c r="BU48" s="1123"/>
      <c r="BV48" s="54"/>
      <c r="BW48" s="1123"/>
      <c r="BX48" s="1123"/>
      <c r="BY48" s="1123"/>
      <c r="BZ48" s="54"/>
      <c r="CA48" s="1123"/>
      <c r="CB48" s="54"/>
      <c r="CC48" s="1123"/>
      <c r="CD48" s="1123"/>
      <c r="CE48" s="1123"/>
      <c r="CF48" s="1123"/>
    </row>
    <row r="49" spans="1:84" x14ac:dyDescent="0.5">
      <c r="A49" s="259">
        <v>19116433</v>
      </c>
      <c r="B49" s="104">
        <v>19111131</v>
      </c>
      <c r="C49" s="242"/>
      <c r="D49" s="243"/>
      <c r="E49" s="912"/>
      <c r="F49" s="244"/>
      <c r="G49" s="245"/>
      <c r="H49" s="246"/>
      <c r="I49" s="247"/>
      <c r="J49" s="306"/>
      <c r="K49" s="246"/>
      <c r="L49" s="104" t="s">
        <v>1311</v>
      </c>
      <c r="M49" s="110" t="s">
        <v>3174</v>
      </c>
      <c r="N49" s="104" t="s">
        <v>51</v>
      </c>
      <c r="O49" s="111">
        <v>194925</v>
      </c>
      <c r="P49" s="111">
        <f t="shared" si="10"/>
        <v>13644.75</v>
      </c>
      <c r="Q49" s="111">
        <f t="shared" si="11"/>
        <v>208569.75</v>
      </c>
      <c r="R49" s="212"/>
      <c r="S49" s="165"/>
      <c r="T49" s="166"/>
      <c r="U49" s="167"/>
      <c r="V49" s="168"/>
      <c r="W49" s="231"/>
      <c r="X49" s="168"/>
      <c r="Y49" s="168"/>
      <c r="Z49" s="231"/>
      <c r="AA49" s="232"/>
      <c r="AB49" s="229">
        <v>19120502</v>
      </c>
      <c r="AC49" s="230">
        <v>155940</v>
      </c>
      <c r="AD49" s="220">
        <f t="shared" si="12"/>
        <v>10915.8</v>
      </c>
      <c r="AE49" s="220">
        <f t="shared" si="13"/>
        <v>166855.79999999999</v>
      </c>
      <c r="AF49" s="221">
        <v>43811</v>
      </c>
      <c r="AG49" s="121" t="s">
        <v>869</v>
      </c>
      <c r="AH49" s="121"/>
      <c r="AI49" s="121"/>
      <c r="AJ49" s="222" t="s">
        <v>3290</v>
      </c>
      <c r="AK49" s="128">
        <v>1</v>
      </c>
      <c r="AL49" s="129" t="s">
        <v>3175</v>
      </c>
      <c r="AM49" s="130"/>
      <c r="AN49" s="130"/>
      <c r="AO49" s="131">
        <v>1</v>
      </c>
      <c r="AP49" s="132" t="s">
        <v>628</v>
      </c>
      <c r="AQ49" s="128"/>
      <c r="AR49" s="133"/>
      <c r="AS49" s="128"/>
      <c r="AT49" s="128"/>
      <c r="AU49" s="128"/>
      <c r="AV49" s="133"/>
      <c r="AW49" s="128"/>
      <c r="AX49" s="133"/>
      <c r="AY49" s="128"/>
      <c r="AZ49" s="128"/>
      <c r="BA49" s="128"/>
      <c r="BB49" s="133"/>
      <c r="BC49" s="128"/>
      <c r="BD49" s="133"/>
      <c r="BE49" s="128"/>
      <c r="BF49" s="128"/>
      <c r="BG49" s="128"/>
      <c r="BH49" s="133"/>
      <c r="BI49" s="128"/>
      <c r="BJ49" s="133"/>
      <c r="BK49" s="128"/>
      <c r="BL49" s="128"/>
      <c r="BM49" s="128"/>
      <c r="BN49" s="133"/>
      <c r="BO49" s="128"/>
      <c r="BP49" s="133"/>
      <c r="BQ49" s="128"/>
      <c r="BR49" s="128"/>
      <c r="BS49" s="128"/>
      <c r="BT49" s="133"/>
      <c r="BU49" s="128"/>
      <c r="BV49" s="133"/>
      <c r="BW49" s="128"/>
      <c r="BX49" s="128"/>
      <c r="BY49" s="128"/>
      <c r="BZ49" s="133"/>
      <c r="CA49" s="128"/>
      <c r="CB49" s="133"/>
      <c r="CC49" s="128"/>
      <c r="CD49" s="128"/>
      <c r="CE49" s="128"/>
      <c r="CF49" s="128"/>
    </row>
    <row r="50" spans="1:84" x14ac:dyDescent="0.5">
      <c r="A50" s="262"/>
      <c r="B50" s="135"/>
      <c r="C50" s="276"/>
      <c r="D50" s="277"/>
      <c r="E50" s="1054"/>
      <c r="F50" s="278"/>
      <c r="G50" s="279"/>
      <c r="H50" s="280"/>
      <c r="I50" s="281"/>
      <c r="J50" s="836"/>
      <c r="K50" s="280"/>
      <c r="L50" s="135"/>
      <c r="M50" s="141"/>
      <c r="N50" s="135"/>
      <c r="O50" s="142"/>
      <c r="P50" s="142"/>
      <c r="Q50" s="142"/>
      <c r="R50" s="213"/>
      <c r="S50" s="172"/>
      <c r="T50" s="173"/>
      <c r="U50" s="174"/>
      <c r="V50" s="175"/>
      <c r="W50" s="282"/>
      <c r="X50" s="175"/>
      <c r="Y50" s="175"/>
      <c r="Z50" s="282"/>
      <c r="AA50" s="283"/>
      <c r="AB50" s="154" t="s">
        <v>3211</v>
      </c>
      <c r="AC50" s="155">
        <v>38985</v>
      </c>
      <c r="AD50" s="156">
        <f>AC50*7/100</f>
        <v>2728.95</v>
      </c>
      <c r="AE50" s="156">
        <f>AC50+AD50</f>
        <v>41713.949999999997</v>
      </c>
      <c r="AF50" s="157">
        <v>43811</v>
      </c>
      <c r="AG50" s="152" t="s">
        <v>869</v>
      </c>
      <c r="AH50" s="152"/>
      <c r="AI50" s="152"/>
      <c r="AJ50" s="134" t="s">
        <v>3291</v>
      </c>
      <c r="AK50" s="158"/>
      <c r="AL50" s="159"/>
      <c r="AM50" s="160"/>
      <c r="AN50" s="160"/>
      <c r="AO50" s="161"/>
      <c r="AP50" s="162"/>
      <c r="AQ50" s="158"/>
      <c r="AR50" s="163"/>
      <c r="AS50" s="158"/>
      <c r="AT50" s="158"/>
      <c r="AU50" s="158"/>
      <c r="AV50" s="163"/>
      <c r="AW50" s="158"/>
      <c r="AX50" s="163"/>
      <c r="AY50" s="158"/>
      <c r="AZ50" s="158"/>
      <c r="BA50" s="158"/>
      <c r="BB50" s="163"/>
      <c r="BC50" s="158"/>
      <c r="BD50" s="163"/>
      <c r="BE50" s="158"/>
      <c r="BF50" s="158"/>
      <c r="BG50" s="158"/>
      <c r="BH50" s="163"/>
      <c r="BI50" s="158"/>
      <c r="BJ50" s="163"/>
      <c r="BK50" s="158"/>
      <c r="BL50" s="158"/>
      <c r="BM50" s="158"/>
      <c r="BN50" s="163"/>
      <c r="BO50" s="158"/>
      <c r="BP50" s="163"/>
      <c r="BQ50" s="158"/>
      <c r="BR50" s="158"/>
      <c r="BS50" s="158"/>
      <c r="BT50" s="163"/>
      <c r="BU50" s="158"/>
      <c r="BV50" s="163"/>
      <c r="BW50" s="158"/>
      <c r="BX50" s="158"/>
      <c r="BY50" s="158"/>
      <c r="BZ50" s="163"/>
      <c r="CA50" s="158"/>
      <c r="CB50" s="163"/>
      <c r="CC50" s="158"/>
      <c r="CD50" s="158"/>
      <c r="CE50" s="158"/>
      <c r="CF50" s="158"/>
    </row>
    <row r="51" spans="1:84" x14ac:dyDescent="0.5">
      <c r="A51" s="259">
        <v>19116432</v>
      </c>
      <c r="B51" s="104">
        <v>19111130</v>
      </c>
      <c r="C51" s="242"/>
      <c r="D51" s="243"/>
      <c r="E51" s="912"/>
      <c r="F51" s="244"/>
      <c r="G51" s="245"/>
      <c r="H51" s="246"/>
      <c r="I51" s="247"/>
      <c r="J51" s="306"/>
      <c r="K51" s="246"/>
      <c r="L51" s="104" t="s">
        <v>1311</v>
      </c>
      <c r="M51" s="110" t="s">
        <v>3176</v>
      </c>
      <c r="N51" s="104" t="s">
        <v>51</v>
      </c>
      <c r="O51" s="111">
        <v>294275</v>
      </c>
      <c r="P51" s="111">
        <f t="shared" si="10"/>
        <v>20599.25</v>
      </c>
      <c r="Q51" s="111">
        <f t="shared" si="11"/>
        <v>314874.25</v>
      </c>
      <c r="R51" s="212"/>
      <c r="S51" s="165"/>
      <c r="T51" s="166"/>
      <c r="U51" s="167"/>
      <c r="V51" s="168"/>
      <c r="W51" s="231"/>
      <c r="X51" s="168"/>
      <c r="Y51" s="168"/>
      <c r="Z51" s="231"/>
      <c r="AA51" s="232"/>
      <c r="AB51" s="229">
        <v>19110490</v>
      </c>
      <c r="AC51" s="230">
        <v>147137.5</v>
      </c>
      <c r="AD51" s="220">
        <f t="shared" si="12"/>
        <v>10299.625</v>
      </c>
      <c r="AE51" s="220">
        <f t="shared" si="13"/>
        <v>157437.125</v>
      </c>
      <c r="AF51" s="221">
        <v>43797</v>
      </c>
      <c r="AG51" s="121" t="s">
        <v>869</v>
      </c>
      <c r="AH51" s="121"/>
      <c r="AI51" s="121"/>
      <c r="AJ51" s="222" t="s">
        <v>3303</v>
      </c>
      <c r="AK51" s="128">
        <v>1</v>
      </c>
      <c r="AL51" s="129" t="s">
        <v>3177</v>
      </c>
      <c r="AM51" s="130"/>
      <c r="AN51" s="130"/>
      <c r="AO51" s="131">
        <v>1</v>
      </c>
      <c r="AP51" s="132" t="s">
        <v>628</v>
      </c>
      <c r="AQ51" s="128"/>
      <c r="AR51" s="133"/>
      <c r="AS51" s="128"/>
      <c r="AT51" s="128"/>
      <c r="AU51" s="128"/>
      <c r="AV51" s="133"/>
      <c r="AW51" s="128"/>
      <c r="AX51" s="133"/>
      <c r="AY51" s="128"/>
      <c r="AZ51" s="128"/>
      <c r="BA51" s="128"/>
      <c r="BB51" s="133"/>
      <c r="BC51" s="128"/>
      <c r="BD51" s="133"/>
      <c r="BE51" s="128"/>
      <c r="BF51" s="128"/>
      <c r="BG51" s="128"/>
      <c r="BH51" s="133"/>
      <c r="BI51" s="128"/>
      <c r="BJ51" s="133"/>
      <c r="BK51" s="128"/>
      <c r="BL51" s="128"/>
      <c r="BM51" s="128"/>
      <c r="BN51" s="133"/>
      <c r="BO51" s="128"/>
      <c r="BP51" s="133"/>
      <c r="BQ51" s="128"/>
      <c r="BR51" s="128"/>
      <c r="BS51" s="128"/>
      <c r="BT51" s="133"/>
      <c r="BU51" s="128"/>
      <c r="BV51" s="133"/>
      <c r="BW51" s="128"/>
      <c r="BX51" s="128"/>
      <c r="BY51" s="128"/>
      <c r="BZ51" s="133"/>
      <c r="CA51" s="128"/>
      <c r="CB51" s="133"/>
      <c r="CC51" s="128"/>
      <c r="CD51" s="128"/>
      <c r="CE51" s="128"/>
      <c r="CF51" s="128"/>
    </row>
    <row r="52" spans="1:84" x14ac:dyDescent="0.5">
      <c r="A52" s="268"/>
      <c r="B52" s="181"/>
      <c r="C52" s="285"/>
      <c r="D52" s="286"/>
      <c r="E52" s="913"/>
      <c r="F52" s="287"/>
      <c r="G52" s="288"/>
      <c r="H52" s="289"/>
      <c r="I52" s="290"/>
      <c r="J52" s="832"/>
      <c r="K52" s="289"/>
      <c r="L52" s="181"/>
      <c r="M52" s="188"/>
      <c r="N52" s="181"/>
      <c r="O52" s="189"/>
      <c r="P52" s="189"/>
      <c r="Q52" s="189"/>
      <c r="R52" s="214"/>
      <c r="S52" s="191"/>
      <c r="T52" s="192"/>
      <c r="U52" s="193"/>
      <c r="V52" s="194"/>
      <c r="W52" s="235"/>
      <c r="X52" s="194"/>
      <c r="Y52" s="194"/>
      <c r="Z52" s="235"/>
      <c r="AA52" s="236"/>
      <c r="AB52" s="200">
        <v>19120500</v>
      </c>
      <c r="AC52" s="201">
        <v>147137.5</v>
      </c>
      <c r="AD52" s="202">
        <f t="shared" si="12"/>
        <v>10299.625</v>
      </c>
      <c r="AE52" s="202">
        <f t="shared" si="13"/>
        <v>157437.125</v>
      </c>
      <c r="AF52" s="203">
        <v>43808</v>
      </c>
      <c r="AG52" s="199" t="s">
        <v>869</v>
      </c>
      <c r="AH52" s="199"/>
      <c r="AI52" s="199"/>
      <c r="AJ52" s="180" t="s">
        <v>3289</v>
      </c>
      <c r="AK52" s="204"/>
      <c r="AL52" s="205"/>
      <c r="AM52" s="206"/>
      <c r="AN52" s="206"/>
      <c r="AO52" s="207"/>
      <c r="AP52" s="208"/>
      <c r="AQ52" s="204"/>
      <c r="AR52" s="210"/>
      <c r="AS52" s="204"/>
      <c r="AT52" s="204"/>
      <c r="AU52" s="204"/>
      <c r="AV52" s="210"/>
      <c r="AW52" s="204"/>
      <c r="AX52" s="210"/>
      <c r="AY52" s="204"/>
      <c r="AZ52" s="204"/>
      <c r="BA52" s="204"/>
      <c r="BB52" s="210"/>
      <c r="BC52" s="204"/>
      <c r="BD52" s="210"/>
      <c r="BE52" s="204"/>
      <c r="BF52" s="204"/>
      <c r="BG52" s="204"/>
      <c r="BH52" s="210"/>
      <c r="BI52" s="204"/>
      <c r="BJ52" s="210"/>
      <c r="BK52" s="204"/>
      <c r="BL52" s="204"/>
      <c r="BM52" s="204"/>
      <c r="BN52" s="210"/>
      <c r="BO52" s="204"/>
      <c r="BP52" s="210"/>
      <c r="BQ52" s="204"/>
      <c r="BR52" s="204"/>
      <c r="BS52" s="204"/>
      <c r="BT52" s="210"/>
      <c r="BU52" s="204"/>
      <c r="BV52" s="210"/>
      <c r="BW52" s="204"/>
      <c r="BX52" s="204"/>
      <c r="BY52" s="204"/>
      <c r="BZ52" s="210"/>
      <c r="CA52" s="204"/>
      <c r="CB52" s="210"/>
      <c r="CC52" s="204"/>
      <c r="CD52" s="204"/>
      <c r="CE52" s="204"/>
      <c r="CF52" s="204"/>
    </row>
    <row r="53" spans="1:84" x14ac:dyDescent="0.5">
      <c r="A53" s="227">
        <v>19116431</v>
      </c>
      <c r="B53" s="22">
        <v>19111077</v>
      </c>
      <c r="C53" s="23" t="s">
        <v>3178</v>
      </c>
      <c r="D53" s="24" t="s">
        <v>1323</v>
      </c>
      <c r="E53" s="884">
        <v>43802</v>
      </c>
      <c r="F53" s="932" t="s">
        <v>1324</v>
      </c>
      <c r="G53" s="933" t="s">
        <v>3162</v>
      </c>
      <c r="H53" s="62">
        <v>43798</v>
      </c>
      <c r="I53" s="27">
        <v>19379</v>
      </c>
      <c r="J53" s="931" t="s">
        <v>869</v>
      </c>
      <c r="K53" s="957">
        <v>43799</v>
      </c>
      <c r="L53" s="22" t="s">
        <v>2881</v>
      </c>
      <c r="M53" s="28" t="s">
        <v>3179</v>
      </c>
      <c r="N53" s="22" t="s">
        <v>51</v>
      </c>
      <c r="O53" s="29">
        <v>96400</v>
      </c>
      <c r="P53" s="29">
        <f t="shared" si="10"/>
        <v>6748</v>
      </c>
      <c r="Q53" s="29">
        <f t="shared" si="11"/>
        <v>103148</v>
      </c>
      <c r="R53" s="61"/>
      <c r="S53" s="96"/>
      <c r="T53" s="97"/>
      <c r="U53" s="98"/>
      <c r="V53" s="99"/>
      <c r="W53" s="100"/>
      <c r="X53" s="99"/>
      <c r="Y53" s="99"/>
      <c r="Z53" s="100"/>
      <c r="AA53" s="101"/>
      <c r="AB53" s="40">
        <v>19110491</v>
      </c>
      <c r="AC53" s="41">
        <v>96400</v>
      </c>
      <c r="AD53" s="63">
        <f t="shared" si="12"/>
        <v>6748</v>
      </c>
      <c r="AE53" s="64">
        <f t="shared" si="13"/>
        <v>103148</v>
      </c>
      <c r="AF53" s="53">
        <v>43805</v>
      </c>
      <c r="AG53" s="39" t="s">
        <v>869</v>
      </c>
      <c r="AH53" s="39"/>
      <c r="AI53" s="39"/>
      <c r="AJ53" s="21" t="s">
        <v>3292</v>
      </c>
      <c r="AK53" s="1120">
        <v>1</v>
      </c>
      <c r="AL53" s="45" t="s">
        <v>3180</v>
      </c>
      <c r="AM53" s="46" t="s">
        <v>869</v>
      </c>
      <c r="AN53" s="46"/>
      <c r="AO53" s="47">
        <v>1</v>
      </c>
      <c r="AP53" s="48" t="s">
        <v>635</v>
      </c>
      <c r="AQ53" s="1123"/>
      <c r="AR53" s="54"/>
      <c r="AS53" s="1123"/>
      <c r="AT53" s="1123"/>
      <c r="AU53" s="1123"/>
      <c r="AV53" s="54"/>
      <c r="AW53" s="1123"/>
      <c r="AX53" s="54"/>
      <c r="AY53" s="1123"/>
      <c r="AZ53" s="1123"/>
      <c r="BA53" s="1123"/>
      <c r="BB53" s="54"/>
      <c r="BC53" s="1123"/>
      <c r="BD53" s="54"/>
      <c r="BE53" s="1123"/>
      <c r="BF53" s="1123"/>
      <c r="BG53" s="1123"/>
      <c r="BH53" s="54"/>
      <c r="BI53" s="1123"/>
      <c r="BJ53" s="54"/>
      <c r="BK53" s="1123"/>
      <c r="BL53" s="1123"/>
      <c r="BM53" s="1123"/>
      <c r="BN53" s="54"/>
      <c r="BO53" s="1123"/>
      <c r="BP53" s="54"/>
      <c r="BQ53" s="1123"/>
      <c r="BR53" s="1123"/>
      <c r="BS53" s="1123"/>
      <c r="BT53" s="54"/>
      <c r="BU53" s="1123"/>
      <c r="BV53" s="54"/>
      <c r="BW53" s="1123"/>
      <c r="BX53" s="1123"/>
      <c r="BY53" s="1123"/>
      <c r="BZ53" s="54"/>
      <c r="CA53" s="1123"/>
      <c r="CB53" s="54"/>
      <c r="CC53" s="1123"/>
      <c r="CD53" s="1123"/>
      <c r="CE53" s="1123"/>
      <c r="CF53" s="1123"/>
    </row>
    <row r="54" spans="1:84" x14ac:dyDescent="0.5">
      <c r="A54" s="227">
        <v>19116430</v>
      </c>
      <c r="B54" s="22">
        <v>19111125</v>
      </c>
      <c r="C54" s="55"/>
      <c r="D54" s="56"/>
      <c r="E54" s="910"/>
      <c r="F54" s="57"/>
      <c r="G54" s="58"/>
      <c r="H54" s="59"/>
      <c r="I54" s="60"/>
      <c r="J54" s="269"/>
      <c r="K54" s="59"/>
      <c r="L54" s="22" t="s">
        <v>3134</v>
      </c>
      <c r="M54" s="28" t="s">
        <v>259</v>
      </c>
      <c r="N54" s="22" t="s">
        <v>51</v>
      </c>
      <c r="O54" s="29">
        <v>16800</v>
      </c>
      <c r="P54" s="29">
        <f t="shared" si="10"/>
        <v>1176</v>
      </c>
      <c r="Q54" s="29">
        <f t="shared" si="11"/>
        <v>17976</v>
      </c>
      <c r="R54" s="61"/>
      <c r="S54" s="96"/>
      <c r="T54" s="97"/>
      <c r="U54" s="98"/>
      <c r="V54" s="99"/>
      <c r="W54" s="100"/>
      <c r="X54" s="99"/>
      <c r="Y54" s="99"/>
      <c r="Z54" s="100"/>
      <c r="AA54" s="101"/>
      <c r="AB54" s="40">
        <v>19110485</v>
      </c>
      <c r="AC54" s="41">
        <v>16800</v>
      </c>
      <c r="AD54" s="63">
        <f t="shared" si="12"/>
        <v>1176</v>
      </c>
      <c r="AE54" s="64">
        <f t="shared" si="13"/>
        <v>17976</v>
      </c>
      <c r="AF54" s="53">
        <v>43826</v>
      </c>
      <c r="AG54" s="39" t="s">
        <v>869</v>
      </c>
      <c r="AH54" s="39"/>
      <c r="AI54" s="39"/>
      <c r="AJ54" s="21" t="s">
        <v>3492</v>
      </c>
      <c r="AK54" s="1120">
        <v>1</v>
      </c>
      <c r="AL54" s="45" t="s">
        <v>686</v>
      </c>
      <c r="AM54" s="46"/>
      <c r="AN54" s="46"/>
      <c r="AO54" s="47">
        <v>1</v>
      </c>
      <c r="AP54" s="48" t="s">
        <v>628</v>
      </c>
      <c r="AQ54" s="1121"/>
      <c r="AR54" s="54"/>
      <c r="AS54" s="1121"/>
      <c r="AT54" s="1121"/>
      <c r="AU54" s="1121"/>
      <c r="AV54" s="54"/>
      <c r="AW54" s="1121"/>
      <c r="AX54" s="54"/>
      <c r="AY54" s="1121"/>
      <c r="AZ54" s="1121"/>
      <c r="BA54" s="1121"/>
      <c r="BB54" s="54"/>
      <c r="BC54" s="1121"/>
      <c r="BD54" s="54"/>
      <c r="BE54" s="1121"/>
      <c r="BF54" s="1121"/>
      <c r="BG54" s="1121"/>
      <c r="BH54" s="54"/>
      <c r="BI54" s="1121"/>
      <c r="BJ54" s="54"/>
      <c r="BK54" s="1121"/>
      <c r="BL54" s="1121"/>
      <c r="BM54" s="1121"/>
      <c r="BN54" s="54"/>
      <c r="BO54" s="1121"/>
      <c r="BP54" s="54"/>
      <c r="BQ54" s="1121"/>
      <c r="BR54" s="1121"/>
      <c r="BS54" s="1121"/>
      <c r="BT54" s="54"/>
      <c r="BU54" s="1121"/>
      <c r="BV54" s="54"/>
      <c r="BW54" s="1121"/>
      <c r="BX54" s="1121"/>
      <c r="BY54" s="1121"/>
      <c r="BZ54" s="54"/>
      <c r="CA54" s="1121"/>
      <c r="CB54" s="54"/>
      <c r="CC54" s="1121"/>
      <c r="CD54" s="1121"/>
      <c r="CE54" s="1121"/>
      <c r="CF54" s="1121"/>
    </row>
    <row r="55" spans="1:84" x14ac:dyDescent="0.5">
      <c r="A55" s="227" t="s">
        <v>3161</v>
      </c>
      <c r="B55" s="22">
        <v>19111127</v>
      </c>
      <c r="C55" s="23" t="s">
        <v>3162</v>
      </c>
      <c r="D55" s="24" t="s">
        <v>1323</v>
      </c>
      <c r="E55" s="884">
        <v>43824</v>
      </c>
      <c r="F55" s="932" t="s">
        <v>1324</v>
      </c>
      <c r="G55" s="933" t="s">
        <v>3275</v>
      </c>
      <c r="H55" s="62">
        <v>43812</v>
      </c>
      <c r="I55" s="27">
        <v>19397</v>
      </c>
      <c r="J55" s="931" t="s">
        <v>869</v>
      </c>
      <c r="K55" s="957">
        <v>43815</v>
      </c>
      <c r="L55" s="22" t="s">
        <v>554</v>
      </c>
      <c r="M55" s="28" t="s">
        <v>3163</v>
      </c>
      <c r="N55" s="22" t="s">
        <v>52</v>
      </c>
      <c r="O55" s="29">
        <v>43800</v>
      </c>
      <c r="P55" s="29" t="s">
        <v>402</v>
      </c>
      <c r="Q55" s="29">
        <f>O55</f>
        <v>43800</v>
      </c>
      <c r="R55" s="61"/>
      <c r="S55" s="96"/>
      <c r="T55" s="97"/>
      <c r="U55" s="98"/>
      <c r="V55" s="99"/>
      <c r="W55" s="35">
        <f>O55</f>
        <v>43800</v>
      </c>
      <c r="X55" s="36">
        <v>0.25</v>
      </c>
      <c r="Y55" s="36">
        <f>W55*X55/100</f>
        <v>109.5</v>
      </c>
      <c r="Z55" s="37">
        <v>0.2</v>
      </c>
      <c r="AA55" s="38">
        <f>W55*Z55/100</f>
        <v>87.6</v>
      </c>
      <c r="AB55" s="40"/>
      <c r="AC55" s="41"/>
      <c r="AD55" s="63"/>
      <c r="AE55" s="64"/>
      <c r="AF55" s="53"/>
      <c r="AG55" s="39"/>
      <c r="AH55" s="39"/>
      <c r="AI55" s="39"/>
      <c r="AJ55" s="21" t="s">
        <v>3415</v>
      </c>
      <c r="AK55" s="1122">
        <v>1</v>
      </c>
      <c r="AL55" s="45" t="s">
        <v>3164</v>
      </c>
      <c r="AM55" s="46"/>
      <c r="AN55" s="46" t="s">
        <v>869</v>
      </c>
      <c r="AO55" s="47">
        <v>1</v>
      </c>
      <c r="AP55" s="48" t="s">
        <v>636</v>
      </c>
      <c r="AQ55" s="1122"/>
      <c r="AR55" s="54"/>
      <c r="AS55" s="1122"/>
      <c r="AT55" s="1122"/>
      <c r="AU55" s="1122"/>
      <c r="AV55" s="54"/>
      <c r="AW55" s="1122"/>
      <c r="AX55" s="54"/>
      <c r="AY55" s="1122"/>
      <c r="AZ55" s="1122"/>
      <c r="BA55" s="1122"/>
      <c r="BB55" s="54"/>
      <c r="BC55" s="1122"/>
      <c r="BD55" s="54"/>
      <c r="BE55" s="1122"/>
      <c r="BF55" s="1122"/>
      <c r="BG55" s="1122"/>
      <c r="BH55" s="54"/>
      <c r="BI55" s="1122"/>
      <c r="BJ55" s="54"/>
      <c r="BK55" s="1122"/>
      <c r="BL55" s="1122"/>
      <c r="BM55" s="1122"/>
      <c r="BN55" s="54"/>
      <c r="BO55" s="1122"/>
      <c r="BP55" s="54"/>
      <c r="BQ55" s="1122"/>
      <c r="BR55" s="1122"/>
      <c r="BS55" s="1122"/>
      <c r="BT55" s="54"/>
      <c r="BU55" s="1122"/>
      <c r="BV55" s="54"/>
      <c r="BW55" s="1122"/>
      <c r="BX55" s="1122"/>
      <c r="BY55" s="1122"/>
      <c r="BZ55" s="54"/>
      <c r="CA55" s="1122"/>
      <c r="CB55" s="54"/>
      <c r="CC55" s="1122"/>
      <c r="CD55" s="1122"/>
      <c r="CE55" s="1122"/>
      <c r="CF55" s="1122"/>
    </row>
    <row r="56" spans="1:84" x14ac:dyDescent="0.5">
      <c r="A56" s="227">
        <v>19116429</v>
      </c>
      <c r="B56" s="22">
        <v>19111124</v>
      </c>
      <c r="C56" s="23" t="s">
        <v>3135</v>
      </c>
      <c r="D56" s="24" t="s">
        <v>1323</v>
      </c>
      <c r="E56" s="884">
        <v>43819</v>
      </c>
      <c r="F56" s="932" t="s">
        <v>1324</v>
      </c>
      <c r="G56" s="933" t="s">
        <v>3198</v>
      </c>
      <c r="H56" s="62">
        <v>43812</v>
      </c>
      <c r="I56" s="27">
        <v>19399</v>
      </c>
      <c r="J56" s="931" t="s">
        <v>869</v>
      </c>
      <c r="K56" s="957">
        <v>43815</v>
      </c>
      <c r="L56" s="22" t="s">
        <v>2072</v>
      </c>
      <c r="M56" s="28" t="s">
        <v>3136</v>
      </c>
      <c r="N56" s="22" t="s">
        <v>1523</v>
      </c>
      <c r="O56" s="29">
        <v>9900</v>
      </c>
      <c r="P56" s="29">
        <f>O56*7/100</f>
        <v>693</v>
      </c>
      <c r="Q56" s="29">
        <f>O56+P56</f>
        <v>10593</v>
      </c>
      <c r="R56" s="61"/>
      <c r="S56" s="96"/>
      <c r="T56" s="97"/>
      <c r="U56" s="98"/>
      <c r="V56" s="99"/>
      <c r="W56" s="35">
        <f>O56</f>
        <v>9900</v>
      </c>
      <c r="X56" s="36">
        <v>0.38</v>
      </c>
      <c r="Y56" s="36">
        <f>W56*7/100</f>
        <v>693</v>
      </c>
      <c r="Z56" s="37">
        <v>0.2</v>
      </c>
      <c r="AA56" s="38">
        <f>W56*Z56/100</f>
        <v>19.8</v>
      </c>
      <c r="AB56" s="40">
        <v>19120527</v>
      </c>
      <c r="AC56" s="41">
        <v>9900</v>
      </c>
      <c r="AD56" s="52">
        <f>AC56*7/100</f>
        <v>693</v>
      </c>
      <c r="AE56" s="52">
        <f>AC56+AD56</f>
        <v>10593</v>
      </c>
      <c r="AF56" s="53">
        <v>43847</v>
      </c>
      <c r="AG56" s="39" t="s">
        <v>869</v>
      </c>
      <c r="AH56" s="39"/>
      <c r="AI56" s="39"/>
      <c r="AJ56" s="21" t="s">
        <v>3632</v>
      </c>
      <c r="AK56" s="1081">
        <v>1</v>
      </c>
      <c r="AL56" s="45" t="s">
        <v>661</v>
      </c>
      <c r="AM56" s="46"/>
      <c r="AN56" s="46" t="s">
        <v>869</v>
      </c>
      <c r="AO56" s="47">
        <v>1</v>
      </c>
      <c r="AP56" s="48" t="s">
        <v>634</v>
      </c>
      <c r="AQ56" s="1121"/>
      <c r="AR56" s="54"/>
      <c r="AS56" s="1121"/>
      <c r="AT56" s="1121"/>
      <c r="AU56" s="1121"/>
      <c r="AV56" s="54"/>
      <c r="AW56" s="1121"/>
      <c r="AX56" s="54"/>
      <c r="AY56" s="1121"/>
      <c r="AZ56" s="1121"/>
      <c r="BA56" s="1121"/>
      <c r="BB56" s="54"/>
      <c r="BC56" s="1121"/>
      <c r="BD56" s="54"/>
      <c r="BE56" s="1121"/>
      <c r="BF56" s="1121"/>
      <c r="BG56" s="1121"/>
      <c r="BH56" s="54"/>
      <c r="BI56" s="1121"/>
      <c r="BJ56" s="54"/>
      <c r="BK56" s="1121"/>
      <c r="BL56" s="1121"/>
      <c r="BM56" s="1121"/>
      <c r="BN56" s="54"/>
      <c r="BO56" s="1121"/>
      <c r="BP56" s="54"/>
      <c r="BQ56" s="1121"/>
      <c r="BR56" s="1121"/>
      <c r="BS56" s="1121"/>
      <c r="BT56" s="54"/>
      <c r="BU56" s="1121"/>
      <c r="BV56" s="54"/>
      <c r="BW56" s="1121"/>
      <c r="BX56" s="1121"/>
      <c r="BY56" s="1121"/>
      <c r="BZ56" s="54"/>
      <c r="CA56" s="1121"/>
      <c r="CB56" s="54"/>
      <c r="CC56" s="1121"/>
      <c r="CD56" s="1121"/>
      <c r="CE56" s="1121"/>
      <c r="CF56" s="1121"/>
    </row>
    <row r="57" spans="1:84" x14ac:dyDescent="0.5">
      <c r="A57" s="227">
        <v>19116428</v>
      </c>
      <c r="B57" s="22">
        <v>19111121</v>
      </c>
      <c r="C57" s="55"/>
      <c r="D57" s="56"/>
      <c r="E57" s="910"/>
      <c r="F57" s="57"/>
      <c r="G57" s="58"/>
      <c r="H57" s="59"/>
      <c r="I57" s="60"/>
      <c r="J57" s="269"/>
      <c r="K57" s="59"/>
      <c r="L57" s="22" t="s">
        <v>2684</v>
      </c>
      <c r="M57" s="28" t="s">
        <v>3137</v>
      </c>
      <c r="N57" s="22" t="s">
        <v>51</v>
      </c>
      <c r="O57" s="29">
        <v>17050</v>
      </c>
      <c r="P57" s="29">
        <f>O57*7/100</f>
        <v>1193.5</v>
      </c>
      <c r="Q57" s="29">
        <f>O57+P57</f>
        <v>18243.5</v>
      </c>
      <c r="R57" s="61"/>
      <c r="S57" s="96"/>
      <c r="T57" s="97"/>
      <c r="U57" s="98"/>
      <c r="V57" s="99"/>
      <c r="W57" s="100"/>
      <c r="X57" s="99"/>
      <c r="Y57" s="99"/>
      <c r="Z57" s="100"/>
      <c r="AA57" s="101"/>
      <c r="AB57" s="40">
        <v>19110484</v>
      </c>
      <c r="AC57" s="41">
        <v>17050</v>
      </c>
      <c r="AD57" s="63">
        <f>AC57*7/100</f>
        <v>1193.5</v>
      </c>
      <c r="AE57" s="64">
        <f>AC57+AD57</f>
        <v>18243.5</v>
      </c>
      <c r="AF57" s="53">
        <v>43826</v>
      </c>
      <c r="AG57" s="39" t="s">
        <v>869</v>
      </c>
      <c r="AH57" s="39"/>
      <c r="AI57" s="39"/>
      <c r="AJ57" s="21" t="s">
        <v>3499</v>
      </c>
      <c r="AK57" s="1116">
        <v>1</v>
      </c>
      <c r="AL57" s="45" t="s">
        <v>3138</v>
      </c>
      <c r="AM57" s="46"/>
      <c r="AN57" s="46"/>
      <c r="AO57" s="47">
        <v>1</v>
      </c>
      <c r="AP57" s="48" t="s">
        <v>628</v>
      </c>
      <c r="AQ57" s="1116">
        <v>2</v>
      </c>
      <c r="AR57" s="40" t="s">
        <v>3139</v>
      </c>
      <c r="AS57" s="47"/>
      <c r="AT57" s="47"/>
      <c r="AU57" s="47">
        <v>1</v>
      </c>
      <c r="AV57" s="49" t="s">
        <v>628</v>
      </c>
      <c r="AW57" s="1121"/>
      <c r="AX57" s="54"/>
      <c r="AY57" s="1121"/>
      <c r="AZ57" s="1121"/>
      <c r="BA57" s="1121"/>
      <c r="BB57" s="54"/>
      <c r="BC57" s="1121"/>
      <c r="BD57" s="54"/>
      <c r="BE57" s="1121"/>
      <c r="BF57" s="1121"/>
      <c r="BG57" s="1121"/>
      <c r="BH57" s="54"/>
      <c r="BI57" s="1121"/>
      <c r="BJ57" s="54"/>
      <c r="BK57" s="1121"/>
      <c r="BL57" s="1121"/>
      <c r="BM57" s="1121"/>
      <c r="BN57" s="54"/>
      <c r="BO57" s="1121"/>
      <c r="BP57" s="54"/>
      <c r="BQ57" s="1121"/>
      <c r="BR57" s="1121"/>
      <c r="BS57" s="1121"/>
      <c r="BT57" s="54"/>
      <c r="BU57" s="1121"/>
      <c r="BV57" s="54"/>
      <c r="BW57" s="1121"/>
      <c r="BX57" s="1121"/>
      <c r="BY57" s="1121"/>
      <c r="BZ57" s="54"/>
      <c r="CA57" s="1121"/>
      <c r="CB57" s="54"/>
      <c r="CC57" s="1121"/>
      <c r="CD57" s="1121"/>
      <c r="CE57" s="1121"/>
      <c r="CF57" s="1121"/>
    </row>
    <row r="58" spans="1:84" x14ac:dyDescent="0.5">
      <c r="A58" s="227" t="s">
        <v>3132</v>
      </c>
      <c r="B58" s="22">
        <v>19111115</v>
      </c>
      <c r="C58" s="23" t="s">
        <v>3165</v>
      </c>
      <c r="D58" s="24" t="s">
        <v>1323</v>
      </c>
      <c r="E58" s="884">
        <v>43801</v>
      </c>
      <c r="F58" s="932" t="s">
        <v>1324</v>
      </c>
      <c r="G58" s="933" t="s">
        <v>3276</v>
      </c>
      <c r="H58" s="62">
        <v>43811</v>
      </c>
      <c r="I58" s="27">
        <v>19394</v>
      </c>
      <c r="J58" s="931" t="s">
        <v>869</v>
      </c>
      <c r="K58" s="957">
        <v>43812</v>
      </c>
      <c r="L58" s="22" t="s">
        <v>554</v>
      </c>
      <c r="M58" s="28" t="s">
        <v>3166</v>
      </c>
      <c r="N58" s="22" t="s">
        <v>52</v>
      </c>
      <c r="O58" s="29">
        <v>82700</v>
      </c>
      <c r="P58" s="29" t="s">
        <v>402</v>
      </c>
      <c r="Q58" s="29">
        <f>O58</f>
        <v>82700</v>
      </c>
      <c r="R58" s="61"/>
      <c r="S58" s="96"/>
      <c r="T58" s="97"/>
      <c r="U58" s="98"/>
      <c r="V58" s="99"/>
      <c r="W58" s="35">
        <f>O58</f>
        <v>82700</v>
      </c>
      <c r="X58" s="36">
        <v>0.25</v>
      </c>
      <c r="Y58" s="36">
        <f>W58*X58/100</f>
        <v>206.75</v>
      </c>
      <c r="Z58" s="37">
        <v>0.2</v>
      </c>
      <c r="AA58" s="38">
        <f>W58*Z58</f>
        <v>16540</v>
      </c>
      <c r="AB58" s="40"/>
      <c r="AC58" s="41"/>
      <c r="AD58" s="42"/>
      <c r="AE58" s="42"/>
      <c r="AF58" s="43"/>
      <c r="AG58" s="39"/>
      <c r="AH58" s="39"/>
      <c r="AI58" s="39"/>
      <c r="AJ58" s="21" t="s">
        <v>3415</v>
      </c>
      <c r="AK58" s="1121">
        <v>1</v>
      </c>
      <c r="AL58" s="45" t="s">
        <v>835</v>
      </c>
      <c r="AM58" s="46"/>
      <c r="AN58" s="46" t="s">
        <v>869</v>
      </c>
      <c r="AO58" s="47">
        <v>1</v>
      </c>
      <c r="AP58" s="48" t="s">
        <v>634</v>
      </c>
      <c r="AQ58" s="1121">
        <v>2</v>
      </c>
      <c r="AR58" s="40" t="s">
        <v>3167</v>
      </c>
      <c r="AS58" s="47"/>
      <c r="AT58" s="47" t="s">
        <v>869</v>
      </c>
      <c r="AU58" s="47">
        <v>1</v>
      </c>
      <c r="AV58" s="49" t="s">
        <v>634</v>
      </c>
      <c r="AW58" s="1121"/>
      <c r="AX58" s="54"/>
      <c r="AY58" s="1121"/>
      <c r="AZ58" s="1121"/>
      <c r="BA58" s="1121"/>
      <c r="BB58" s="54"/>
      <c r="BC58" s="1121"/>
      <c r="BD58" s="54"/>
      <c r="BE58" s="1121"/>
      <c r="BF58" s="1121"/>
      <c r="BG58" s="1121"/>
      <c r="BH58" s="54"/>
      <c r="BI58" s="1121"/>
      <c r="BJ58" s="54"/>
      <c r="BK58" s="1121"/>
      <c r="BL58" s="1121"/>
      <c r="BM58" s="1121"/>
      <c r="BN58" s="54"/>
      <c r="BO58" s="1121"/>
      <c r="BP58" s="54"/>
      <c r="BQ58" s="1121"/>
      <c r="BR58" s="1121"/>
      <c r="BS58" s="1121"/>
      <c r="BT58" s="54"/>
      <c r="BU58" s="1121"/>
      <c r="BV58" s="54"/>
      <c r="BW58" s="1121"/>
      <c r="BX58" s="1121"/>
      <c r="BY58" s="1121"/>
      <c r="BZ58" s="54"/>
      <c r="CA58" s="1121"/>
      <c r="CB58" s="54"/>
      <c r="CC58" s="1121"/>
      <c r="CD58" s="1121"/>
      <c r="CE58" s="1121"/>
      <c r="CF58" s="1121"/>
    </row>
    <row r="59" spans="1:84" x14ac:dyDescent="0.5">
      <c r="A59" s="227">
        <v>19116427</v>
      </c>
      <c r="B59" s="22">
        <v>19111113</v>
      </c>
      <c r="C59" s="23" t="s">
        <v>3130</v>
      </c>
      <c r="D59" s="24" t="s">
        <v>1323</v>
      </c>
      <c r="E59" s="884">
        <v>43801</v>
      </c>
      <c r="F59" s="932" t="s">
        <v>1324</v>
      </c>
      <c r="G59" s="933" t="s">
        <v>3189</v>
      </c>
      <c r="H59" s="62">
        <v>43809</v>
      </c>
      <c r="I59" s="27">
        <v>19390</v>
      </c>
      <c r="J59" s="931" t="s">
        <v>869</v>
      </c>
      <c r="K59" s="957">
        <v>43810</v>
      </c>
      <c r="L59" s="22" t="s">
        <v>1115</v>
      </c>
      <c r="M59" s="28" t="s">
        <v>3140</v>
      </c>
      <c r="N59" s="22" t="s">
        <v>52</v>
      </c>
      <c r="O59" s="29">
        <v>122500</v>
      </c>
      <c r="P59" s="29">
        <f t="shared" ref="P59:P65" si="14">O59*7/100</f>
        <v>8575</v>
      </c>
      <c r="Q59" s="29">
        <f t="shared" ref="Q59:Q65" si="15">O59+P59</f>
        <v>131075</v>
      </c>
      <c r="R59" s="61"/>
      <c r="S59" s="31" t="s">
        <v>2696</v>
      </c>
      <c r="T59" s="32">
        <f>O59</f>
        <v>122500</v>
      </c>
      <c r="U59" s="33">
        <v>5</v>
      </c>
      <c r="V59" s="34">
        <f>T59*U59/100</f>
        <v>6125</v>
      </c>
      <c r="W59" s="35">
        <f>T59-V59</f>
        <v>116375</v>
      </c>
      <c r="X59" s="36">
        <v>0.25</v>
      </c>
      <c r="Y59" s="36">
        <f>W59*X59/100</f>
        <v>290.9375</v>
      </c>
      <c r="Z59" s="37">
        <v>0.2</v>
      </c>
      <c r="AA59" s="38">
        <f>W59*Z59/100</f>
        <v>232.75</v>
      </c>
      <c r="AB59" s="40">
        <v>19120499</v>
      </c>
      <c r="AC59" s="41">
        <v>122500</v>
      </c>
      <c r="AD59" s="52">
        <f>AC59*7/100</f>
        <v>8575</v>
      </c>
      <c r="AE59" s="52">
        <f>AC59+AD59</f>
        <v>131075</v>
      </c>
      <c r="AF59" s="53">
        <v>43805</v>
      </c>
      <c r="AG59" s="39" t="s">
        <v>869</v>
      </c>
      <c r="AH59" s="39"/>
      <c r="AI59" s="39"/>
      <c r="AJ59" s="21" t="s">
        <v>3304</v>
      </c>
      <c r="AK59" s="1116">
        <v>1</v>
      </c>
      <c r="AL59" s="45" t="s">
        <v>3141</v>
      </c>
      <c r="AM59" s="46"/>
      <c r="AN59" s="46" t="s">
        <v>869</v>
      </c>
      <c r="AO59" s="47">
        <v>5</v>
      </c>
      <c r="AP59" s="48" t="s">
        <v>634</v>
      </c>
      <c r="AQ59" s="1121"/>
      <c r="AR59" s="54"/>
      <c r="AS59" s="1121"/>
      <c r="AT59" s="1121"/>
      <c r="AU59" s="1121"/>
      <c r="AV59" s="54"/>
      <c r="AW59" s="1121"/>
      <c r="AX59" s="54"/>
      <c r="AY59" s="1121"/>
      <c r="AZ59" s="1121"/>
      <c r="BA59" s="1121"/>
      <c r="BB59" s="54"/>
      <c r="BC59" s="1121"/>
      <c r="BD59" s="54"/>
      <c r="BE59" s="1121"/>
      <c r="BF59" s="1121"/>
      <c r="BG59" s="1121"/>
      <c r="BH59" s="54"/>
      <c r="BI59" s="1121"/>
      <c r="BJ59" s="54"/>
      <c r="BK59" s="1121"/>
      <c r="BL59" s="1121"/>
      <c r="BM59" s="1121"/>
      <c r="BN59" s="54"/>
      <c r="BO59" s="1121"/>
      <c r="BP59" s="54"/>
      <c r="BQ59" s="1121"/>
      <c r="BR59" s="1121"/>
      <c r="BS59" s="1121"/>
      <c r="BT59" s="54"/>
      <c r="BU59" s="1121"/>
      <c r="BV59" s="54"/>
      <c r="BW59" s="1121"/>
      <c r="BX59" s="1121"/>
      <c r="BY59" s="1121"/>
      <c r="BZ59" s="54"/>
      <c r="CA59" s="1121"/>
      <c r="CB59" s="54"/>
      <c r="CC59" s="1121"/>
      <c r="CD59" s="1121"/>
      <c r="CE59" s="1121"/>
      <c r="CF59" s="1121"/>
    </row>
    <row r="60" spans="1:84" x14ac:dyDescent="0.5">
      <c r="A60" s="227">
        <v>19116426</v>
      </c>
      <c r="B60" s="22">
        <v>19111120</v>
      </c>
      <c r="C60" s="55"/>
      <c r="D60" s="56"/>
      <c r="E60" s="910"/>
      <c r="F60" s="57"/>
      <c r="G60" s="58"/>
      <c r="H60" s="59"/>
      <c r="I60" s="60"/>
      <c r="J60" s="269"/>
      <c r="K60" s="59"/>
      <c r="L60" s="22" t="s">
        <v>3142</v>
      </c>
      <c r="M60" s="28" t="s">
        <v>3143</v>
      </c>
      <c r="N60" s="22" t="s">
        <v>51</v>
      </c>
      <c r="O60" s="29">
        <v>5000</v>
      </c>
      <c r="P60" s="29">
        <f t="shared" si="14"/>
        <v>350</v>
      </c>
      <c r="Q60" s="29">
        <f t="shared" si="15"/>
        <v>5350</v>
      </c>
      <c r="R60" s="61"/>
      <c r="S60" s="96"/>
      <c r="T60" s="97"/>
      <c r="U60" s="98"/>
      <c r="V60" s="99"/>
      <c r="W60" s="100"/>
      <c r="X60" s="99"/>
      <c r="Y60" s="99"/>
      <c r="Z60" s="100"/>
      <c r="AA60" s="101"/>
      <c r="AB60" s="40">
        <v>20010010</v>
      </c>
      <c r="AC60" s="41">
        <v>5000</v>
      </c>
      <c r="AD60" s="52">
        <f>AC60*7/100</f>
        <v>350</v>
      </c>
      <c r="AE60" s="52">
        <f>AC60+AD60</f>
        <v>5350</v>
      </c>
      <c r="AF60" s="53">
        <v>43874</v>
      </c>
      <c r="AG60" s="39" t="s">
        <v>869</v>
      </c>
      <c r="AH60" s="39"/>
      <c r="AI60" s="39"/>
      <c r="AJ60" s="21" t="s">
        <v>3706</v>
      </c>
      <c r="AK60" s="1116">
        <v>1</v>
      </c>
      <c r="AL60" s="45" t="s">
        <v>3144</v>
      </c>
      <c r="AM60" s="46"/>
      <c r="AN60" s="46"/>
      <c r="AO60" s="47">
        <v>1</v>
      </c>
      <c r="AP60" s="48" t="s">
        <v>628</v>
      </c>
      <c r="AQ60" s="1121"/>
      <c r="AR60" s="54"/>
      <c r="AS60" s="1121"/>
      <c r="AT60" s="1121"/>
      <c r="AU60" s="1121"/>
      <c r="AV60" s="54"/>
      <c r="AW60" s="1121"/>
      <c r="AX60" s="54"/>
      <c r="AY60" s="1121"/>
      <c r="AZ60" s="1121"/>
      <c r="BA60" s="1121"/>
      <c r="BB60" s="54"/>
      <c r="BC60" s="1121"/>
      <c r="BD60" s="54"/>
      <c r="BE60" s="1121"/>
      <c r="BF60" s="1121"/>
      <c r="BG60" s="1121"/>
      <c r="BH60" s="54"/>
      <c r="BI60" s="1121"/>
      <c r="BJ60" s="54"/>
      <c r="BK60" s="1121"/>
      <c r="BL60" s="1121"/>
      <c r="BM60" s="1121"/>
      <c r="BN60" s="54"/>
      <c r="BO60" s="1121"/>
      <c r="BP60" s="54"/>
      <c r="BQ60" s="1121"/>
      <c r="BR60" s="1121"/>
      <c r="BS60" s="1121"/>
      <c r="BT60" s="54"/>
      <c r="BU60" s="1121"/>
      <c r="BV60" s="54"/>
      <c r="BW60" s="1121"/>
      <c r="BX60" s="1121"/>
      <c r="BY60" s="1121"/>
      <c r="BZ60" s="54"/>
      <c r="CA60" s="1121"/>
      <c r="CB60" s="54"/>
      <c r="CC60" s="1121"/>
      <c r="CD60" s="1121"/>
      <c r="CE60" s="1121"/>
      <c r="CF60" s="1121"/>
    </row>
    <row r="61" spans="1:84" x14ac:dyDescent="0.5">
      <c r="A61" s="227">
        <v>19116425</v>
      </c>
      <c r="B61" s="22">
        <v>19111119</v>
      </c>
      <c r="C61" s="55"/>
      <c r="D61" s="56"/>
      <c r="E61" s="910"/>
      <c r="F61" s="57"/>
      <c r="G61" s="58"/>
      <c r="H61" s="59"/>
      <c r="I61" s="60"/>
      <c r="J61" s="269"/>
      <c r="K61" s="59"/>
      <c r="L61" s="22" t="s">
        <v>3145</v>
      </c>
      <c r="M61" s="28" t="s">
        <v>3146</v>
      </c>
      <c r="N61" s="22" t="s">
        <v>51</v>
      </c>
      <c r="O61" s="29">
        <v>23900</v>
      </c>
      <c r="P61" s="29">
        <f t="shared" si="14"/>
        <v>1673</v>
      </c>
      <c r="Q61" s="29">
        <f t="shared" si="15"/>
        <v>25573</v>
      </c>
      <c r="R61" s="61"/>
      <c r="S61" s="96"/>
      <c r="T61" s="97"/>
      <c r="U61" s="98"/>
      <c r="V61" s="99"/>
      <c r="W61" s="100"/>
      <c r="X61" s="99"/>
      <c r="Y61" s="99"/>
      <c r="Z61" s="100"/>
      <c r="AA61" s="101"/>
      <c r="AB61" s="40">
        <v>19120522</v>
      </c>
      <c r="AC61" s="41">
        <v>23900</v>
      </c>
      <c r="AD61" s="52">
        <f>AC61*7/100</f>
        <v>1673</v>
      </c>
      <c r="AE61" s="52">
        <f>AC61+AD61</f>
        <v>25573</v>
      </c>
      <c r="AF61" s="53">
        <v>43847</v>
      </c>
      <c r="AG61" s="39" t="s">
        <v>869</v>
      </c>
      <c r="AH61" s="39"/>
      <c r="AI61" s="39"/>
      <c r="AJ61" s="21" t="s">
        <v>3708</v>
      </c>
      <c r="AK61" s="1116">
        <v>1</v>
      </c>
      <c r="AL61" s="45" t="s">
        <v>3147</v>
      </c>
      <c r="AM61" s="46"/>
      <c r="AN61" s="46"/>
      <c r="AO61" s="47">
        <v>1</v>
      </c>
      <c r="AP61" s="48" t="s">
        <v>628</v>
      </c>
      <c r="AQ61" s="1116">
        <v>2</v>
      </c>
      <c r="AR61" s="40" t="s">
        <v>3148</v>
      </c>
      <c r="AS61" s="47"/>
      <c r="AT61" s="47"/>
      <c r="AU61" s="47">
        <v>1</v>
      </c>
      <c r="AV61" s="49" t="s">
        <v>628</v>
      </c>
      <c r="AW61" s="1116">
        <v>3</v>
      </c>
      <c r="AX61" s="40" t="s">
        <v>3149</v>
      </c>
      <c r="AY61" s="47"/>
      <c r="AZ61" s="47"/>
      <c r="BA61" s="47">
        <v>1</v>
      </c>
      <c r="BB61" s="49" t="s">
        <v>628</v>
      </c>
      <c r="BC61" s="1116">
        <v>4</v>
      </c>
      <c r="BD61" s="40" t="s">
        <v>3150</v>
      </c>
      <c r="BE61" s="47"/>
      <c r="BF61" s="47"/>
      <c r="BG61" s="47">
        <v>1</v>
      </c>
      <c r="BH61" s="49" t="s">
        <v>628</v>
      </c>
      <c r="BI61" s="1121"/>
      <c r="BJ61" s="54"/>
      <c r="BK61" s="1121"/>
      <c r="BL61" s="1121"/>
      <c r="BM61" s="1121"/>
      <c r="BN61" s="54"/>
      <c r="BO61" s="1121"/>
      <c r="BP61" s="54"/>
      <c r="BQ61" s="1121"/>
      <c r="BR61" s="1121"/>
      <c r="BS61" s="1121"/>
      <c r="BT61" s="54"/>
      <c r="BU61" s="1121"/>
      <c r="BV61" s="54"/>
      <c r="BW61" s="1121"/>
      <c r="BX61" s="1121"/>
      <c r="BY61" s="1121"/>
      <c r="BZ61" s="54"/>
      <c r="CA61" s="1121"/>
      <c r="CB61" s="54"/>
      <c r="CC61" s="1121"/>
      <c r="CD61" s="1121"/>
      <c r="CE61" s="1121"/>
      <c r="CF61" s="1121"/>
    </row>
    <row r="62" spans="1:84" x14ac:dyDescent="0.5">
      <c r="A62" s="227">
        <v>19116424</v>
      </c>
      <c r="B62" s="22">
        <v>19111118</v>
      </c>
      <c r="C62" s="55"/>
      <c r="D62" s="56"/>
      <c r="E62" s="910"/>
      <c r="F62" s="57"/>
      <c r="G62" s="58"/>
      <c r="H62" s="59"/>
      <c r="I62" s="60"/>
      <c r="J62" s="269"/>
      <c r="K62" s="59"/>
      <c r="L62" s="22" t="s">
        <v>3151</v>
      </c>
      <c r="M62" s="28" t="s">
        <v>3152</v>
      </c>
      <c r="N62" s="22" t="s">
        <v>51</v>
      </c>
      <c r="O62" s="29">
        <v>76800</v>
      </c>
      <c r="P62" s="29">
        <f t="shared" si="14"/>
        <v>5376</v>
      </c>
      <c r="Q62" s="29">
        <f t="shared" si="15"/>
        <v>82176</v>
      </c>
      <c r="R62" s="61"/>
      <c r="S62" s="96"/>
      <c r="T62" s="97"/>
      <c r="U62" s="98"/>
      <c r="V62" s="99"/>
      <c r="W62" s="100"/>
      <c r="X62" s="99"/>
      <c r="Y62" s="99"/>
      <c r="Z62" s="100"/>
      <c r="AA62" s="101"/>
      <c r="AB62" s="40">
        <v>19120520</v>
      </c>
      <c r="AC62" s="41">
        <v>76800</v>
      </c>
      <c r="AD62" s="52">
        <f>AC62*7/100</f>
        <v>5376</v>
      </c>
      <c r="AE62" s="52">
        <f>AC62+AD62</f>
        <v>82176</v>
      </c>
      <c r="AF62" s="53">
        <v>43847</v>
      </c>
      <c r="AG62" s="39" t="s">
        <v>869</v>
      </c>
      <c r="AH62" s="39"/>
      <c r="AI62" s="39"/>
      <c r="AJ62" s="21" t="s">
        <v>4009</v>
      </c>
      <c r="AK62" s="1081">
        <v>1</v>
      </c>
      <c r="AL62" s="45" t="s">
        <v>3153</v>
      </c>
      <c r="AM62" s="46"/>
      <c r="AN62" s="46"/>
      <c r="AO62" s="47">
        <v>1</v>
      </c>
      <c r="AP62" s="48" t="s">
        <v>628</v>
      </c>
      <c r="AQ62" s="1081">
        <v>2</v>
      </c>
      <c r="AR62" s="40" t="s">
        <v>3154</v>
      </c>
      <c r="AS62" s="47"/>
      <c r="AT62" s="47"/>
      <c r="AU62" s="47">
        <v>1</v>
      </c>
      <c r="AV62" s="49" t="s">
        <v>628</v>
      </c>
      <c r="AW62" s="1121"/>
      <c r="AX62" s="54"/>
      <c r="AY62" s="1121"/>
      <c r="AZ62" s="1121"/>
      <c r="BA62" s="1121"/>
      <c r="BB62" s="54"/>
      <c r="BC62" s="1121"/>
      <c r="BD62" s="54"/>
      <c r="BE62" s="1121"/>
      <c r="BF62" s="1121"/>
      <c r="BG62" s="1121"/>
      <c r="BH62" s="54"/>
      <c r="BI62" s="1121"/>
      <c r="BJ62" s="54"/>
      <c r="BK62" s="1121"/>
      <c r="BL62" s="1121"/>
      <c r="BM62" s="1121"/>
      <c r="BN62" s="54"/>
      <c r="BO62" s="1121"/>
      <c r="BP62" s="54"/>
      <c r="BQ62" s="1121"/>
      <c r="BR62" s="1121"/>
      <c r="BS62" s="1121"/>
      <c r="BT62" s="54"/>
      <c r="BU62" s="1121"/>
      <c r="BV62" s="54"/>
      <c r="BW62" s="1121"/>
      <c r="BX62" s="1121"/>
      <c r="BY62" s="1121"/>
      <c r="BZ62" s="54"/>
      <c r="CA62" s="1121"/>
      <c r="CB62" s="54"/>
      <c r="CC62" s="1121"/>
      <c r="CD62" s="1121"/>
      <c r="CE62" s="1121"/>
      <c r="CF62" s="1121"/>
    </row>
    <row r="63" spans="1:84" x14ac:dyDescent="0.5">
      <c r="A63" s="227" t="s">
        <v>3131</v>
      </c>
      <c r="B63" s="22">
        <v>19111055</v>
      </c>
      <c r="C63" s="55"/>
      <c r="D63" s="56"/>
      <c r="E63" s="910"/>
      <c r="F63" s="57"/>
      <c r="G63" s="58"/>
      <c r="H63" s="59"/>
      <c r="I63" s="60"/>
      <c r="J63" s="269"/>
      <c r="K63" s="59"/>
      <c r="L63" s="22" t="s">
        <v>10</v>
      </c>
      <c r="M63" s="28" t="s">
        <v>2418</v>
      </c>
      <c r="N63" s="22" t="s">
        <v>51</v>
      </c>
      <c r="O63" s="29">
        <v>10000</v>
      </c>
      <c r="P63" s="29">
        <f t="shared" si="14"/>
        <v>700</v>
      </c>
      <c r="Q63" s="29">
        <f t="shared" si="15"/>
        <v>10700</v>
      </c>
      <c r="R63" s="61"/>
      <c r="S63" s="96"/>
      <c r="T63" s="97"/>
      <c r="U63" s="98"/>
      <c r="V63" s="99"/>
      <c r="W63" s="100"/>
      <c r="X63" s="99"/>
      <c r="Y63" s="99"/>
      <c r="Z63" s="100"/>
      <c r="AA63" s="101"/>
      <c r="AB63" s="40"/>
      <c r="AC63" s="41"/>
      <c r="AD63" s="42"/>
      <c r="AE63" s="42"/>
      <c r="AF63" s="43"/>
      <c r="AG63" s="39"/>
      <c r="AH63" s="39"/>
      <c r="AI63" s="39"/>
      <c r="AJ63" s="21"/>
      <c r="AK63" s="1081">
        <v>1</v>
      </c>
      <c r="AL63" s="45" t="s">
        <v>2418</v>
      </c>
      <c r="AM63" s="46"/>
      <c r="AN63" s="46"/>
      <c r="AO63" s="47">
        <v>4</v>
      </c>
      <c r="AP63" s="48" t="s">
        <v>628</v>
      </c>
      <c r="AQ63" s="1122"/>
      <c r="AR63" s="54"/>
      <c r="AS63" s="1122"/>
      <c r="AT63" s="1122"/>
      <c r="AU63" s="1122"/>
      <c r="AV63" s="54"/>
      <c r="AW63" s="1122"/>
      <c r="AX63" s="54"/>
      <c r="AY63" s="1122"/>
      <c r="AZ63" s="1122"/>
      <c r="BA63" s="1122"/>
      <c r="BB63" s="54"/>
      <c r="BC63" s="1122"/>
      <c r="BD63" s="54"/>
      <c r="BE63" s="1122"/>
      <c r="BF63" s="1122"/>
      <c r="BG63" s="1122"/>
      <c r="BH63" s="54"/>
      <c r="BI63" s="1122"/>
      <c r="BJ63" s="54"/>
      <c r="BK63" s="1122"/>
      <c r="BL63" s="1122"/>
      <c r="BM63" s="1122"/>
      <c r="BN63" s="54"/>
      <c r="BO63" s="1122"/>
      <c r="BP63" s="54"/>
      <c r="BQ63" s="1122"/>
      <c r="BR63" s="1122"/>
      <c r="BS63" s="1122"/>
      <c r="BT63" s="54"/>
      <c r="BU63" s="1122"/>
      <c r="BV63" s="54"/>
      <c r="BW63" s="1122"/>
      <c r="BX63" s="1122"/>
      <c r="BY63" s="1122"/>
      <c r="BZ63" s="54"/>
      <c r="CA63" s="1122"/>
      <c r="CB63" s="54"/>
      <c r="CC63" s="1122"/>
      <c r="CD63" s="1122"/>
      <c r="CE63" s="1122"/>
      <c r="CF63" s="1122"/>
    </row>
    <row r="64" spans="1:84" x14ac:dyDescent="0.5">
      <c r="A64" s="227">
        <v>19116423</v>
      </c>
      <c r="B64" s="22">
        <v>19111105</v>
      </c>
      <c r="C64" s="23" t="s">
        <v>3123</v>
      </c>
      <c r="D64" s="24" t="s">
        <v>1323</v>
      </c>
      <c r="E64" s="884">
        <v>43801</v>
      </c>
      <c r="F64" s="932" t="s">
        <v>1324</v>
      </c>
      <c r="G64" s="933" t="s">
        <v>3135</v>
      </c>
      <c r="H64" s="62">
        <v>43798</v>
      </c>
      <c r="I64" s="27">
        <v>19378</v>
      </c>
      <c r="J64" s="931" t="s">
        <v>869</v>
      </c>
      <c r="K64" s="957">
        <v>43801</v>
      </c>
      <c r="L64" s="22" t="s">
        <v>3124</v>
      </c>
      <c r="M64" s="28" t="s">
        <v>3125</v>
      </c>
      <c r="N64" s="22" t="s">
        <v>50</v>
      </c>
      <c r="O64" s="29">
        <v>10640</v>
      </c>
      <c r="P64" s="29">
        <f t="shared" si="14"/>
        <v>744.8</v>
      </c>
      <c r="Q64" s="29">
        <f t="shared" si="15"/>
        <v>11384.8</v>
      </c>
      <c r="R64" s="61"/>
      <c r="S64" s="595"/>
      <c r="T64" s="97"/>
      <c r="U64" s="98"/>
      <c r="V64" s="99"/>
      <c r="W64" s="35">
        <f>O64</f>
        <v>10640</v>
      </c>
      <c r="X64" s="36">
        <v>0.22</v>
      </c>
      <c r="Y64" s="36">
        <f>W64*X64/100</f>
        <v>23.408000000000001</v>
      </c>
      <c r="Z64" s="37">
        <v>0.2</v>
      </c>
      <c r="AA64" s="38">
        <f>W64*Z64/100</f>
        <v>21.28</v>
      </c>
      <c r="AB64" s="40">
        <v>19120511</v>
      </c>
      <c r="AC64" s="41">
        <v>10640</v>
      </c>
      <c r="AD64" s="52">
        <f>AC64*7/100</f>
        <v>744.8</v>
      </c>
      <c r="AE64" s="52">
        <f>AC64+AD64</f>
        <v>11384.8</v>
      </c>
      <c r="AF64" s="53">
        <v>43842</v>
      </c>
      <c r="AG64" s="39" t="s">
        <v>869</v>
      </c>
      <c r="AH64" s="39"/>
      <c r="AI64" s="39"/>
      <c r="AJ64" s="21" t="s">
        <v>3612</v>
      </c>
      <c r="AK64" s="1081">
        <v>1</v>
      </c>
      <c r="AL64" s="45" t="s">
        <v>801</v>
      </c>
      <c r="AM64" s="46"/>
      <c r="AN64" s="46" t="s">
        <v>869</v>
      </c>
      <c r="AO64" s="47">
        <v>1</v>
      </c>
      <c r="AP64" s="48" t="s">
        <v>634</v>
      </c>
      <c r="AQ64" s="1116"/>
      <c r="AR64" s="54"/>
      <c r="AS64" s="1116"/>
      <c r="AT64" s="1116"/>
      <c r="AU64" s="1116"/>
      <c r="AV64" s="54"/>
      <c r="AW64" s="1116"/>
      <c r="AX64" s="54"/>
      <c r="AY64" s="1116"/>
      <c r="AZ64" s="1116"/>
      <c r="BA64" s="1116"/>
      <c r="BB64" s="54"/>
      <c r="BC64" s="1116"/>
      <c r="BD64" s="54"/>
      <c r="BE64" s="1116"/>
      <c r="BF64" s="1116"/>
      <c r="BG64" s="1116"/>
      <c r="BH64" s="54"/>
      <c r="BI64" s="1116"/>
      <c r="BJ64" s="54"/>
      <c r="BK64" s="1116"/>
      <c r="BL64" s="1116"/>
      <c r="BM64" s="1116"/>
      <c r="BN64" s="54"/>
      <c r="BO64" s="1116"/>
      <c r="BP64" s="54"/>
      <c r="BQ64" s="1116"/>
      <c r="BR64" s="1116"/>
      <c r="BS64" s="1116"/>
      <c r="BT64" s="54"/>
      <c r="BU64" s="1116"/>
      <c r="BV64" s="54"/>
      <c r="BW64" s="1116"/>
      <c r="BX64" s="1116"/>
      <c r="BY64" s="1116"/>
      <c r="BZ64" s="54"/>
      <c r="CA64" s="1116"/>
      <c r="CB64" s="54"/>
      <c r="CC64" s="1116"/>
      <c r="CD64" s="1116"/>
      <c r="CE64" s="1116"/>
      <c r="CF64" s="1116"/>
    </row>
    <row r="65" spans="1:86" x14ac:dyDescent="0.5">
      <c r="A65" s="259">
        <v>19116422</v>
      </c>
      <c r="B65" s="104">
        <v>19111103</v>
      </c>
      <c r="C65" s="105" t="s">
        <v>3126</v>
      </c>
      <c r="D65" s="106" t="s">
        <v>1323</v>
      </c>
      <c r="E65" s="302">
        <v>43795</v>
      </c>
      <c r="F65" s="936" t="s">
        <v>1324</v>
      </c>
      <c r="G65" s="937" t="s">
        <v>3165</v>
      </c>
      <c r="H65" s="211">
        <v>43797</v>
      </c>
      <c r="I65" s="164">
        <v>19374</v>
      </c>
      <c r="J65" s="960" t="s">
        <v>869</v>
      </c>
      <c r="K65" s="965">
        <v>43797</v>
      </c>
      <c r="L65" s="104" t="s">
        <v>3127</v>
      </c>
      <c r="M65" s="110" t="s">
        <v>3128</v>
      </c>
      <c r="N65" s="104" t="s">
        <v>1523</v>
      </c>
      <c r="O65" s="111">
        <v>1895000</v>
      </c>
      <c r="P65" s="111">
        <f t="shared" si="14"/>
        <v>132650</v>
      </c>
      <c r="Q65" s="111">
        <f t="shared" si="15"/>
        <v>2027650</v>
      </c>
      <c r="R65" s="212"/>
      <c r="S65" s="113" t="s">
        <v>3133</v>
      </c>
      <c r="T65" s="114">
        <f>O65</f>
        <v>1895000</v>
      </c>
      <c r="U65" s="115">
        <v>5</v>
      </c>
      <c r="V65" s="116">
        <f>T65*U65/100</f>
        <v>94750</v>
      </c>
      <c r="W65" s="117">
        <f>T65-V65</f>
        <v>1800250</v>
      </c>
      <c r="X65" s="118">
        <v>0.17</v>
      </c>
      <c r="Y65" s="118">
        <f>W65*X65/100</f>
        <v>3060.4250000000002</v>
      </c>
      <c r="Z65" s="119">
        <v>0.2</v>
      </c>
      <c r="AA65" s="120">
        <f>W65*Z65/100</f>
        <v>3600.5</v>
      </c>
      <c r="AB65" s="229">
        <v>19110478</v>
      </c>
      <c r="AC65" s="230">
        <v>1326500</v>
      </c>
      <c r="AD65" s="220">
        <f>AC65*7/100</f>
        <v>92855</v>
      </c>
      <c r="AE65" s="220">
        <f>AC65+AD65</f>
        <v>1419355</v>
      </c>
      <c r="AF65" s="221">
        <v>43790</v>
      </c>
      <c r="AG65" s="121" t="s">
        <v>869</v>
      </c>
      <c r="AH65" s="121"/>
      <c r="AI65" s="121"/>
      <c r="AJ65" s="222" t="s">
        <v>3332</v>
      </c>
      <c r="AK65" s="128">
        <v>1</v>
      </c>
      <c r="AL65" s="129" t="s">
        <v>2322</v>
      </c>
      <c r="AM65" s="130"/>
      <c r="AN65" s="130" t="s">
        <v>869</v>
      </c>
      <c r="AO65" s="131">
        <v>1</v>
      </c>
      <c r="AP65" s="132" t="s">
        <v>634</v>
      </c>
      <c r="AQ65" s="128"/>
      <c r="AR65" s="133"/>
      <c r="AS65" s="128"/>
      <c r="AT65" s="128"/>
      <c r="AU65" s="128"/>
      <c r="AV65" s="133"/>
      <c r="AW65" s="128"/>
      <c r="AX65" s="133"/>
      <c r="AY65" s="128"/>
      <c r="AZ65" s="128"/>
      <c r="BA65" s="128"/>
      <c r="BB65" s="133"/>
      <c r="BC65" s="128"/>
      <c r="BD65" s="133"/>
      <c r="BE65" s="128"/>
      <c r="BF65" s="128"/>
      <c r="BG65" s="128"/>
      <c r="BH65" s="133"/>
      <c r="BI65" s="128"/>
      <c r="BJ65" s="133"/>
      <c r="BK65" s="128"/>
      <c r="BL65" s="128"/>
      <c r="BM65" s="128"/>
      <c r="BN65" s="133"/>
      <c r="BO65" s="128"/>
      <c r="BP65" s="133"/>
      <c r="BQ65" s="128"/>
      <c r="BR65" s="128"/>
      <c r="BS65" s="128"/>
      <c r="BT65" s="133"/>
      <c r="BU65" s="128"/>
      <c r="BV65" s="133"/>
      <c r="BW65" s="128"/>
      <c r="BX65" s="128"/>
      <c r="BY65" s="128"/>
      <c r="BZ65" s="133"/>
      <c r="CA65" s="128"/>
      <c r="CB65" s="133"/>
      <c r="CC65" s="128"/>
      <c r="CD65" s="128"/>
      <c r="CE65" s="128"/>
      <c r="CF65" s="128"/>
    </row>
    <row r="66" spans="1:86" x14ac:dyDescent="0.5">
      <c r="A66" s="262"/>
      <c r="B66" s="135"/>
      <c r="C66" s="136"/>
      <c r="D66" s="137"/>
      <c r="E66" s="906"/>
      <c r="F66" s="940"/>
      <c r="G66" s="941"/>
      <c r="H66" s="178">
        <v>43797</v>
      </c>
      <c r="I66" s="171">
        <v>19375</v>
      </c>
      <c r="J66" s="963"/>
      <c r="K66" s="154"/>
      <c r="L66" s="135"/>
      <c r="M66" s="141"/>
      <c r="N66" s="135"/>
      <c r="O66" s="142"/>
      <c r="P66" s="142"/>
      <c r="Q66" s="142"/>
      <c r="R66" s="213"/>
      <c r="S66" s="144"/>
      <c r="T66" s="145"/>
      <c r="U66" s="146"/>
      <c r="V66" s="147"/>
      <c r="W66" s="148"/>
      <c r="X66" s="149"/>
      <c r="Y66" s="149"/>
      <c r="Z66" s="150"/>
      <c r="AA66" s="151"/>
      <c r="AB66" s="154">
        <v>19110479</v>
      </c>
      <c r="AC66" s="155">
        <v>568500</v>
      </c>
      <c r="AD66" s="156">
        <f>AC66*7/100</f>
        <v>39795</v>
      </c>
      <c r="AE66" s="156">
        <f>AC66+AD66</f>
        <v>608295</v>
      </c>
      <c r="AF66" s="157">
        <v>43790</v>
      </c>
      <c r="AG66" s="152" t="s">
        <v>869</v>
      </c>
      <c r="AH66" s="152"/>
      <c r="AI66" s="152"/>
      <c r="AJ66" s="842" t="s">
        <v>3333</v>
      </c>
      <c r="AK66" s="158"/>
      <c r="AL66" s="159"/>
      <c r="AM66" s="160"/>
      <c r="AN66" s="160"/>
      <c r="AO66" s="161"/>
      <c r="AP66" s="162"/>
      <c r="AQ66" s="158"/>
      <c r="AR66" s="163"/>
      <c r="AS66" s="158"/>
      <c r="AT66" s="158"/>
      <c r="AU66" s="158"/>
      <c r="AV66" s="163"/>
      <c r="AW66" s="158"/>
      <c r="AX66" s="163"/>
      <c r="AY66" s="158"/>
      <c r="AZ66" s="158"/>
      <c r="BA66" s="158"/>
      <c r="BB66" s="163"/>
      <c r="BC66" s="158"/>
      <c r="BD66" s="163"/>
      <c r="BE66" s="158"/>
      <c r="BF66" s="158"/>
      <c r="BG66" s="158"/>
      <c r="BH66" s="163"/>
      <c r="BI66" s="158"/>
      <c r="BJ66" s="163"/>
      <c r="BK66" s="158"/>
      <c r="BL66" s="158"/>
      <c r="BM66" s="158"/>
      <c r="BN66" s="163"/>
      <c r="BO66" s="158"/>
      <c r="BP66" s="163"/>
      <c r="BQ66" s="158"/>
      <c r="BR66" s="158"/>
      <c r="BS66" s="158"/>
      <c r="BT66" s="163"/>
      <c r="BU66" s="158"/>
      <c r="BV66" s="163"/>
      <c r="BW66" s="158"/>
      <c r="BX66" s="158"/>
      <c r="BY66" s="158"/>
      <c r="BZ66" s="163"/>
      <c r="CA66" s="158"/>
      <c r="CB66" s="163"/>
      <c r="CC66" s="158"/>
      <c r="CD66" s="158"/>
      <c r="CE66" s="158"/>
      <c r="CF66" s="158"/>
    </row>
    <row r="67" spans="1:86" x14ac:dyDescent="0.5">
      <c r="A67" s="262"/>
      <c r="B67" s="135"/>
      <c r="C67" s="136"/>
      <c r="D67" s="137"/>
      <c r="E67" s="906"/>
      <c r="F67" s="940"/>
      <c r="G67" s="941"/>
      <c r="H67" s="170">
        <v>43797</v>
      </c>
      <c r="I67" s="251">
        <v>19376</v>
      </c>
      <c r="J67" s="963"/>
      <c r="K67" s="154"/>
      <c r="L67" s="135"/>
      <c r="M67" s="141"/>
      <c r="N67" s="135"/>
      <c r="O67" s="142"/>
      <c r="P67" s="142"/>
      <c r="Q67" s="142"/>
      <c r="R67" s="213"/>
      <c r="S67" s="144"/>
      <c r="T67" s="145"/>
      <c r="U67" s="146"/>
      <c r="V67" s="147"/>
      <c r="W67" s="148"/>
      <c r="X67" s="149"/>
      <c r="Y67" s="149"/>
      <c r="Z67" s="150"/>
      <c r="AA67" s="151"/>
      <c r="AB67" s="154"/>
      <c r="AC67" s="155"/>
      <c r="AD67" s="156"/>
      <c r="AE67" s="156"/>
      <c r="AF67" s="157"/>
      <c r="AG67" s="152"/>
      <c r="AH67" s="152"/>
      <c r="AI67" s="152"/>
      <c r="AJ67" s="842"/>
      <c r="AK67" s="158"/>
      <c r="AL67" s="159"/>
      <c r="AM67" s="160"/>
      <c r="AN67" s="160"/>
      <c r="AO67" s="161"/>
      <c r="AP67" s="162"/>
      <c r="AQ67" s="158"/>
      <c r="AR67" s="163"/>
      <c r="AS67" s="158"/>
      <c r="AT67" s="158"/>
      <c r="AU67" s="158"/>
      <c r="AV67" s="163"/>
      <c r="AW67" s="158"/>
      <c r="AX67" s="163"/>
      <c r="AY67" s="158"/>
      <c r="AZ67" s="158"/>
      <c r="BA67" s="158"/>
      <c r="BB67" s="163"/>
      <c r="BC67" s="158"/>
      <c r="BD67" s="163"/>
      <c r="BE67" s="158"/>
      <c r="BF67" s="158"/>
      <c r="BG67" s="158"/>
      <c r="BH67" s="163"/>
      <c r="BI67" s="158"/>
      <c r="BJ67" s="163"/>
      <c r="BK67" s="158"/>
      <c r="BL67" s="158"/>
      <c r="BM67" s="158"/>
      <c r="BN67" s="163"/>
      <c r="BO67" s="158"/>
      <c r="BP67" s="163"/>
      <c r="BQ67" s="158"/>
      <c r="BR67" s="158"/>
      <c r="BS67" s="158"/>
      <c r="BT67" s="163"/>
      <c r="BU67" s="158"/>
      <c r="BV67" s="163"/>
      <c r="BW67" s="158"/>
      <c r="BX67" s="158"/>
      <c r="BY67" s="158"/>
      <c r="BZ67" s="163"/>
      <c r="CA67" s="158"/>
      <c r="CB67" s="163"/>
      <c r="CC67" s="158"/>
      <c r="CD67" s="158"/>
      <c r="CE67" s="158"/>
      <c r="CF67" s="158"/>
    </row>
    <row r="68" spans="1:86" x14ac:dyDescent="0.5">
      <c r="A68" s="268"/>
      <c r="B68" s="181"/>
      <c r="C68" s="182"/>
      <c r="D68" s="183"/>
      <c r="E68" s="749"/>
      <c r="F68" s="938"/>
      <c r="G68" s="939"/>
      <c r="H68" s="186">
        <v>43797</v>
      </c>
      <c r="I68" s="187">
        <v>19377</v>
      </c>
      <c r="J68" s="961"/>
      <c r="K68" s="200"/>
      <c r="L68" s="181"/>
      <c r="M68" s="188"/>
      <c r="N68" s="181"/>
      <c r="O68" s="189"/>
      <c r="P68" s="189"/>
      <c r="Q68" s="189"/>
      <c r="R68" s="214"/>
      <c r="S68" s="215"/>
      <c r="T68" s="216"/>
      <c r="U68" s="217"/>
      <c r="V68" s="218"/>
      <c r="W68" s="195"/>
      <c r="X68" s="196"/>
      <c r="Y68" s="196"/>
      <c r="Z68" s="197"/>
      <c r="AA68" s="198"/>
      <c r="AB68" s="200"/>
      <c r="AC68" s="201"/>
      <c r="AD68" s="202"/>
      <c r="AE68" s="202"/>
      <c r="AF68" s="203"/>
      <c r="AG68" s="199"/>
      <c r="AH68" s="199"/>
      <c r="AI68" s="199"/>
      <c r="AJ68" s="843"/>
      <c r="AK68" s="204"/>
      <c r="AL68" s="205"/>
      <c r="AM68" s="206"/>
      <c r="AN68" s="206"/>
      <c r="AO68" s="207"/>
      <c r="AP68" s="208"/>
      <c r="AQ68" s="204"/>
      <c r="AR68" s="210"/>
      <c r="AS68" s="204"/>
      <c r="AT68" s="204"/>
      <c r="AU68" s="204"/>
      <c r="AV68" s="210"/>
      <c r="AW68" s="204"/>
      <c r="AX68" s="210"/>
      <c r="AY68" s="204"/>
      <c r="AZ68" s="204"/>
      <c r="BA68" s="204"/>
      <c r="BB68" s="210"/>
      <c r="BC68" s="204"/>
      <c r="BD68" s="210"/>
      <c r="BE68" s="204"/>
      <c r="BF68" s="204"/>
      <c r="BG68" s="204"/>
      <c r="BH68" s="210"/>
      <c r="BI68" s="204"/>
      <c r="BJ68" s="210"/>
      <c r="BK68" s="204"/>
      <c r="BL68" s="204"/>
      <c r="BM68" s="204"/>
      <c r="BN68" s="210"/>
      <c r="BO68" s="204"/>
      <c r="BP68" s="210"/>
      <c r="BQ68" s="204"/>
      <c r="BR68" s="204"/>
      <c r="BS68" s="204"/>
      <c r="BT68" s="210"/>
      <c r="BU68" s="204"/>
      <c r="BV68" s="210"/>
      <c r="BW68" s="204"/>
      <c r="BX68" s="204"/>
      <c r="BY68" s="204"/>
      <c r="BZ68" s="210"/>
      <c r="CA68" s="204"/>
      <c r="CB68" s="210"/>
      <c r="CC68" s="204"/>
      <c r="CD68" s="204"/>
      <c r="CE68" s="204"/>
      <c r="CF68" s="204"/>
    </row>
    <row r="69" spans="1:86" x14ac:dyDescent="0.5">
      <c r="A69" s="227">
        <v>19116421</v>
      </c>
      <c r="B69" s="22">
        <v>19111100</v>
      </c>
      <c r="C69" s="23" t="s">
        <v>3106</v>
      </c>
      <c r="D69" s="24" t="s">
        <v>1323</v>
      </c>
      <c r="E69" s="884">
        <v>43803</v>
      </c>
      <c r="F69" s="932" t="s">
        <v>1324</v>
      </c>
      <c r="G69" s="933" t="s">
        <v>3182</v>
      </c>
      <c r="H69" s="62">
        <v>43809</v>
      </c>
      <c r="I69" s="27">
        <v>19388</v>
      </c>
      <c r="J69" s="931" t="s">
        <v>869</v>
      </c>
      <c r="K69" s="957">
        <v>43810</v>
      </c>
      <c r="L69" s="22" t="s">
        <v>10</v>
      </c>
      <c r="M69" s="28" t="s">
        <v>3155</v>
      </c>
      <c r="N69" s="22" t="s">
        <v>51</v>
      </c>
      <c r="O69" s="29">
        <v>240000</v>
      </c>
      <c r="P69" s="29">
        <f>O69*7/100</f>
        <v>16800</v>
      </c>
      <c r="Q69" s="29">
        <f>O69+P69</f>
        <v>256800</v>
      </c>
      <c r="R69" s="61"/>
      <c r="S69" s="96"/>
      <c r="T69" s="97"/>
      <c r="U69" s="98"/>
      <c r="V69" s="99"/>
      <c r="W69" s="100"/>
      <c r="X69" s="99"/>
      <c r="Y69" s="99"/>
      <c r="Z69" s="100"/>
      <c r="AA69" s="101"/>
      <c r="AB69" s="40">
        <v>19120505</v>
      </c>
      <c r="AC69" s="41">
        <v>240000</v>
      </c>
      <c r="AD69" s="52">
        <f t="shared" ref="AD69:AD86" si="16">AC69*7/100</f>
        <v>16800</v>
      </c>
      <c r="AE69" s="52">
        <f t="shared" ref="AE69:AE86" si="17">AC69+AD69</f>
        <v>256800</v>
      </c>
      <c r="AF69" s="53">
        <v>43857</v>
      </c>
      <c r="AG69" s="39" t="s">
        <v>869</v>
      </c>
      <c r="AH69" s="39"/>
      <c r="AI69" s="39"/>
      <c r="AJ69" s="21" t="s">
        <v>3457</v>
      </c>
      <c r="AK69" s="1081">
        <v>1</v>
      </c>
      <c r="AL69" s="45" t="s">
        <v>3156</v>
      </c>
      <c r="AM69" s="46"/>
      <c r="AN69" s="46" t="s">
        <v>869</v>
      </c>
      <c r="AO69" s="47">
        <v>1</v>
      </c>
      <c r="AP69" s="48" t="s">
        <v>633</v>
      </c>
      <c r="AQ69" s="1121"/>
      <c r="AR69" s="54"/>
      <c r="AS69" s="1121"/>
      <c r="AT69" s="1121"/>
      <c r="AU69" s="1121"/>
      <c r="AV69" s="54"/>
      <c r="AW69" s="1121"/>
      <c r="AX69" s="54"/>
      <c r="AY69" s="1121"/>
      <c r="AZ69" s="1121"/>
      <c r="BA69" s="1121"/>
      <c r="BB69" s="54"/>
      <c r="BC69" s="1121"/>
      <c r="BD69" s="54"/>
      <c r="BE69" s="1121"/>
      <c r="BF69" s="1121"/>
      <c r="BG69" s="1121"/>
      <c r="BH69" s="54"/>
      <c r="BI69" s="1121"/>
      <c r="BJ69" s="54"/>
      <c r="BK69" s="1121"/>
      <c r="BL69" s="1121"/>
      <c r="BM69" s="1121"/>
      <c r="BN69" s="54"/>
      <c r="BO69" s="1121"/>
      <c r="BP69" s="54"/>
      <c r="BQ69" s="1121"/>
      <c r="BR69" s="1121"/>
      <c r="BS69" s="1121"/>
      <c r="BT69" s="54"/>
      <c r="BU69" s="1121"/>
      <c r="BV69" s="54"/>
      <c r="BW69" s="1121"/>
      <c r="BX69" s="1121"/>
      <c r="BY69" s="1121"/>
      <c r="BZ69" s="54"/>
      <c r="CA69" s="1121"/>
      <c r="CB69" s="54"/>
      <c r="CC69" s="1121"/>
      <c r="CD69" s="1121"/>
      <c r="CE69" s="1121"/>
      <c r="CF69" s="1121"/>
    </row>
    <row r="70" spans="1:86" x14ac:dyDescent="0.5">
      <c r="A70" s="227">
        <v>19116420</v>
      </c>
      <c r="B70" s="22">
        <v>19111092</v>
      </c>
      <c r="C70" s="55"/>
      <c r="D70" s="56"/>
      <c r="E70" s="910"/>
      <c r="F70" s="57"/>
      <c r="G70" s="58"/>
      <c r="H70" s="59"/>
      <c r="I70" s="60"/>
      <c r="J70" s="269"/>
      <c r="K70" s="59"/>
      <c r="L70" s="22" t="s">
        <v>1546</v>
      </c>
      <c r="M70" s="28" t="s">
        <v>3078</v>
      </c>
      <c r="N70" s="22" t="s">
        <v>1523</v>
      </c>
      <c r="O70" s="29">
        <v>29400</v>
      </c>
      <c r="P70" s="29">
        <f>O70*7/100</f>
        <v>2058</v>
      </c>
      <c r="Q70" s="29">
        <f>O70+P70</f>
        <v>31458</v>
      </c>
      <c r="R70" s="61"/>
      <c r="S70" s="96"/>
      <c r="T70" s="97"/>
      <c r="U70" s="98"/>
      <c r="V70" s="99"/>
      <c r="W70" s="35">
        <f>O70</f>
        <v>29400</v>
      </c>
      <c r="X70" s="36">
        <v>1</v>
      </c>
      <c r="Y70" s="36">
        <f>W70*X70/100</f>
        <v>294</v>
      </c>
      <c r="Z70" s="100"/>
      <c r="AA70" s="101"/>
      <c r="AB70" s="40">
        <v>19110473</v>
      </c>
      <c r="AC70" s="41">
        <v>29400</v>
      </c>
      <c r="AD70" s="63">
        <f t="shared" si="16"/>
        <v>2058</v>
      </c>
      <c r="AE70" s="64">
        <f t="shared" si="17"/>
        <v>31458</v>
      </c>
      <c r="AF70" s="53">
        <v>43787</v>
      </c>
      <c r="AG70" s="39" t="s">
        <v>869</v>
      </c>
      <c r="AH70" s="39"/>
      <c r="AI70" s="39"/>
      <c r="AJ70" s="21" t="s">
        <v>3329</v>
      </c>
      <c r="AK70" s="1081">
        <v>1</v>
      </c>
      <c r="AL70" s="45" t="s">
        <v>2907</v>
      </c>
      <c r="AM70" s="46"/>
      <c r="AN70" s="46"/>
      <c r="AO70" s="47">
        <v>6</v>
      </c>
      <c r="AP70" s="48" t="s">
        <v>628</v>
      </c>
      <c r="AQ70" s="1083"/>
      <c r="AR70" s="54"/>
      <c r="AS70" s="1083"/>
      <c r="AT70" s="1083"/>
      <c r="AU70" s="1083"/>
      <c r="AV70" s="54"/>
      <c r="AW70" s="1083"/>
      <c r="AX70" s="54"/>
      <c r="AY70" s="1083"/>
      <c r="AZ70" s="1083"/>
      <c r="BA70" s="1083"/>
      <c r="BB70" s="54"/>
      <c r="BC70" s="1083"/>
      <c r="BD70" s="54"/>
      <c r="BE70" s="1083"/>
      <c r="BF70" s="1083"/>
      <c r="BG70" s="1083"/>
      <c r="BH70" s="54"/>
      <c r="BI70" s="1083"/>
      <c r="BJ70" s="54"/>
      <c r="BK70" s="1083"/>
      <c r="BL70" s="1083"/>
      <c r="BM70" s="1083"/>
      <c r="BN70" s="54"/>
      <c r="BO70" s="1083"/>
      <c r="BP70" s="54"/>
      <c r="BQ70" s="1083"/>
      <c r="BR70" s="1083"/>
      <c r="BS70" s="1083"/>
      <c r="BT70" s="54"/>
      <c r="BU70" s="1083"/>
      <c r="BV70" s="54"/>
      <c r="BW70" s="1083"/>
      <c r="BX70" s="1083"/>
      <c r="BY70" s="1083"/>
      <c r="BZ70" s="54"/>
      <c r="CA70" s="1083"/>
      <c r="CB70" s="54"/>
      <c r="CC70" s="1083"/>
      <c r="CD70" s="1083"/>
      <c r="CE70" s="1083"/>
      <c r="CF70" s="1083"/>
    </row>
    <row r="71" spans="1:86" x14ac:dyDescent="0.5">
      <c r="A71" s="227">
        <v>19116419</v>
      </c>
      <c r="B71" s="22">
        <v>19111097</v>
      </c>
      <c r="C71" s="23" t="s">
        <v>3079</v>
      </c>
      <c r="D71" s="24" t="s">
        <v>1323</v>
      </c>
      <c r="E71" s="884">
        <v>43801</v>
      </c>
      <c r="F71" s="932" t="s">
        <v>1324</v>
      </c>
      <c r="G71" s="933" t="s">
        <v>3191</v>
      </c>
      <c r="H71" s="62">
        <v>43809</v>
      </c>
      <c r="I71" s="27">
        <v>19389</v>
      </c>
      <c r="J71" s="931" t="s">
        <v>869</v>
      </c>
      <c r="K71" s="957">
        <v>43811</v>
      </c>
      <c r="L71" s="22" t="s">
        <v>1221</v>
      </c>
      <c r="M71" s="28" t="s">
        <v>3080</v>
      </c>
      <c r="N71" s="22" t="s">
        <v>51</v>
      </c>
      <c r="O71" s="29">
        <v>266000</v>
      </c>
      <c r="P71" s="29">
        <f>O71*7/100</f>
        <v>18620</v>
      </c>
      <c r="Q71" s="29">
        <f>O71+P71</f>
        <v>284620</v>
      </c>
      <c r="R71" s="61"/>
      <c r="S71" s="96"/>
      <c r="T71" s="97"/>
      <c r="U71" s="98"/>
      <c r="V71" s="99"/>
      <c r="W71" s="100"/>
      <c r="X71" s="99"/>
      <c r="Y71" s="99"/>
      <c r="Z71" s="100"/>
      <c r="AA71" s="101"/>
      <c r="AB71" s="40">
        <v>19120506</v>
      </c>
      <c r="AC71" s="41">
        <v>266000</v>
      </c>
      <c r="AD71" s="52">
        <f t="shared" si="16"/>
        <v>18620</v>
      </c>
      <c r="AE71" s="52">
        <f t="shared" si="17"/>
        <v>284620</v>
      </c>
      <c r="AF71" s="53">
        <v>43857</v>
      </c>
      <c r="AG71" s="39" t="s">
        <v>869</v>
      </c>
      <c r="AH71" s="39"/>
      <c r="AI71" s="39"/>
      <c r="AJ71" s="21" t="s">
        <v>3456</v>
      </c>
      <c r="AK71" s="1080">
        <v>1</v>
      </c>
      <c r="AL71" s="45" t="s">
        <v>2427</v>
      </c>
      <c r="AM71" s="46"/>
      <c r="AN71" s="46" t="s">
        <v>869</v>
      </c>
      <c r="AO71" s="47">
        <v>1</v>
      </c>
      <c r="AP71" s="48" t="s">
        <v>635</v>
      </c>
      <c r="AQ71" s="1083"/>
      <c r="AR71" s="54"/>
      <c r="AS71" s="1083"/>
      <c r="AT71" s="1083"/>
      <c r="AU71" s="1083"/>
      <c r="AV71" s="54"/>
      <c r="AW71" s="1083"/>
      <c r="AX71" s="54"/>
      <c r="AY71" s="1083"/>
      <c r="AZ71" s="1083"/>
      <c r="BA71" s="1083"/>
      <c r="BB71" s="54"/>
      <c r="BC71" s="1083"/>
      <c r="BD71" s="54"/>
      <c r="BE71" s="1083"/>
      <c r="BF71" s="1083"/>
      <c r="BG71" s="1083"/>
      <c r="BH71" s="54"/>
      <c r="BI71" s="1083"/>
      <c r="BJ71" s="54"/>
      <c r="BK71" s="1083"/>
      <c r="BL71" s="1083"/>
      <c r="BM71" s="1083"/>
      <c r="BN71" s="54"/>
      <c r="BO71" s="1083"/>
      <c r="BP71" s="54"/>
      <c r="BQ71" s="1083"/>
      <c r="BR71" s="1083"/>
      <c r="BS71" s="1083"/>
      <c r="BT71" s="54"/>
      <c r="BU71" s="1083"/>
      <c r="BV71" s="54"/>
      <c r="BW71" s="1083"/>
      <c r="BX71" s="1083"/>
      <c r="BY71" s="1083"/>
      <c r="BZ71" s="54"/>
      <c r="CA71" s="1083"/>
      <c r="CB71" s="54"/>
      <c r="CC71" s="1083"/>
      <c r="CD71" s="1083"/>
      <c r="CE71" s="1083"/>
      <c r="CF71" s="1083"/>
    </row>
    <row r="72" spans="1:86" x14ac:dyDescent="0.5">
      <c r="A72" s="227">
        <v>19116418</v>
      </c>
      <c r="B72" s="22">
        <v>19111083</v>
      </c>
      <c r="C72" s="55"/>
      <c r="D72" s="56"/>
      <c r="E72" s="910"/>
      <c r="F72" s="57"/>
      <c r="G72" s="58"/>
      <c r="H72" s="59"/>
      <c r="I72" s="60"/>
      <c r="J72" s="269"/>
      <c r="K72" s="59"/>
      <c r="L72" s="22" t="s">
        <v>3076</v>
      </c>
      <c r="M72" s="28" t="s">
        <v>3077</v>
      </c>
      <c r="N72" s="22" t="s">
        <v>51</v>
      </c>
      <c r="O72" s="29">
        <v>3200</v>
      </c>
      <c r="P72" s="29">
        <f>O72*7/100</f>
        <v>224</v>
      </c>
      <c r="Q72" s="29">
        <f>O72+P72</f>
        <v>3424</v>
      </c>
      <c r="R72" s="61"/>
      <c r="S72" s="96"/>
      <c r="T72" s="97"/>
      <c r="U72" s="98"/>
      <c r="V72" s="99"/>
      <c r="W72" s="100"/>
      <c r="X72" s="99"/>
      <c r="Y72" s="99"/>
      <c r="Z72" s="100"/>
      <c r="AA72" s="101"/>
      <c r="AB72" s="40">
        <v>19110472</v>
      </c>
      <c r="AC72" s="41">
        <v>3200</v>
      </c>
      <c r="AD72" s="52">
        <f t="shared" si="16"/>
        <v>224</v>
      </c>
      <c r="AE72" s="52">
        <f t="shared" si="17"/>
        <v>3424</v>
      </c>
      <c r="AF72" s="53">
        <v>43813</v>
      </c>
      <c r="AG72" s="39" t="s">
        <v>869</v>
      </c>
      <c r="AH72" s="39"/>
      <c r="AI72" s="39"/>
      <c r="AJ72" s="21" t="s">
        <v>3488</v>
      </c>
      <c r="AK72" s="1080">
        <v>1</v>
      </c>
      <c r="AL72" s="45" t="s">
        <v>3081</v>
      </c>
      <c r="AM72" s="46"/>
      <c r="AN72" s="46"/>
      <c r="AO72" s="47">
        <v>2</v>
      </c>
      <c r="AP72" s="48" t="s">
        <v>628</v>
      </c>
      <c r="AQ72" s="1083"/>
      <c r="AR72" s="54"/>
      <c r="AS72" s="1083"/>
      <c r="AT72" s="1083"/>
      <c r="AU72" s="1083"/>
      <c r="AV72" s="54"/>
      <c r="AW72" s="1083"/>
      <c r="AX72" s="54"/>
      <c r="AY72" s="1083"/>
      <c r="AZ72" s="1083"/>
      <c r="BA72" s="1083"/>
      <c r="BB72" s="54"/>
      <c r="BC72" s="1083"/>
      <c r="BD72" s="54"/>
      <c r="BE72" s="1083"/>
      <c r="BF72" s="1083"/>
      <c r="BG72" s="1083"/>
      <c r="BH72" s="54"/>
      <c r="BI72" s="1083"/>
      <c r="BJ72" s="54"/>
      <c r="BK72" s="1083"/>
      <c r="BL72" s="1083"/>
      <c r="BM72" s="1083"/>
      <c r="BN72" s="54"/>
      <c r="BO72" s="1083"/>
      <c r="BP72" s="54"/>
      <c r="BQ72" s="1083"/>
      <c r="BR72" s="1083"/>
      <c r="BS72" s="1083"/>
      <c r="BT72" s="54"/>
      <c r="BU72" s="1083"/>
      <c r="BV72" s="54"/>
      <c r="BW72" s="1083"/>
      <c r="BX72" s="1083"/>
      <c r="BY72" s="1083"/>
      <c r="BZ72" s="54"/>
      <c r="CA72" s="1083"/>
      <c r="CB72" s="54"/>
      <c r="CC72" s="1083"/>
      <c r="CD72" s="1083"/>
      <c r="CE72" s="1083"/>
      <c r="CF72" s="1083"/>
    </row>
    <row r="73" spans="1:86" x14ac:dyDescent="0.5">
      <c r="A73" s="103">
        <v>19116417</v>
      </c>
      <c r="B73" s="104">
        <v>19116417</v>
      </c>
      <c r="C73" s="105" t="s">
        <v>3082</v>
      </c>
      <c r="D73" s="106" t="s">
        <v>1323</v>
      </c>
      <c r="E73" s="302" t="s">
        <v>3083</v>
      </c>
      <c r="F73" s="946" t="s">
        <v>1324</v>
      </c>
      <c r="G73" s="947" t="s">
        <v>3079</v>
      </c>
      <c r="H73" s="211">
        <v>43790</v>
      </c>
      <c r="I73" s="164">
        <v>19365</v>
      </c>
      <c r="J73" s="1090" t="s">
        <v>3104</v>
      </c>
      <c r="K73" s="962">
        <v>43791</v>
      </c>
      <c r="L73" s="104" t="s">
        <v>20</v>
      </c>
      <c r="M73" s="110" t="s">
        <v>3084</v>
      </c>
      <c r="N73" s="104" t="s">
        <v>51</v>
      </c>
      <c r="O73" s="111">
        <v>1220000</v>
      </c>
      <c r="P73" s="111">
        <f>O73*7/100</f>
        <v>85400</v>
      </c>
      <c r="Q73" s="111">
        <f>O73+P73</f>
        <v>1305400</v>
      </c>
      <c r="R73" s="212"/>
      <c r="S73" s="165"/>
      <c r="T73" s="166"/>
      <c r="U73" s="167"/>
      <c r="V73" s="168"/>
      <c r="W73" s="231"/>
      <c r="X73" s="168"/>
      <c r="Y73" s="168"/>
      <c r="Z73" s="231"/>
      <c r="AA73" s="232"/>
      <c r="AB73" s="229">
        <v>19110486</v>
      </c>
      <c r="AC73" s="230">
        <v>24400</v>
      </c>
      <c r="AD73" s="233">
        <f t="shared" si="16"/>
        <v>1708</v>
      </c>
      <c r="AE73" s="234">
        <f t="shared" si="17"/>
        <v>26108</v>
      </c>
      <c r="AF73" s="221">
        <v>43826</v>
      </c>
      <c r="AG73" s="121" t="s">
        <v>869</v>
      </c>
      <c r="AH73" s="121"/>
      <c r="AI73" s="121"/>
      <c r="AJ73" s="222" t="s">
        <v>3620</v>
      </c>
      <c r="AK73" s="128">
        <v>1</v>
      </c>
      <c r="AL73" s="129" t="s">
        <v>3085</v>
      </c>
      <c r="AM73" s="130"/>
      <c r="AN73" s="130" t="s">
        <v>869</v>
      </c>
      <c r="AO73" s="131">
        <v>200</v>
      </c>
      <c r="AP73" s="132" t="s">
        <v>633</v>
      </c>
      <c r="AQ73" s="128"/>
      <c r="AR73" s="133"/>
      <c r="AS73" s="128"/>
      <c r="AT73" s="128"/>
      <c r="AU73" s="128"/>
      <c r="AV73" s="133"/>
      <c r="AW73" s="128"/>
      <c r="AX73" s="133"/>
      <c r="AY73" s="128"/>
      <c r="AZ73" s="128"/>
      <c r="BA73" s="128"/>
      <c r="BB73" s="133"/>
      <c r="BC73" s="128"/>
      <c r="BD73" s="133"/>
      <c r="BE73" s="128"/>
      <c r="BF73" s="128"/>
      <c r="BG73" s="128"/>
      <c r="BH73" s="133"/>
      <c r="BI73" s="128"/>
      <c r="BJ73" s="133"/>
      <c r="BK73" s="128"/>
      <c r="BL73" s="128"/>
      <c r="BM73" s="128"/>
      <c r="BN73" s="133"/>
      <c r="BO73" s="128"/>
      <c r="BP73" s="133"/>
      <c r="BQ73" s="128"/>
      <c r="BR73" s="128"/>
      <c r="BS73" s="128"/>
      <c r="BT73" s="133"/>
      <c r="BU73" s="128"/>
      <c r="BV73" s="133"/>
      <c r="BW73" s="128"/>
      <c r="BX73" s="128"/>
      <c r="BY73" s="128"/>
      <c r="BZ73" s="133"/>
      <c r="CA73" s="128"/>
      <c r="CB73" s="133"/>
      <c r="CC73" s="128"/>
      <c r="CD73" s="128"/>
      <c r="CE73" s="128"/>
      <c r="CF73" s="128"/>
    </row>
    <row r="74" spans="1:86" x14ac:dyDescent="0.5">
      <c r="A74" s="180"/>
      <c r="B74" s="181"/>
      <c r="C74" s="182"/>
      <c r="D74" s="183"/>
      <c r="E74" s="749"/>
      <c r="F74" s="938" t="s">
        <v>1324</v>
      </c>
      <c r="G74" s="939" t="s">
        <v>3106</v>
      </c>
      <c r="H74" s="186">
        <v>43790</v>
      </c>
      <c r="I74" s="187">
        <v>19364</v>
      </c>
      <c r="J74" s="1091" t="s">
        <v>3105</v>
      </c>
      <c r="K74" s="966">
        <v>43794</v>
      </c>
      <c r="L74" s="180"/>
      <c r="M74" s="188"/>
      <c r="N74" s="181"/>
      <c r="O74" s="189"/>
      <c r="P74" s="189"/>
      <c r="Q74" s="189"/>
      <c r="R74" s="214"/>
      <c r="S74" s="191"/>
      <c r="T74" s="192"/>
      <c r="U74" s="193"/>
      <c r="V74" s="194"/>
      <c r="W74" s="235"/>
      <c r="X74" s="194"/>
      <c r="Y74" s="194"/>
      <c r="Z74" s="235"/>
      <c r="AA74" s="236"/>
      <c r="AB74" s="200">
        <v>19120493</v>
      </c>
      <c r="AC74" s="201">
        <v>12200</v>
      </c>
      <c r="AD74" s="202">
        <f t="shared" si="16"/>
        <v>854</v>
      </c>
      <c r="AE74" s="202">
        <f t="shared" si="17"/>
        <v>13054</v>
      </c>
      <c r="AF74" s="203">
        <v>43833</v>
      </c>
      <c r="AG74" s="199" t="s">
        <v>869</v>
      </c>
      <c r="AH74" s="199"/>
      <c r="AI74" s="199"/>
      <c r="AJ74" s="180" t="s">
        <v>3621</v>
      </c>
      <c r="AK74" s="204"/>
      <c r="AL74" s="205"/>
      <c r="AM74" s="206"/>
      <c r="AN74" s="206"/>
      <c r="AO74" s="207"/>
      <c r="AP74" s="208"/>
      <c r="AQ74" s="204"/>
      <c r="AR74" s="210"/>
      <c r="AS74" s="204"/>
      <c r="AT74" s="204"/>
      <c r="AU74" s="204"/>
      <c r="AV74" s="210"/>
      <c r="AW74" s="204"/>
      <c r="AX74" s="210"/>
      <c r="AY74" s="204"/>
      <c r="AZ74" s="204"/>
      <c r="BA74" s="204"/>
      <c r="BB74" s="210"/>
      <c r="BC74" s="204"/>
      <c r="BD74" s="210"/>
      <c r="BE74" s="204"/>
      <c r="BF74" s="204"/>
      <c r="BG74" s="204"/>
      <c r="BH74" s="210"/>
      <c r="BI74" s="204"/>
      <c r="BJ74" s="210"/>
      <c r="BK74" s="204"/>
      <c r="BL74" s="204"/>
      <c r="BM74" s="204"/>
      <c r="BN74" s="210"/>
      <c r="BO74" s="204"/>
      <c r="BP74" s="210"/>
      <c r="BQ74" s="204"/>
      <c r="BR74" s="204"/>
      <c r="BS74" s="204"/>
      <c r="BT74" s="210"/>
      <c r="BU74" s="204"/>
      <c r="BV74" s="210"/>
      <c r="BW74" s="204"/>
      <c r="BX74" s="204"/>
      <c r="BY74" s="204"/>
      <c r="BZ74" s="210"/>
      <c r="CA74" s="204"/>
      <c r="CB74" s="210"/>
      <c r="CC74" s="204"/>
      <c r="CD74" s="204"/>
      <c r="CE74" s="204"/>
      <c r="CF74" s="204"/>
    </row>
    <row r="75" spans="1:86" x14ac:dyDescent="0.5">
      <c r="A75" s="259">
        <v>19116416</v>
      </c>
      <c r="B75" s="104">
        <v>19100961</v>
      </c>
      <c r="C75" s="105" t="s">
        <v>2995</v>
      </c>
      <c r="D75" s="106" t="s">
        <v>1323</v>
      </c>
      <c r="E75" s="302">
        <v>43814</v>
      </c>
      <c r="F75" s="936" t="s">
        <v>3368</v>
      </c>
      <c r="G75" s="937" t="s">
        <v>1353</v>
      </c>
      <c r="H75" s="211">
        <v>43836</v>
      </c>
      <c r="I75" s="164">
        <v>63004</v>
      </c>
      <c r="J75" s="960" t="s">
        <v>869</v>
      </c>
      <c r="K75" s="965">
        <v>43837</v>
      </c>
      <c r="L75" s="104" t="s">
        <v>2996</v>
      </c>
      <c r="M75" s="110" t="s">
        <v>2997</v>
      </c>
      <c r="N75" s="104" t="s">
        <v>52</v>
      </c>
      <c r="O75" s="111">
        <v>105000</v>
      </c>
      <c r="P75" s="111">
        <f t="shared" ref="P75:P97" si="18">O75*7/100</f>
        <v>7350</v>
      </c>
      <c r="Q75" s="111">
        <f t="shared" ref="Q75:Q90" si="19">O75+P75</f>
        <v>112350</v>
      </c>
      <c r="R75" s="311">
        <v>19600</v>
      </c>
      <c r="S75" s="113" t="s">
        <v>2696</v>
      </c>
      <c r="T75" s="114">
        <f>O75-R75</f>
        <v>85400</v>
      </c>
      <c r="U75" s="115">
        <v>5</v>
      </c>
      <c r="V75" s="116">
        <f>T75*U75/100</f>
        <v>4270</v>
      </c>
      <c r="W75" s="117">
        <f>T75-V75</f>
        <v>81130</v>
      </c>
      <c r="X75" s="118">
        <v>0.27</v>
      </c>
      <c r="Y75" s="118">
        <f>W75*X75/100</f>
        <v>219.05100000000002</v>
      </c>
      <c r="Z75" s="119">
        <v>0.2</v>
      </c>
      <c r="AA75" s="120">
        <f>W75*Z75/100</f>
        <v>162.26</v>
      </c>
      <c r="AB75" s="229">
        <v>19110466</v>
      </c>
      <c r="AC75" s="230">
        <v>31500</v>
      </c>
      <c r="AD75" s="220">
        <f t="shared" si="16"/>
        <v>2205</v>
      </c>
      <c r="AE75" s="220">
        <f t="shared" si="17"/>
        <v>33705</v>
      </c>
      <c r="AF75" s="221">
        <v>43782</v>
      </c>
      <c r="AG75" s="121" t="s">
        <v>869</v>
      </c>
      <c r="AH75" s="121"/>
      <c r="AI75" s="121"/>
      <c r="AJ75" s="222" t="s">
        <v>3349</v>
      </c>
      <c r="AK75" s="128">
        <v>1</v>
      </c>
      <c r="AL75" s="129" t="s">
        <v>2122</v>
      </c>
      <c r="AM75" s="130"/>
      <c r="AN75" s="130" t="s">
        <v>869</v>
      </c>
      <c r="AO75" s="131">
        <v>4</v>
      </c>
      <c r="AP75" s="132" t="s">
        <v>634</v>
      </c>
      <c r="AQ75" s="128"/>
      <c r="AR75" s="133"/>
      <c r="AS75" s="128"/>
      <c r="AT75" s="128"/>
      <c r="AU75" s="128"/>
      <c r="AV75" s="133"/>
      <c r="AW75" s="128"/>
      <c r="AX75" s="133"/>
      <c r="AY75" s="128"/>
      <c r="AZ75" s="128"/>
      <c r="BA75" s="128"/>
      <c r="BB75" s="133"/>
      <c r="BC75" s="128"/>
      <c r="BD75" s="133"/>
      <c r="BE75" s="128"/>
      <c r="BF75" s="128"/>
      <c r="BG75" s="128"/>
      <c r="BH75" s="133"/>
      <c r="BI75" s="128"/>
      <c r="BJ75" s="133"/>
      <c r="BK75" s="128"/>
      <c r="BL75" s="128"/>
      <c r="BM75" s="128"/>
      <c r="BN75" s="133"/>
      <c r="BO75" s="128"/>
      <c r="BP75" s="133"/>
      <c r="BQ75" s="128"/>
      <c r="BR75" s="128"/>
      <c r="BS75" s="128"/>
      <c r="BT75" s="133"/>
      <c r="BU75" s="128"/>
      <c r="BV75" s="133"/>
      <c r="BW75" s="128"/>
      <c r="BX75" s="128"/>
      <c r="BY75" s="128"/>
      <c r="BZ75" s="133"/>
      <c r="CA75" s="128"/>
      <c r="CB75" s="133"/>
      <c r="CC75" s="128"/>
      <c r="CD75" s="128"/>
      <c r="CE75" s="128"/>
      <c r="CF75" s="128"/>
      <c r="CH75" s="239"/>
    </row>
    <row r="76" spans="1:86" x14ac:dyDescent="0.5">
      <c r="A76" s="268"/>
      <c r="B76" s="181"/>
      <c r="C76" s="182"/>
      <c r="D76" s="183"/>
      <c r="E76" s="749"/>
      <c r="F76" s="938"/>
      <c r="G76" s="939"/>
      <c r="H76" s="186">
        <v>43836</v>
      </c>
      <c r="I76" s="187">
        <v>63005</v>
      </c>
      <c r="J76" s="961"/>
      <c r="K76" s="200"/>
      <c r="L76" s="181"/>
      <c r="M76" s="188"/>
      <c r="N76" s="181"/>
      <c r="O76" s="189"/>
      <c r="P76" s="189"/>
      <c r="Q76" s="189"/>
      <c r="R76" s="190"/>
      <c r="S76" s="215"/>
      <c r="T76" s="216"/>
      <c r="U76" s="217"/>
      <c r="V76" s="218"/>
      <c r="W76" s="195"/>
      <c r="X76" s="196"/>
      <c r="Y76" s="196"/>
      <c r="Z76" s="197"/>
      <c r="AA76" s="198"/>
      <c r="AB76" s="200">
        <v>20010536</v>
      </c>
      <c r="AC76" s="201">
        <v>73500</v>
      </c>
      <c r="AD76" s="202">
        <f t="shared" si="16"/>
        <v>5145</v>
      </c>
      <c r="AE76" s="202">
        <f t="shared" si="17"/>
        <v>78645</v>
      </c>
      <c r="AF76" s="203"/>
      <c r="AG76" s="199" t="s">
        <v>869</v>
      </c>
      <c r="AH76" s="199"/>
      <c r="AI76" s="199"/>
      <c r="AJ76" s="180" t="s">
        <v>3502</v>
      </c>
      <c r="AK76" s="204"/>
      <c r="AL76" s="205"/>
      <c r="AM76" s="206"/>
      <c r="AN76" s="206"/>
      <c r="AO76" s="207"/>
      <c r="AP76" s="208"/>
      <c r="AQ76" s="204"/>
      <c r="AR76" s="210"/>
      <c r="AS76" s="204"/>
      <c r="AT76" s="204"/>
      <c r="AU76" s="204"/>
      <c r="AV76" s="210"/>
      <c r="AW76" s="204"/>
      <c r="AX76" s="210"/>
      <c r="AY76" s="204"/>
      <c r="AZ76" s="204"/>
      <c r="BA76" s="204"/>
      <c r="BB76" s="210"/>
      <c r="BC76" s="204"/>
      <c r="BD76" s="210"/>
      <c r="BE76" s="204"/>
      <c r="BF76" s="204"/>
      <c r="BG76" s="204"/>
      <c r="BH76" s="210"/>
      <c r="BI76" s="204"/>
      <c r="BJ76" s="210"/>
      <c r="BK76" s="204"/>
      <c r="BL76" s="204"/>
      <c r="BM76" s="204"/>
      <c r="BN76" s="210"/>
      <c r="BO76" s="204"/>
      <c r="BP76" s="210"/>
      <c r="BQ76" s="204"/>
      <c r="BR76" s="204"/>
      <c r="BS76" s="204"/>
      <c r="BT76" s="210"/>
      <c r="BU76" s="204"/>
      <c r="BV76" s="210"/>
      <c r="BW76" s="204"/>
      <c r="BX76" s="204"/>
      <c r="BY76" s="204"/>
      <c r="BZ76" s="210"/>
      <c r="CA76" s="204"/>
      <c r="CB76" s="210"/>
      <c r="CC76" s="204"/>
      <c r="CD76" s="204"/>
      <c r="CE76" s="204"/>
      <c r="CF76" s="204"/>
      <c r="CH76" s="239"/>
    </row>
    <row r="77" spans="1:86" x14ac:dyDescent="0.5">
      <c r="A77" s="227">
        <v>19116415</v>
      </c>
      <c r="B77" s="22">
        <v>19111073</v>
      </c>
      <c r="C77" s="23" t="s">
        <v>2998</v>
      </c>
      <c r="D77" s="24" t="s">
        <v>1323</v>
      </c>
      <c r="E77" s="884">
        <v>43784</v>
      </c>
      <c r="F77" s="932" t="s">
        <v>3368</v>
      </c>
      <c r="G77" s="933" t="s">
        <v>1355</v>
      </c>
      <c r="H77" s="62">
        <v>43836</v>
      </c>
      <c r="I77" s="27">
        <v>63003</v>
      </c>
      <c r="J77" s="931" t="s">
        <v>869</v>
      </c>
      <c r="K77" s="957">
        <v>43836</v>
      </c>
      <c r="L77" s="22" t="s">
        <v>2023</v>
      </c>
      <c r="M77" s="28" t="s">
        <v>2999</v>
      </c>
      <c r="N77" s="22" t="s">
        <v>52</v>
      </c>
      <c r="O77" s="29">
        <v>112149.53</v>
      </c>
      <c r="P77" s="29">
        <f t="shared" si="18"/>
        <v>7850.4670999999998</v>
      </c>
      <c r="Q77" s="29">
        <f t="shared" si="19"/>
        <v>119999.99709999999</v>
      </c>
      <c r="R77" s="61"/>
      <c r="S77" s="31" t="s">
        <v>2696</v>
      </c>
      <c r="T77" s="32">
        <f>O77</f>
        <v>112149.53</v>
      </c>
      <c r="U77" s="33">
        <v>4</v>
      </c>
      <c r="V77" s="34">
        <f>T77*U77/100</f>
        <v>4485.9812000000002</v>
      </c>
      <c r="W77" s="35">
        <f>T77-V77</f>
        <v>107663.5488</v>
      </c>
      <c r="X77" s="36">
        <v>0.24</v>
      </c>
      <c r="Y77" s="36">
        <f>W77*X77/100</f>
        <v>258.39251712000004</v>
      </c>
      <c r="Z77" s="37">
        <v>0.2</v>
      </c>
      <c r="AA77" s="38">
        <f>W77*Z77/100</f>
        <v>215.3270976</v>
      </c>
      <c r="AB77" s="40">
        <v>19120498</v>
      </c>
      <c r="AC77" s="41">
        <v>112149.53</v>
      </c>
      <c r="AD77" s="63">
        <f t="shared" si="16"/>
        <v>7850.4670999999998</v>
      </c>
      <c r="AE77" s="63">
        <f t="shared" si="17"/>
        <v>119999.99709999999</v>
      </c>
      <c r="AF77" s="53">
        <v>43805</v>
      </c>
      <c r="AG77" s="39" t="s">
        <v>869</v>
      </c>
      <c r="AH77" s="39"/>
      <c r="AI77" s="39"/>
      <c r="AJ77" s="21" t="s">
        <v>3495</v>
      </c>
      <c r="AK77" s="1076">
        <v>1</v>
      </c>
      <c r="AL77" s="45" t="s">
        <v>3000</v>
      </c>
      <c r="AM77" s="46"/>
      <c r="AN77" s="46" t="s">
        <v>869</v>
      </c>
      <c r="AO77" s="47">
        <v>1</v>
      </c>
      <c r="AP77" s="48" t="s">
        <v>636</v>
      </c>
      <c r="AQ77" s="1081"/>
      <c r="AR77" s="54"/>
      <c r="AS77" s="1081"/>
      <c r="AT77" s="1081"/>
      <c r="AU77" s="1081"/>
      <c r="AV77" s="54"/>
      <c r="AW77" s="1081"/>
      <c r="AX77" s="54"/>
      <c r="AY77" s="1081"/>
      <c r="AZ77" s="1081"/>
      <c r="BA77" s="1081"/>
      <c r="BB77" s="54"/>
      <c r="BC77" s="1081"/>
      <c r="BD77" s="54"/>
      <c r="BE77" s="1081"/>
      <c r="BF77" s="1081"/>
      <c r="BG77" s="1081"/>
      <c r="BH77" s="54"/>
      <c r="BI77" s="1081"/>
      <c r="BJ77" s="54"/>
      <c r="BK77" s="1081"/>
      <c r="BL77" s="1081"/>
      <c r="BM77" s="1081"/>
      <c r="BN77" s="54"/>
      <c r="BO77" s="1081"/>
      <c r="BP77" s="54"/>
      <c r="BQ77" s="1081"/>
      <c r="BR77" s="1081"/>
      <c r="BS77" s="1081"/>
      <c r="BT77" s="54"/>
      <c r="BU77" s="1081"/>
      <c r="BV77" s="54"/>
      <c r="BW77" s="1081"/>
      <c r="BX77" s="1081"/>
      <c r="BY77" s="1081"/>
      <c r="BZ77" s="54"/>
      <c r="CA77" s="1081"/>
      <c r="CB77" s="54"/>
      <c r="CC77" s="1081"/>
      <c r="CD77" s="1081"/>
      <c r="CE77" s="1081"/>
      <c r="CF77" s="1081"/>
    </row>
    <row r="78" spans="1:86" x14ac:dyDescent="0.5">
      <c r="A78" s="259">
        <v>19116414</v>
      </c>
      <c r="B78" s="104">
        <v>19111065</v>
      </c>
      <c r="C78" s="105" t="s">
        <v>3001</v>
      </c>
      <c r="D78" s="106" t="s">
        <v>1323</v>
      </c>
      <c r="E78" s="302">
        <v>43822</v>
      </c>
      <c r="F78" s="936"/>
      <c r="G78" s="937"/>
      <c r="H78" s="104"/>
      <c r="I78" s="109"/>
      <c r="J78" s="960" t="s">
        <v>869</v>
      </c>
      <c r="K78" s="965">
        <v>43817</v>
      </c>
      <c r="L78" s="104" t="s">
        <v>2994</v>
      </c>
      <c r="M78" s="110" t="s">
        <v>3002</v>
      </c>
      <c r="N78" s="104" t="s">
        <v>50</v>
      </c>
      <c r="O78" s="111">
        <v>225000</v>
      </c>
      <c r="P78" s="111">
        <f t="shared" si="18"/>
        <v>15750</v>
      </c>
      <c r="Q78" s="111">
        <f t="shared" si="19"/>
        <v>240750</v>
      </c>
      <c r="R78" s="212"/>
      <c r="S78" s="165"/>
      <c r="T78" s="166"/>
      <c r="U78" s="167"/>
      <c r="V78" s="168"/>
      <c r="W78" s="117">
        <f>O78</f>
        <v>225000</v>
      </c>
      <c r="X78" s="118">
        <v>1</v>
      </c>
      <c r="Y78" s="118">
        <f>W78*X78/100</f>
        <v>2250</v>
      </c>
      <c r="Z78" s="1014"/>
      <c r="AA78" s="1015"/>
      <c r="AB78" s="229">
        <v>19110463</v>
      </c>
      <c r="AC78" s="230">
        <v>67500</v>
      </c>
      <c r="AD78" s="220">
        <f t="shared" si="16"/>
        <v>4725</v>
      </c>
      <c r="AE78" s="220">
        <f t="shared" si="17"/>
        <v>72225</v>
      </c>
      <c r="AF78" s="221">
        <v>43780</v>
      </c>
      <c r="AG78" s="121" t="s">
        <v>869</v>
      </c>
      <c r="AH78" s="121"/>
      <c r="AI78" s="121"/>
      <c r="AJ78" s="222" t="s">
        <v>3348</v>
      </c>
      <c r="AK78" s="128">
        <v>1</v>
      </c>
      <c r="AL78" s="129" t="s">
        <v>3003</v>
      </c>
      <c r="AM78" s="130"/>
      <c r="AN78" s="130"/>
      <c r="AO78" s="131">
        <v>1</v>
      </c>
      <c r="AP78" s="132" t="s">
        <v>1485</v>
      </c>
      <c r="AQ78" s="128"/>
      <c r="AR78" s="133"/>
      <c r="AS78" s="128"/>
      <c r="AT78" s="128"/>
      <c r="AU78" s="128"/>
      <c r="AV78" s="133"/>
      <c r="AW78" s="128"/>
      <c r="AX78" s="133"/>
      <c r="AY78" s="128"/>
      <c r="AZ78" s="128"/>
      <c r="BA78" s="128"/>
      <c r="BB78" s="133"/>
      <c r="BC78" s="128"/>
      <c r="BD78" s="133"/>
      <c r="BE78" s="128"/>
      <c r="BF78" s="128"/>
      <c r="BG78" s="128"/>
      <c r="BH78" s="133"/>
      <c r="BI78" s="128"/>
      <c r="BJ78" s="133"/>
      <c r="BK78" s="128"/>
      <c r="BL78" s="128"/>
      <c r="BM78" s="128"/>
      <c r="BN78" s="133"/>
      <c r="BO78" s="128"/>
      <c r="BP78" s="133"/>
      <c r="BQ78" s="128"/>
      <c r="BR78" s="128"/>
      <c r="BS78" s="128"/>
      <c r="BT78" s="133"/>
      <c r="BU78" s="128"/>
      <c r="BV78" s="133"/>
      <c r="BW78" s="128"/>
      <c r="BX78" s="128"/>
      <c r="BY78" s="128"/>
      <c r="BZ78" s="133"/>
      <c r="CA78" s="128"/>
      <c r="CB78" s="133"/>
      <c r="CC78" s="128"/>
      <c r="CD78" s="128"/>
      <c r="CE78" s="128"/>
      <c r="CF78" s="128"/>
    </row>
    <row r="79" spans="1:86" x14ac:dyDescent="0.5">
      <c r="A79" s="262"/>
      <c r="B79" s="135"/>
      <c r="C79" s="136"/>
      <c r="D79" s="137"/>
      <c r="E79" s="906"/>
      <c r="F79" s="940"/>
      <c r="G79" s="941"/>
      <c r="H79" s="135"/>
      <c r="I79" s="140"/>
      <c r="J79" s="963"/>
      <c r="K79" s="964"/>
      <c r="L79" s="135"/>
      <c r="M79" s="141"/>
      <c r="N79" s="135"/>
      <c r="O79" s="142"/>
      <c r="P79" s="142"/>
      <c r="Q79" s="142"/>
      <c r="R79" s="213"/>
      <c r="S79" s="172"/>
      <c r="T79" s="173"/>
      <c r="U79" s="174"/>
      <c r="V79" s="175"/>
      <c r="W79" s="148"/>
      <c r="X79" s="149"/>
      <c r="Y79" s="149"/>
      <c r="Z79" s="1117"/>
      <c r="AA79" s="1119"/>
      <c r="AB79" s="154">
        <v>19120510</v>
      </c>
      <c r="AC79" s="155">
        <v>157500</v>
      </c>
      <c r="AD79" s="156">
        <f t="shared" si="16"/>
        <v>11025</v>
      </c>
      <c r="AE79" s="156">
        <f t="shared" si="17"/>
        <v>168525</v>
      </c>
      <c r="AF79" s="157">
        <v>43827</v>
      </c>
      <c r="AG79" s="152" t="s">
        <v>869</v>
      </c>
      <c r="AH79" s="152"/>
      <c r="AI79" s="152"/>
      <c r="AJ79" s="134" t="s">
        <v>3503</v>
      </c>
      <c r="AK79" s="158"/>
      <c r="AL79" s="159"/>
      <c r="AM79" s="160"/>
      <c r="AN79" s="160"/>
      <c r="AO79" s="161"/>
      <c r="AP79" s="162"/>
      <c r="AQ79" s="158"/>
      <c r="AR79" s="163"/>
      <c r="AS79" s="158"/>
      <c r="AT79" s="158"/>
      <c r="AU79" s="158"/>
      <c r="AV79" s="163"/>
      <c r="AW79" s="158"/>
      <c r="AX79" s="163"/>
      <c r="AY79" s="158"/>
      <c r="AZ79" s="158"/>
      <c r="BA79" s="158"/>
      <c r="BB79" s="163"/>
      <c r="BC79" s="158"/>
      <c r="BD79" s="163"/>
      <c r="BE79" s="158"/>
      <c r="BF79" s="158"/>
      <c r="BG79" s="158"/>
      <c r="BH79" s="163"/>
      <c r="BI79" s="158"/>
      <c r="BJ79" s="163"/>
      <c r="BK79" s="158"/>
      <c r="BL79" s="158"/>
      <c r="BM79" s="158"/>
      <c r="BN79" s="163"/>
      <c r="BO79" s="158"/>
      <c r="BP79" s="163"/>
      <c r="BQ79" s="158"/>
      <c r="BR79" s="158"/>
      <c r="BS79" s="158"/>
      <c r="BT79" s="163"/>
      <c r="BU79" s="158"/>
      <c r="BV79" s="163"/>
      <c r="BW79" s="158"/>
      <c r="BX79" s="158"/>
      <c r="BY79" s="158"/>
      <c r="BZ79" s="163"/>
      <c r="CA79" s="158"/>
      <c r="CB79" s="163"/>
      <c r="CC79" s="158"/>
      <c r="CD79" s="158"/>
      <c r="CE79" s="158"/>
      <c r="CF79" s="158"/>
    </row>
    <row r="80" spans="1:86" x14ac:dyDescent="0.5">
      <c r="A80" s="259">
        <v>19116413</v>
      </c>
      <c r="B80" s="104">
        <v>19111070</v>
      </c>
      <c r="C80" s="105" t="s">
        <v>2989</v>
      </c>
      <c r="D80" s="106" t="s">
        <v>1323</v>
      </c>
      <c r="E80" s="302">
        <v>43799</v>
      </c>
      <c r="F80" s="936" t="s">
        <v>1324</v>
      </c>
      <c r="G80" s="937" t="s">
        <v>3188</v>
      </c>
      <c r="H80" s="211">
        <v>43808</v>
      </c>
      <c r="I80" s="164">
        <v>19384</v>
      </c>
      <c r="J80" s="1128" t="s">
        <v>869</v>
      </c>
      <c r="K80" s="965" t="s">
        <v>3204</v>
      </c>
      <c r="L80" s="104" t="s">
        <v>3004</v>
      </c>
      <c r="M80" s="110" t="s">
        <v>3005</v>
      </c>
      <c r="N80" s="104" t="s">
        <v>3006</v>
      </c>
      <c r="O80" s="111">
        <v>1965000</v>
      </c>
      <c r="P80" s="111">
        <f t="shared" si="18"/>
        <v>137550</v>
      </c>
      <c r="Q80" s="111">
        <f t="shared" si="19"/>
        <v>2102550</v>
      </c>
      <c r="R80" s="212"/>
      <c r="S80" s="113" t="s">
        <v>1310</v>
      </c>
      <c r="T80" s="114">
        <f>O80</f>
        <v>1965000</v>
      </c>
      <c r="U80" s="115">
        <v>5</v>
      </c>
      <c r="V80" s="116">
        <f>T80*U80/100</f>
        <v>98250</v>
      </c>
      <c r="W80" s="117">
        <f>T80-V80</f>
        <v>1866750</v>
      </c>
      <c r="X80" s="118">
        <v>0.13</v>
      </c>
      <c r="Y80" s="118">
        <f>W80*X80/100</f>
        <v>2426.7750000000001</v>
      </c>
      <c r="Z80" s="119">
        <v>0.2</v>
      </c>
      <c r="AA80" s="120">
        <f>W80*Z80/100</f>
        <v>3733.5</v>
      </c>
      <c r="AB80" s="229">
        <v>19110481</v>
      </c>
      <c r="AC80" s="230">
        <v>589500</v>
      </c>
      <c r="AD80" s="220">
        <f t="shared" si="16"/>
        <v>41265</v>
      </c>
      <c r="AE80" s="220">
        <f t="shared" si="17"/>
        <v>630765</v>
      </c>
      <c r="AF80" s="221">
        <v>43803</v>
      </c>
      <c r="AG80" s="121" t="s">
        <v>869</v>
      </c>
      <c r="AH80" s="121"/>
      <c r="AI80" s="121"/>
      <c r="AJ80" s="979" t="s">
        <v>3325</v>
      </c>
      <c r="AK80" s="128">
        <v>1</v>
      </c>
      <c r="AL80" s="129" t="s">
        <v>3007</v>
      </c>
      <c r="AM80" s="130"/>
      <c r="AN80" s="130" t="s">
        <v>869</v>
      </c>
      <c r="AO80" s="131">
        <v>1</v>
      </c>
      <c r="AP80" s="132" t="s">
        <v>634</v>
      </c>
      <c r="AQ80" s="128"/>
      <c r="AR80" s="133"/>
      <c r="AS80" s="128"/>
      <c r="AT80" s="128"/>
      <c r="AU80" s="128"/>
      <c r="AV80" s="133"/>
      <c r="AW80" s="128"/>
      <c r="AX80" s="133"/>
      <c r="AY80" s="128"/>
      <c r="AZ80" s="128"/>
      <c r="BA80" s="128"/>
      <c r="BB80" s="133"/>
      <c r="BC80" s="128"/>
      <c r="BD80" s="133"/>
      <c r="BE80" s="128"/>
      <c r="BF80" s="128"/>
      <c r="BG80" s="128"/>
      <c r="BH80" s="133"/>
      <c r="BI80" s="128"/>
      <c r="BJ80" s="133"/>
      <c r="BK80" s="128"/>
      <c r="BL80" s="128"/>
      <c r="BM80" s="128"/>
      <c r="BN80" s="133"/>
      <c r="BO80" s="128"/>
      <c r="BP80" s="133"/>
      <c r="BQ80" s="128"/>
      <c r="BR80" s="128"/>
      <c r="BS80" s="128"/>
      <c r="BT80" s="133"/>
      <c r="BU80" s="128"/>
      <c r="BV80" s="133"/>
      <c r="BW80" s="128"/>
      <c r="BX80" s="128"/>
      <c r="BY80" s="128"/>
      <c r="BZ80" s="133"/>
      <c r="CA80" s="128"/>
      <c r="CB80" s="133"/>
      <c r="CC80" s="128"/>
      <c r="CD80" s="128"/>
      <c r="CE80" s="128"/>
      <c r="CF80" s="128"/>
    </row>
    <row r="81" spans="1:84" x14ac:dyDescent="0.5">
      <c r="A81" s="262"/>
      <c r="B81" s="135"/>
      <c r="C81" s="136"/>
      <c r="D81" s="137"/>
      <c r="E81" s="906"/>
      <c r="F81" s="940"/>
      <c r="G81" s="941"/>
      <c r="H81" s="170">
        <v>43808</v>
      </c>
      <c r="I81" s="251">
        <v>19385</v>
      </c>
      <c r="J81" s="1130"/>
      <c r="K81" s="1131" t="s">
        <v>3205</v>
      </c>
      <c r="L81" s="135"/>
      <c r="M81" s="141"/>
      <c r="N81" s="135"/>
      <c r="O81" s="142"/>
      <c r="P81" s="142"/>
      <c r="Q81" s="142"/>
      <c r="R81" s="213"/>
      <c r="S81" s="144"/>
      <c r="T81" s="145"/>
      <c r="U81" s="146"/>
      <c r="V81" s="147"/>
      <c r="W81" s="148"/>
      <c r="X81" s="149"/>
      <c r="Y81" s="149"/>
      <c r="Z81" s="150"/>
      <c r="AA81" s="151"/>
      <c r="AB81" s="154">
        <v>19120492</v>
      </c>
      <c r="AC81" s="155">
        <v>1375500</v>
      </c>
      <c r="AD81" s="156">
        <f t="shared" si="16"/>
        <v>96285</v>
      </c>
      <c r="AE81" s="156">
        <f t="shared" si="17"/>
        <v>1471785</v>
      </c>
      <c r="AF81" s="157">
        <v>43803</v>
      </c>
      <c r="AG81" s="152" t="s">
        <v>869</v>
      </c>
      <c r="AH81" s="152"/>
      <c r="AI81" s="152"/>
      <c r="AJ81" s="134" t="s">
        <v>3287</v>
      </c>
      <c r="AK81" s="158"/>
      <c r="AL81" s="159"/>
      <c r="AM81" s="160"/>
      <c r="AN81" s="160"/>
      <c r="AO81" s="161"/>
      <c r="AP81" s="162"/>
      <c r="AQ81" s="158"/>
      <c r="AR81" s="163"/>
      <c r="AS81" s="158"/>
      <c r="AT81" s="158"/>
      <c r="AU81" s="158"/>
      <c r="AV81" s="163"/>
      <c r="AW81" s="158"/>
      <c r="AX81" s="163"/>
      <c r="AY81" s="158"/>
      <c r="AZ81" s="158"/>
      <c r="BA81" s="158"/>
      <c r="BB81" s="163"/>
      <c r="BC81" s="158"/>
      <c r="BD81" s="163"/>
      <c r="BE81" s="158"/>
      <c r="BF81" s="158"/>
      <c r="BG81" s="158"/>
      <c r="BH81" s="163"/>
      <c r="BI81" s="158"/>
      <c r="BJ81" s="163"/>
      <c r="BK81" s="158"/>
      <c r="BL81" s="158"/>
      <c r="BM81" s="158"/>
      <c r="BN81" s="163"/>
      <c r="BO81" s="158"/>
      <c r="BP81" s="163"/>
      <c r="BQ81" s="158"/>
      <c r="BR81" s="158"/>
      <c r="BS81" s="158"/>
      <c r="BT81" s="163"/>
      <c r="BU81" s="158"/>
      <c r="BV81" s="163"/>
      <c r="BW81" s="158"/>
      <c r="BX81" s="158"/>
      <c r="BY81" s="158"/>
      <c r="BZ81" s="163"/>
      <c r="CA81" s="158"/>
      <c r="CB81" s="163"/>
      <c r="CC81" s="158"/>
      <c r="CD81" s="158"/>
      <c r="CE81" s="158"/>
      <c r="CF81" s="158"/>
    </row>
    <row r="82" spans="1:84" x14ac:dyDescent="0.5">
      <c r="A82" s="262"/>
      <c r="B82" s="135"/>
      <c r="C82" s="136"/>
      <c r="D82" s="137"/>
      <c r="E82" s="906"/>
      <c r="F82" s="940"/>
      <c r="G82" s="941"/>
      <c r="H82" s="170">
        <v>43810</v>
      </c>
      <c r="I82" s="251">
        <v>19391</v>
      </c>
      <c r="J82" s="1130"/>
      <c r="K82" s="1131"/>
      <c r="L82" s="135"/>
      <c r="M82" s="141"/>
      <c r="N82" s="135"/>
      <c r="O82" s="142"/>
      <c r="P82" s="142"/>
      <c r="Q82" s="142"/>
      <c r="R82" s="213"/>
      <c r="S82" s="144"/>
      <c r="T82" s="145"/>
      <c r="U82" s="146"/>
      <c r="V82" s="147"/>
      <c r="W82" s="148"/>
      <c r="X82" s="149"/>
      <c r="Y82" s="149"/>
      <c r="Z82" s="150"/>
      <c r="AA82" s="151"/>
      <c r="AB82" s="154"/>
      <c r="AC82" s="155"/>
      <c r="AD82" s="156"/>
      <c r="AE82" s="156"/>
      <c r="AF82" s="157"/>
      <c r="AG82" s="152"/>
      <c r="AH82" s="152"/>
      <c r="AI82" s="152"/>
      <c r="AJ82" s="134"/>
      <c r="AK82" s="158"/>
      <c r="AL82" s="159"/>
      <c r="AM82" s="160"/>
      <c r="AN82" s="160"/>
      <c r="AO82" s="161"/>
      <c r="AP82" s="162"/>
      <c r="AQ82" s="158"/>
      <c r="AR82" s="163"/>
      <c r="AS82" s="158"/>
      <c r="AT82" s="158"/>
      <c r="AU82" s="158"/>
      <c r="AV82" s="163"/>
      <c r="AW82" s="158"/>
      <c r="AX82" s="163"/>
      <c r="AY82" s="158"/>
      <c r="AZ82" s="158"/>
      <c r="BA82" s="158"/>
      <c r="BB82" s="163"/>
      <c r="BC82" s="158"/>
      <c r="BD82" s="163"/>
      <c r="BE82" s="158"/>
      <c r="BF82" s="158"/>
      <c r="BG82" s="158"/>
      <c r="BH82" s="163"/>
      <c r="BI82" s="158"/>
      <c r="BJ82" s="163"/>
      <c r="BK82" s="158"/>
      <c r="BL82" s="158"/>
      <c r="BM82" s="158"/>
      <c r="BN82" s="163"/>
      <c r="BO82" s="158"/>
      <c r="BP82" s="163"/>
      <c r="BQ82" s="158"/>
      <c r="BR82" s="158"/>
      <c r="BS82" s="158"/>
      <c r="BT82" s="163"/>
      <c r="BU82" s="158"/>
      <c r="BV82" s="163"/>
      <c r="BW82" s="158"/>
      <c r="BX82" s="158"/>
      <c r="BY82" s="158"/>
      <c r="BZ82" s="163"/>
      <c r="CA82" s="158"/>
      <c r="CB82" s="163"/>
      <c r="CC82" s="158"/>
      <c r="CD82" s="158"/>
      <c r="CE82" s="158"/>
      <c r="CF82" s="158"/>
    </row>
    <row r="83" spans="1:84" x14ac:dyDescent="0.5">
      <c r="A83" s="262"/>
      <c r="B83" s="135"/>
      <c r="C83" s="136"/>
      <c r="D83" s="137"/>
      <c r="E83" s="906"/>
      <c r="F83" s="940"/>
      <c r="G83" s="941"/>
      <c r="H83" s="179">
        <v>43811</v>
      </c>
      <c r="I83" s="140">
        <v>19392</v>
      </c>
      <c r="J83" s="1130"/>
      <c r="K83" s="1131"/>
      <c r="L83" s="135"/>
      <c r="M83" s="135"/>
      <c r="N83" s="135"/>
      <c r="O83" s="142"/>
      <c r="P83" s="142"/>
      <c r="Q83" s="142"/>
      <c r="R83" s="213"/>
      <c r="S83" s="144"/>
      <c r="T83" s="145"/>
      <c r="U83" s="146"/>
      <c r="V83" s="147"/>
      <c r="W83" s="148"/>
      <c r="X83" s="149"/>
      <c r="Y83" s="149"/>
      <c r="Z83" s="150"/>
      <c r="AA83" s="151"/>
      <c r="AB83" s="154"/>
      <c r="AC83" s="155"/>
      <c r="AD83" s="156"/>
      <c r="AE83" s="156"/>
      <c r="AF83" s="157"/>
      <c r="AG83" s="152"/>
      <c r="AH83" s="152"/>
      <c r="AI83" s="152"/>
      <c r="AJ83" s="134"/>
      <c r="AK83" s="158"/>
      <c r="AL83" s="159"/>
      <c r="AM83" s="160"/>
      <c r="AN83" s="160"/>
      <c r="AO83" s="161"/>
      <c r="AP83" s="162"/>
      <c r="AQ83" s="158"/>
      <c r="AR83" s="163"/>
      <c r="AS83" s="158"/>
      <c r="AT83" s="158"/>
      <c r="AU83" s="158"/>
      <c r="AV83" s="163"/>
      <c r="AW83" s="158"/>
      <c r="AX83" s="163"/>
      <c r="AY83" s="158"/>
      <c r="AZ83" s="158"/>
      <c r="BA83" s="158"/>
      <c r="BB83" s="163"/>
      <c r="BC83" s="158"/>
      <c r="BD83" s="163"/>
      <c r="BE83" s="158"/>
      <c r="BF83" s="158"/>
      <c r="BG83" s="158"/>
      <c r="BH83" s="163"/>
      <c r="BI83" s="158"/>
      <c r="BJ83" s="163"/>
      <c r="BK83" s="158"/>
      <c r="BL83" s="158"/>
      <c r="BM83" s="158"/>
      <c r="BN83" s="163"/>
      <c r="BO83" s="158"/>
      <c r="BP83" s="163"/>
      <c r="BQ83" s="158"/>
      <c r="BR83" s="158"/>
      <c r="BS83" s="158"/>
      <c r="BT83" s="163"/>
      <c r="BU83" s="158"/>
      <c r="BV83" s="163"/>
      <c r="BW83" s="158"/>
      <c r="BX83" s="158"/>
      <c r="BY83" s="158"/>
      <c r="BZ83" s="163"/>
      <c r="CA83" s="158"/>
      <c r="CB83" s="163"/>
      <c r="CC83" s="158"/>
      <c r="CD83" s="158"/>
      <c r="CE83" s="158"/>
      <c r="CF83" s="158"/>
    </row>
    <row r="84" spans="1:84" x14ac:dyDescent="0.5">
      <c r="A84" s="262"/>
      <c r="B84" s="135"/>
      <c r="C84" s="136"/>
      <c r="D84" s="137"/>
      <c r="E84" s="906"/>
      <c r="F84" s="940"/>
      <c r="G84" s="941"/>
      <c r="H84" s="179">
        <v>43815</v>
      </c>
      <c r="I84" s="140">
        <v>19402</v>
      </c>
      <c r="J84" s="1130"/>
      <c r="K84" s="1131"/>
      <c r="L84" s="135"/>
      <c r="M84" s="141"/>
      <c r="N84" s="135"/>
      <c r="O84" s="142"/>
      <c r="P84" s="142"/>
      <c r="Q84" s="142"/>
      <c r="R84" s="213"/>
      <c r="S84" s="144"/>
      <c r="T84" s="145"/>
      <c r="U84" s="146"/>
      <c r="V84" s="147"/>
      <c r="W84" s="148"/>
      <c r="X84" s="149"/>
      <c r="Y84" s="149"/>
      <c r="Z84" s="150"/>
      <c r="AA84" s="151"/>
      <c r="AB84" s="154"/>
      <c r="AC84" s="155"/>
      <c r="AD84" s="156"/>
      <c r="AE84" s="156"/>
      <c r="AF84" s="157"/>
      <c r="AG84" s="152"/>
      <c r="AH84" s="152"/>
      <c r="AI84" s="152"/>
      <c r="AJ84" s="134"/>
      <c r="AK84" s="158"/>
      <c r="AL84" s="159"/>
      <c r="AM84" s="160"/>
      <c r="AN84" s="160"/>
      <c r="AO84" s="161"/>
      <c r="AP84" s="162"/>
      <c r="AQ84" s="158"/>
      <c r="AR84" s="163"/>
      <c r="AS84" s="158"/>
      <c r="AT84" s="158"/>
      <c r="AU84" s="158"/>
      <c r="AV84" s="163"/>
      <c r="AW84" s="158"/>
      <c r="AX84" s="163"/>
      <c r="AY84" s="158"/>
      <c r="AZ84" s="158"/>
      <c r="BA84" s="158"/>
      <c r="BB84" s="163"/>
      <c r="BC84" s="158"/>
      <c r="BD84" s="163"/>
      <c r="BE84" s="158"/>
      <c r="BF84" s="158"/>
      <c r="BG84" s="158"/>
      <c r="BH84" s="163"/>
      <c r="BI84" s="158"/>
      <c r="BJ84" s="163"/>
      <c r="BK84" s="158"/>
      <c r="BL84" s="158"/>
      <c r="BM84" s="158"/>
      <c r="BN84" s="163"/>
      <c r="BO84" s="158"/>
      <c r="BP84" s="163"/>
      <c r="BQ84" s="158"/>
      <c r="BR84" s="158"/>
      <c r="BS84" s="158"/>
      <c r="BT84" s="163"/>
      <c r="BU84" s="158"/>
      <c r="BV84" s="163"/>
      <c r="BW84" s="158"/>
      <c r="BX84" s="158"/>
      <c r="BY84" s="158"/>
      <c r="BZ84" s="163"/>
      <c r="CA84" s="158"/>
      <c r="CB84" s="163"/>
      <c r="CC84" s="158"/>
      <c r="CD84" s="158"/>
      <c r="CE84" s="158"/>
      <c r="CF84" s="158"/>
    </row>
    <row r="85" spans="1:84" x14ac:dyDescent="0.5">
      <c r="A85" s="268"/>
      <c r="B85" s="181"/>
      <c r="C85" s="182"/>
      <c r="D85" s="183"/>
      <c r="E85" s="749"/>
      <c r="F85" s="938"/>
      <c r="G85" s="939"/>
      <c r="H85" s="186">
        <v>43815</v>
      </c>
      <c r="I85" s="187">
        <v>19403</v>
      </c>
      <c r="J85" s="1127"/>
      <c r="K85" s="1129"/>
      <c r="L85" s="181"/>
      <c r="M85" s="188"/>
      <c r="N85" s="181"/>
      <c r="O85" s="189"/>
      <c r="P85" s="189"/>
      <c r="Q85" s="189"/>
      <c r="R85" s="214"/>
      <c r="S85" s="215"/>
      <c r="T85" s="216"/>
      <c r="U85" s="217"/>
      <c r="V85" s="218"/>
      <c r="W85" s="195"/>
      <c r="X85" s="196"/>
      <c r="Y85" s="196"/>
      <c r="Z85" s="197"/>
      <c r="AA85" s="198"/>
      <c r="AB85" s="200"/>
      <c r="AC85" s="201"/>
      <c r="AD85" s="202"/>
      <c r="AE85" s="202"/>
      <c r="AF85" s="203"/>
      <c r="AG85" s="199"/>
      <c r="AH85" s="199"/>
      <c r="AI85" s="199"/>
      <c r="AJ85" s="180"/>
      <c r="AK85" s="204"/>
      <c r="AL85" s="205"/>
      <c r="AM85" s="206"/>
      <c r="AN85" s="206"/>
      <c r="AO85" s="207"/>
      <c r="AP85" s="208"/>
      <c r="AQ85" s="204"/>
      <c r="AR85" s="210"/>
      <c r="AS85" s="204"/>
      <c r="AT85" s="204"/>
      <c r="AU85" s="204"/>
      <c r="AV85" s="210"/>
      <c r="AW85" s="204"/>
      <c r="AX85" s="210"/>
      <c r="AY85" s="204"/>
      <c r="AZ85" s="204"/>
      <c r="BA85" s="204"/>
      <c r="BB85" s="210"/>
      <c r="BC85" s="204"/>
      <c r="BD85" s="210"/>
      <c r="BE85" s="204"/>
      <c r="BF85" s="204"/>
      <c r="BG85" s="204"/>
      <c r="BH85" s="210"/>
      <c r="BI85" s="204"/>
      <c r="BJ85" s="210"/>
      <c r="BK85" s="204"/>
      <c r="BL85" s="204"/>
      <c r="BM85" s="204"/>
      <c r="BN85" s="210"/>
      <c r="BO85" s="204"/>
      <c r="BP85" s="210"/>
      <c r="BQ85" s="204"/>
      <c r="BR85" s="204"/>
      <c r="BS85" s="204"/>
      <c r="BT85" s="210"/>
      <c r="BU85" s="204"/>
      <c r="BV85" s="210"/>
      <c r="BW85" s="204"/>
      <c r="BX85" s="204"/>
      <c r="BY85" s="204"/>
      <c r="BZ85" s="210"/>
      <c r="CA85" s="204"/>
      <c r="CB85" s="210"/>
      <c r="CC85" s="204"/>
      <c r="CD85" s="204"/>
      <c r="CE85" s="204"/>
      <c r="CF85" s="204"/>
    </row>
    <row r="86" spans="1:84" x14ac:dyDescent="0.5">
      <c r="A86" s="227">
        <v>19116412</v>
      </c>
      <c r="B86" s="22">
        <v>19111060</v>
      </c>
      <c r="C86" s="55"/>
      <c r="D86" s="56"/>
      <c r="E86" s="910"/>
      <c r="F86" s="57"/>
      <c r="G86" s="58"/>
      <c r="H86" s="59"/>
      <c r="I86" s="60"/>
      <c r="J86" s="269"/>
      <c r="K86" s="59"/>
      <c r="L86" s="22" t="s">
        <v>3008</v>
      </c>
      <c r="M86" s="28" t="s">
        <v>3009</v>
      </c>
      <c r="N86" s="22" t="s">
        <v>51</v>
      </c>
      <c r="O86" s="29">
        <v>43500</v>
      </c>
      <c r="P86" s="29">
        <f t="shared" si="18"/>
        <v>3045</v>
      </c>
      <c r="Q86" s="29">
        <f t="shared" si="19"/>
        <v>46545</v>
      </c>
      <c r="R86" s="61"/>
      <c r="S86" s="96"/>
      <c r="T86" s="97"/>
      <c r="U86" s="98"/>
      <c r="V86" s="99"/>
      <c r="W86" s="100"/>
      <c r="X86" s="99"/>
      <c r="Y86" s="99"/>
      <c r="Z86" s="100"/>
      <c r="AA86" s="101"/>
      <c r="AB86" s="40">
        <v>19120495</v>
      </c>
      <c r="AC86" s="41">
        <v>43500</v>
      </c>
      <c r="AD86" s="63">
        <f t="shared" si="16"/>
        <v>3045</v>
      </c>
      <c r="AE86" s="63">
        <f t="shared" si="17"/>
        <v>46545</v>
      </c>
      <c r="AF86" s="53">
        <v>43805</v>
      </c>
      <c r="AG86" s="39" t="s">
        <v>869</v>
      </c>
      <c r="AH86" s="39"/>
      <c r="AI86" s="39"/>
      <c r="AJ86" s="21" t="s">
        <v>3494</v>
      </c>
      <c r="AK86" s="1076">
        <v>1</v>
      </c>
      <c r="AL86" s="45" t="s">
        <v>1011</v>
      </c>
      <c r="AM86" s="46"/>
      <c r="AN86" s="46"/>
      <c r="AO86" s="47">
        <v>6</v>
      </c>
      <c r="AP86" s="48" t="s">
        <v>1485</v>
      </c>
      <c r="AQ86" s="1076">
        <v>2</v>
      </c>
      <c r="AR86" s="40" t="s">
        <v>3010</v>
      </c>
      <c r="AS86" s="47"/>
      <c r="AT86" s="47"/>
      <c r="AU86" s="47">
        <v>3</v>
      </c>
      <c r="AV86" s="49" t="s">
        <v>1485</v>
      </c>
      <c r="AW86" s="1081"/>
      <c r="AX86" s="54"/>
      <c r="AY86" s="1081"/>
      <c r="AZ86" s="1081"/>
      <c r="BA86" s="1081"/>
      <c r="BB86" s="54"/>
      <c r="BC86" s="1081"/>
      <c r="BD86" s="54"/>
      <c r="BE86" s="1081"/>
      <c r="BF86" s="1081"/>
      <c r="BG86" s="1081"/>
      <c r="BH86" s="54"/>
      <c r="BI86" s="1081"/>
      <c r="BJ86" s="54"/>
      <c r="BK86" s="1081"/>
      <c r="BL86" s="1081"/>
      <c r="BM86" s="1081"/>
      <c r="BN86" s="54"/>
      <c r="BO86" s="1081"/>
      <c r="BP86" s="54"/>
      <c r="BQ86" s="1081"/>
      <c r="BR86" s="1081"/>
      <c r="BS86" s="1081"/>
      <c r="BT86" s="54"/>
      <c r="BU86" s="1081"/>
      <c r="BV86" s="54"/>
      <c r="BW86" s="1081"/>
      <c r="BX86" s="1081"/>
      <c r="BY86" s="1081"/>
      <c r="BZ86" s="54"/>
      <c r="CA86" s="1081"/>
      <c r="CB86" s="54"/>
      <c r="CC86" s="1081"/>
      <c r="CD86" s="1081"/>
      <c r="CE86" s="1081"/>
      <c r="CF86" s="1081"/>
    </row>
    <row r="87" spans="1:84" x14ac:dyDescent="0.5">
      <c r="A87" s="259">
        <v>19116411</v>
      </c>
      <c r="B87" s="104">
        <v>19111059</v>
      </c>
      <c r="C87" s="105" t="s">
        <v>2990</v>
      </c>
      <c r="D87" s="106" t="s">
        <v>1323</v>
      </c>
      <c r="E87" s="302">
        <v>43796</v>
      </c>
      <c r="F87" s="936" t="s">
        <v>1324</v>
      </c>
      <c r="G87" s="937" t="s">
        <v>3126</v>
      </c>
      <c r="H87" s="122">
        <v>43791</v>
      </c>
      <c r="I87" s="109">
        <v>19368</v>
      </c>
      <c r="J87" s="960" t="s">
        <v>869</v>
      </c>
      <c r="K87" s="965">
        <v>43794</v>
      </c>
      <c r="L87" s="104" t="s">
        <v>1613</v>
      </c>
      <c r="M87" s="110" t="s">
        <v>3011</v>
      </c>
      <c r="N87" s="104" t="s">
        <v>52</v>
      </c>
      <c r="O87" s="111">
        <v>93457.94</v>
      </c>
      <c r="P87" s="111">
        <f t="shared" si="18"/>
        <v>6542.055800000001</v>
      </c>
      <c r="Q87" s="111">
        <f t="shared" si="19"/>
        <v>99999.995800000004</v>
      </c>
      <c r="R87" s="311">
        <v>7000</v>
      </c>
      <c r="S87" s="113" t="s">
        <v>3107</v>
      </c>
      <c r="T87" s="114">
        <f>O87-R87</f>
        <v>86457.94</v>
      </c>
      <c r="U87" s="115">
        <v>5</v>
      </c>
      <c r="V87" s="116">
        <f>T87*U87/100</f>
        <v>4322.8969999999999</v>
      </c>
      <c r="W87" s="117">
        <f>T87-V87</f>
        <v>82135.043000000005</v>
      </c>
      <c r="X87" s="118">
        <v>0.33</v>
      </c>
      <c r="Y87" s="118">
        <f>W87*X87/100</f>
        <v>271.04564190000002</v>
      </c>
      <c r="Z87" s="119">
        <v>0.2</v>
      </c>
      <c r="AA87" s="120">
        <f>W87*Z87/100</f>
        <v>164.27008600000002</v>
      </c>
      <c r="AB87" s="229">
        <v>19110464</v>
      </c>
      <c r="AC87" s="230">
        <v>28037.38</v>
      </c>
      <c r="AD87" s="233">
        <f t="shared" ref="AD87:AD94" si="20">AC87*7/100</f>
        <v>1962.6166000000001</v>
      </c>
      <c r="AE87" s="234">
        <f t="shared" ref="AE87:AE94" si="21">AC87+AD87</f>
        <v>29999.996600000002</v>
      </c>
      <c r="AF87" s="221">
        <v>43782</v>
      </c>
      <c r="AG87" s="121" t="s">
        <v>869</v>
      </c>
      <c r="AH87" s="121"/>
      <c r="AI87" s="121"/>
      <c r="AJ87" s="222" t="s">
        <v>3345</v>
      </c>
      <c r="AK87" s="128">
        <v>1</v>
      </c>
      <c r="AL87" s="129" t="s">
        <v>3012</v>
      </c>
      <c r="AM87" s="130" t="s">
        <v>869</v>
      </c>
      <c r="AN87" s="130"/>
      <c r="AO87" s="131">
        <v>2</v>
      </c>
      <c r="AP87" s="132" t="s">
        <v>636</v>
      </c>
      <c r="AQ87" s="128"/>
      <c r="AR87" s="133"/>
      <c r="AS87" s="128"/>
      <c r="AT87" s="128"/>
      <c r="AU87" s="128"/>
      <c r="AV87" s="133"/>
      <c r="AW87" s="128"/>
      <c r="AX87" s="133"/>
      <c r="AY87" s="128"/>
      <c r="AZ87" s="128"/>
      <c r="BA87" s="128"/>
      <c r="BB87" s="133"/>
      <c r="BC87" s="128"/>
      <c r="BD87" s="133"/>
      <c r="BE87" s="128"/>
      <c r="BF87" s="128"/>
      <c r="BG87" s="128"/>
      <c r="BH87" s="133"/>
      <c r="BI87" s="128"/>
      <c r="BJ87" s="133"/>
      <c r="BK87" s="128"/>
      <c r="BL87" s="128"/>
      <c r="BM87" s="128"/>
      <c r="BN87" s="133"/>
      <c r="BO87" s="128"/>
      <c r="BP87" s="133"/>
      <c r="BQ87" s="128"/>
      <c r="BR87" s="128"/>
      <c r="BS87" s="128"/>
      <c r="BT87" s="133"/>
      <c r="BU87" s="128"/>
      <c r="BV87" s="133"/>
      <c r="BW87" s="128"/>
      <c r="BX87" s="128"/>
      <c r="BY87" s="128"/>
      <c r="BZ87" s="133"/>
      <c r="CA87" s="128"/>
      <c r="CB87" s="133"/>
      <c r="CC87" s="128"/>
      <c r="CD87" s="128"/>
      <c r="CE87" s="128"/>
      <c r="CF87" s="128"/>
    </row>
    <row r="88" spans="1:84" x14ac:dyDescent="0.5">
      <c r="A88" s="268"/>
      <c r="B88" s="181"/>
      <c r="C88" s="182"/>
      <c r="D88" s="183"/>
      <c r="E88" s="749"/>
      <c r="F88" s="938"/>
      <c r="G88" s="939"/>
      <c r="H88" s="181"/>
      <c r="I88" s="187"/>
      <c r="J88" s="961"/>
      <c r="K88" s="200"/>
      <c r="L88" s="181"/>
      <c r="M88" s="188"/>
      <c r="N88" s="181"/>
      <c r="O88" s="189"/>
      <c r="P88" s="189"/>
      <c r="Q88" s="189"/>
      <c r="R88" s="190"/>
      <c r="S88" s="215"/>
      <c r="T88" s="216"/>
      <c r="U88" s="217"/>
      <c r="V88" s="218"/>
      <c r="W88" s="195"/>
      <c r="X88" s="196"/>
      <c r="Y88" s="196"/>
      <c r="Z88" s="197"/>
      <c r="AA88" s="198"/>
      <c r="AB88" s="200">
        <v>19110465</v>
      </c>
      <c r="AC88" s="201">
        <v>65420.56</v>
      </c>
      <c r="AD88" s="237">
        <f t="shared" si="20"/>
        <v>4579.4391999999998</v>
      </c>
      <c r="AE88" s="238">
        <f t="shared" si="21"/>
        <v>69999.999199999991</v>
      </c>
      <c r="AF88" s="203">
        <v>43842</v>
      </c>
      <c r="AG88" s="199" t="s">
        <v>869</v>
      </c>
      <c r="AH88" s="199"/>
      <c r="AI88" s="199"/>
      <c r="AJ88" s="843" t="s">
        <v>3458</v>
      </c>
      <c r="AK88" s="204"/>
      <c r="AL88" s="205"/>
      <c r="AM88" s="206"/>
      <c r="AN88" s="206"/>
      <c r="AO88" s="207"/>
      <c r="AP88" s="208"/>
      <c r="AQ88" s="204"/>
      <c r="AR88" s="210"/>
      <c r="AS88" s="204"/>
      <c r="AT88" s="204"/>
      <c r="AU88" s="204"/>
      <c r="AV88" s="210"/>
      <c r="AW88" s="204"/>
      <c r="AX88" s="210"/>
      <c r="AY88" s="204"/>
      <c r="AZ88" s="204"/>
      <c r="BA88" s="204"/>
      <c r="BB88" s="210"/>
      <c r="BC88" s="204"/>
      <c r="BD88" s="210"/>
      <c r="BE88" s="204"/>
      <c r="BF88" s="204"/>
      <c r="BG88" s="204"/>
      <c r="BH88" s="210"/>
      <c r="BI88" s="204"/>
      <c r="BJ88" s="210"/>
      <c r="BK88" s="204"/>
      <c r="BL88" s="204"/>
      <c r="BM88" s="204"/>
      <c r="BN88" s="210"/>
      <c r="BO88" s="204"/>
      <c r="BP88" s="210"/>
      <c r="BQ88" s="204"/>
      <c r="BR88" s="204"/>
      <c r="BS88" s="204"/>
      <c r="BT88" s="210"/>
      <c r="BU88" s="204"/>
      <c r="BV88" s="210"/>
      <c r="BW88" s="204"/>
      <c r="BX88" s="204"/>
      <c r="BY88" s="204"/>
      <c r="BZ88" s="210"/>
      <c r="CA88" s="204"/>
      <c r="CB88" s="210"/>
      <c r="CC88" s="204"/>
      <c r="CD88" s="204"/>
      <c r="CE88" s="204"/>
      <c r="CF88" s="204"/>
    </row>
    <row r="89" spans="1:84" x14ac:dyDescent="0.5">
      <c r="A89" s="227">
        <v>19116410</v>
      </c>
      <c r="B89" s="22">
        <v>19111053</v>
      </c>
      <c r="C89" s="55"/>
      <c r="D89" s="56"/>
      <c r="E89" s="910"/>
      <c r="F89" s="57"/>
      <c r="G89" s="58"/>
      <c r="H89" s="59"/>
      <c r="I89" s="60"/>
      <c r="J89" s="269"/>
      <c r="K89" s="59"/>
      <c r="L89" s="22" t="s">
        <v>2993</v>
      </c>
      <c r="M89" s="28" t="s">
        <v>3013</v>
      </c>
      <c r="N89" s="22" t="s">
        <v>51</v>
      </c>
      <c r="O89" s="29">
        <v>9700</v>
      </c>
      <c r="P89" s="29">
        <f t="shared" si="18"/>
        <v>679</v>
      </c>
      <c r="Q89" s="29">
        <f t="shared" si="19"/>
        <v>10379</v>
      </c>
      <c r="R89" s="61"/>
      <c r="S89" s="96"/>
      <c r="T89" s="97"/>
      <c r="U89" s="98"/>
      <c r="V89" s="99"/>
      <c r="W89" s="100"/>
      <c r="X89" s="99"/>
      <c r="Y89" s="99"/>
      <c r="Z89" s="100"/>
      <c r="AA89" s="101"/>
      <c r="AB89" s="40">
        <v>19110462</v>
      </c>
      <c r="AC89" s="41">
        <v>9700</v>
      </c>
      <c r="AD89" s="52">
        <f t="shared" si="20"/>
        <v>679</v>
      </c>
      <c r="AE89" s="52">
        <f t="shared" si="21"/>
        <v>10379</v>
      </c>
      <c r="AF89" s="53">
        <v>43810</v>
      </c>
      <c r="AG89" s="39" t="s">
        <v>869</v>
      </c>
      <c r="AH89" s="39"/>
      <c r="AI89" s="39"/>
      <c r="AJ89" s="21" t="s">
        <v>3477</v>
      </c>
      <c r="AK89" s="1076">
        <v>1</v>
      </c>
      <c r="AL89" s="45" t="s">
        <v>3476</v>
      </c>
      <c r="AM89" s="46"/>
      <c r="AN89" s="46"/>
      <c r="AO89" s="47">
        <v>1</v>
      </c>
      <c r="AP89" s="48" t="s">
        <v>628</v>
      </c>
      <c r="AQ89" s="1076">
        <v>2</v>
      </c>
      <c r="AR89" s="40" t="s">
        <v>3014</v>
      </c>
      <c r="AS89" s="47"/>
      <c r="AT89" s="47"/>
      <c r="AU89" s="47">
        <v>1</v>
      </c>
      <c r="AV89" s="49" t="s">
        <v>628</v>
      </c>
      <c r="AW89" s="1081"/>
      <c r="AX89" s="54"/>
      <c r="AY89" s="1081"/>
      <c r="AZ89" s="1081"/>
      <c r="BA89" s="1081"/>
      <c r="BB89" s="54"/>
      <c r="BC89" s="1081"/>
      <c r="BD89" s="54"/>
      <c r="BE89" s="1081"/>
      <c r="BF89" s="1081"/>
      <c r="BG89" s="1081"/>
      <c r="BH89" s="54"/>
      <c r="BI89" s="1081"/>
      <c r="BJ89" s="54"/>
      <c r="BK89" s="1081"/>
      <c r="BL89" s="1081"/>
      <c r="BM89" s="1081"/>
      <c r="BN89" s="54"/>
      <c r="BO89" s="1081"/>
      <c r="BP89" s="54"/>
      <c r="BQ89" s="1081"/>
      <c r="BR89" s="1081"/>
      <c r="BS89" s="1081"/>
      <c r="BT89" s="54"/>
      <c r="BU89" s="1081"/>
      <c r="BV89" s="54"/>
      <c r="BW89" s="1081"/>
      <c r="BX89" s="1081"/>
      <c r="BY89" s="1081"/>
      <c r="BZ89" s="54"/>
      <c r="CA89" s="1081"/>
      <c r="CB89" s="54"/>
      <c r="CC89" s="1081"/>
      <c r="CD89" s="1081"/>
      <c r="CE89" s="1081"/>
      <c r="CF89" s="1081"/>
    </row>
    <row r="90" spans="1:84" x14ac:dyDescent="0.5">
      <c r="A90" s="227">
        <v>19116409</v>
      </c>
      <c r="B90" s="22">
        <v>19111048</v>
      </c>
      <c r="C90" s="23" t="s">
        <v>2991</v>
      </c>
      <c r="D90" s="24" t="s">
        <v>1323</v>
      </c>
      <c r="E90" s="884">
        <v>43778</v>
      </c>
      <c r="F90" s="932" t="s">
        <v>1324</v>
      </c>
      <c r="G90" s="933" t="s">
        <v>2981</v>
      </c>
      <c r="H90" s="62">
        <v>43777</v>
      </c>
      <c r="I90" s="27">
        <v>19356</v>
      </c>
      <c r="J90" s="931" t="s">
        <v>869</v>
      </c>
      <c r="K90" s="957">
        <v>43778</v>
      </c>
      <c r="L90" s="22" t="s">
        <v>15</v>
      </c>
      <c r="M90" s="28" t="s">
        <v>2992</v>
      </c>
      <c r="N90" s="22" t="s">
        <v>51</v>
      </c>
      <c r="O90" s="29">
        <v>27160</v>
      </c>
      <c r="P90" s="29">
        <f t="shared" si="18"/>
        <v>1901.2</v>
      </c>
      <c r="Q90" s="29">
        <f t="shared" si="19"/>
        <v>29061.200000000001</v>
      </c>
      <c r="R90" s="61"/>
      <c r="S90" s="96"/>
      <c r="T90" s="97"/>
      <c r="U90" s="98"/>
      <c r="V90" s="99"/>
      <c r="W90" s="100"/>
      <c r="X90" s="99"/>
      <c r="Y90" s="99"/>
      <c r="Z90" s="100"/>
      <c r="AA90" s="101"/>
      <c r="AB90" s="40">
        <v>19110476</v>
      </c>
      <c r="AC90" s="41">
        <v>27160</v>
      </c>
      <c r="AD90" s="52">
        <f t="shared" si="20"/>
        <v>1901.2</v>
      </c>
      <c r="AE90" s="52">
        <f t="shared" si="21"/>
        <v>29061.200000000001</v>
      </c>
      <c r="AF90" s="53">
        <v>43832</v>
      </c>
      <c r="AG90" s="39" t="s">
        <v>869</v>
      </c>
      <c r="AH90" s="39"/>
      <c r="AI90" s="39"/>
      <c r="AJ90" s="21" t="s">
        <v>3504</v>
      </c>
      <c r="AK90" s="1051">
        <v>1</v>
      </c>
      <c r="AL90" s="45" t="s">
        <v>793</v>
      </c>
      <c r="AM90" s="46"/>
      <c r="AN90" s="46" t="s">
        <v>869</v>
      </c>
      <c r="AO90" s="47">
        <v>1</v>
      </c>
      <c r="AP90" s="48" t="s">
        <v>633</v>
      </c>
      <c r="AQ90" s="1051">
        <v>2</v>
      </c>
      <c r="AR90" s="40" t="s">
        <v>740</v>
      </c>
      <c r="AS90" s="47"/>
      <c r="AT90" s="47" t="s">
        <v>869</v>
      </c>
      <c r="AU90" s="47">
        <v>1</v>
      </c>
      <c r="AV90" s="49" t="s">
        <v>633</v>
      </c>
      <c r="AW90" s="1079"/>
      <c r="AX90" s="54"/>
      <c r="AY90" s="1079"/>
      <c r="AZ90" s="1079"/>
      <c r="BA90" s="1079"/>
      <c r="BB90" s="54"/>
      <c r="BC90" s="1079"/>
      <c r="BD90" s="54"/>
      <c r="BE90" s="1079"/>
      <c r="BF90" s="1079"/>
      <c r="BG90" s="1079"/>
      <c r="BH90" s="54"/>
      <c r="BI90" s="1079"/>
      <c r="BJ90" s="54"/>
      <c r="BK90" s="1079"/>
      <c r="BL90" s="1079"/>
      <c r="BM90" s="1079"/>
      <c r="BN90" s="54"/>
      <c r="BO90" s="1079"/>
      <c r="BP90" s="54"/>
      <c r="BQ90" s="1079"/>
      <c r="BR90" s="1079"/>
      <c r="BS90" s="1079"/>
      <c r="BT90" s="54"/>
      <c r="BU90" s="1079"/>
      <c r="BV90" s="54"/>
      <c r="BW90" s="1079"/>
      <c r="BX90" s="1079"/>
      <c r="BY90" s="1079"/>
      <c r="BZ90" s="54"/>
      <c r="CA90" s="1079"/>
      <c r="CB90" s="54"/>
      <c r="CC90" s="1079"/>
      <c r="CD90" s="1079"/>
      <c r="CE90" s="1079"/>
      <c r="CF90" s="1079"/>
    </row>
    <row r="91" spans="1:84" x14ac:dyDescent="0.5">
      <c r="A91" s="259">
        <v>19106408</v>
      </c>
      <c r="B91" s="104" t="s">
        <v>2974</v>
      </c>
      <c r="C91" s="105" t="s">
        <v>2975</v>
      </c>
      <c r="D91" s="106" t="s">
        <v>1323</v>
      </c>
      <c r="E91" s="302" t="s">
        <v>2976</v>
      </c>
      <c r="F91" s="936" t="s">
        <v>1324</v>
      </c>
      <c r="G91" s="937" t="s">
        <v>3123</v>
      </c>
      <c r="H91" s="211">
        <v>43795</v>
      </c>
      <c r="I91" s="164">
        <v>19371</v>
      </c>
      <c r="J91" s="960" t="s">
        <v>869</v>
      </c>
      <c r="K91" s="965">
        <v>43797</v>
      </c>
      <c r="L91" s="104" t="s">
        <v>2977</v>
      </c>
      <c r="M91" s="110" t="s">
        <v>2978</v>
      </c>
      <c r="N91" s="104" t="s">
        <v>2979</v>
      </c>
      <c r="O91" s="111">
        <v>218000</v>
      </c>
      <c r="P91" s="111">
        <f t="shared" si="18"/>
        <v>15260</v>
      </c>
      <c r="Q91" s="111">
        <f t="shared" ref="Q91:Q105" si="22">O91+P91</f>
        <v>233260</v>
      </c>
      <c r="R91" s="212"/>
      <c r="S91" s="113"/>
      <c r="T91" s="114"/>
      <c r="U91" s="115"/>
      <c r="V91" s="116"/>
      <c r="W91" s="117"/>
      <c r="X91" s="118"/>
      <c r="Y91" s="118"/>
      <c r="Z91" s="119"/>
      <c r="AA91" s="120"/>
      <c r="AB91" s="229">
        <v>19110482</v>
      </c>
      <c r="AC91" s="230">
        <v>65400</v>
      </c>
      <c r="AD91" s="220">
        <f t="shared" si="20"/>
        <v>4578</v>
      </c>
      <c r="AE91" s="220">
        <f t="shared" si="21"/>
        <v>69978</v>
      </c>
      <c r="AF91" s="221">
        <v>43794</v>
      </c>
      <c r="AG91" s="121" t="s">
        <v>869</v>
      </c>
      <c r="AH91" s="121"/>
      <c r="AI91" s="121"/>
      <c r="AJ91" s="222" t="s">
        <v>3336</v>
      </c>
      <c r="AK91" s="128">
        <v>1</v>
      </c>
      <c r="AL91" s="129" t="s">
        <v>784</v>
      </c>
      <c r="AM91" s="130"/>
      <c r="AN91" s="130" t="s">
        <v>869</v>
      </c>
      <c r="AO91" s="131">
        <v>4</v>
      </c>
      <c r="AP91" s="132" t="s">
        <v>634</v>
      </c>
      <c r="AQ91" s="128">
        <v>2</v>
      </c>
      <c r="AR91" s="123" t="s">
        <v>716</v>
      </c>
      <c r="AS91" s="131"/>
      <c r="AT91" s="131" t="s">
        <v>869</v>
      </c>
      <c r="AU91" s="131">
        <v>4</v>
      </c>
      <c r="AV91" s="169" t="s">
        <v>634</v>
      </c>
      <c r="AW91" s="128">
        <v>3</v>
      </c>
      <c r="AX91" s="123" t="s">
        <v>755</v>
      </c>
      <c r="AY91" s="131"/>
      <c r="AZ91" s="131" t="s">
        <v>869</v>
      </c>
      <c r="BA91" s="131">
        <v>1</v>
      </c>
      <c r="BB91" s="169" t="s">
        <v>634</v>
      </c>
      <c r="BC91" s="128">
        <v>4</v>
      </c>
      <c r="BD91" s="123" t="s">
        <v>849</v>
      </c>
      <c r="BE91" s="131"/>
      <c r="BF91" s="131" t="s">
        <v>869</v>
      </c>
      <c r="BG91" s="131">
        <v>6</v>
      </c>
      <c r="BH91" s="169" t="s">
        <v>634</v>
      </c>
      <c r="BI91" s="128">
        <v>5</v>
      </c>
      <c r="BJ91" s="123" t="s">
        <v>842</v>
      </c>
      <c r="BK91" s="131"/>
      <c r="BL91" s="131" t="s">
        <v>869</v>
      </c>
      <c r="BM91" s="131">
        <v>2</v>
      </c>
      <c r="BN91" s="169" t="s">
        <v>634</v>
      </c>
      <c r="BO91" s="128">
        <v>6</v>
      </c>
      <c r="BP91" s="123" t="s">
        <v>849</v>
      </c>
      <c r="BQ91" s="131"/>
      <c r="BR91" s="131" t="s">
        <v>869</v>
      </c>
      <c r="BS91" s="131">
        <v>3</v>
      </c>
      <c r="BT91" s="169" t="s">
        <v>634</v>
      </c>
      <c r="BU91" s="128">
        <v>7</v>
      </c>
      <c r="BV91" s="123" t="s">
        <v>833</v>
      </c>
      <c r="BW91" s="131"/>
      <c r="BX91" s="131" t="s">
        <v>869</v>
      </c>
      <c r="BY91" s="131">
        <v>1</v>
      </c>
      <c r="BZ91" s="169" t="s">
        <v>634</v>
      </c>
      <c r="CA91" s="128"/>
      <c r="CB91" s="133"/>
      <c r="CC91" s="128"/>
      <c r="CD91" s="128"/>
      <c r="CE91" s="128"/>
      <c r="CF91" s="128"/>
    </row>
    <row r="92" spans="1:84" x14ac:dyDescent="0.5">
      <c r="A92" s="262"/>
      <c r="B92" s="135"/>
      <c r="C92" s="136"/>
      <c r="D92" s="137"/>
      <c r="E92" s="906"/>
      <c r="F92" s="940"/>
      <c r="G92" s="941"/>
      <c r="H92" s="170">
        <v>43795</v>
      </c>
      <c r="I92" s="251">
        <v>19372</v>
      </c>
      <c r="J92" s="963"/>
      <c r="K92" s="154"/>
      <c r="L92" s="135"/>
      <c r="M92" s="141"/>
      <c r="N92" s="135"/>
      <c r="O92" s="142"/>
      <c r="P92" s="142"/>
      <c r="Q92" s="142"/>
      <c r="R92" s="213"/>
      <c r="S92" s="144"/>
      <c r="T92" s="145"/>
      <c r="U92" s="146"/>
      <c r="V92" s="147"/>
      <c r="W92" s="148"/>
      <c r="X92" s="149"/>
      <c r="Y92" s="149"/>
      <c r="Z92" s="150"/>
      <c r="AA92" s="151"/>
      <c r="AB92" s="292">
        <v>19110483</v>
      </c>
      <c r="AC92" s="293">
        <v>101617.8</v>
      </c>
      <c r="AD92" s="307">
        <f t="shared" si="20"/>
        <v>7113.2460000000001</v>
      </c>
      <c r="AE92" s="307">
        <f t="shared" si="21"/>
        <v>108731.046</v>
      </c>
      <c r="AF92" s="295">
        <v>43824</v>
      </c>
      <c r="AG92" s="296" t="s">
        <v>869</v>
      </c>
      <c r="AH92" s="296"/>
      <c r="AI92" s="296"/>
      <c r="AJ92" s="308" t="s">
        <v>3294</v>
      </c>
      <c r="AK92" s="158"/>
      <c r="AL92" s="159"/>
      <c r="AM92" s="160"/>
      <c r="AN92" s="160"/>
      <c r="AO92" s="161"/>
      <c r="AP92" s="162"/>
      <c r="AQ92" s="158"/>
      <c r="AR92" s="154"/>
      <c r="AS92" s="161"/>
      <c r="AT92" s="161"/>
      <c r="AU92" s="161"/>
      <c r="AV92" s="177"/>
      <c r="AW92" s="158"/>
      <c r="AX92" s="154"/>
      <c r="AY92" s="161"/>
      <c r="AZ92" s="161"/>
      <c r="BA92" s="161"/>
      <c r="BB92" s="177"/>
      <c r="BC92" s="158"/>
      <c r="BD92" s="154"/>
      <c r="BE92" s="161"/>
      <c r="BF92" s="161"/>
      <c r="BG92" s="161"/>
      <c r="BH92" s="177"/>
      <c r="BI92" s="158"/>
      <c r="BJ92" s="154"/>
      <c r="BK92" s="161"/>
      <c r="BL92" s="161"/>
      <c r="BM92" s="161"/>
      <c r="BN92" s="177"/>
      <c r="BO92" s="158"/>
      <c r="BP92" s="154"/>
      <c r="BQ92" s="161"/>
      <c r="BR92" s="161"/>
      <c r="BS92" s="161"/>
      <c r="BT92" s="177"/>
      <c r="BU92" s="158"/>
      <c r="BV92" s="154"/>
      <c r="BW92" s="161"/>
      <c r="BX92" s="161"/>
      <c r="BY92" s="161"/>
      <c r="BZ92" s="177"/>
      <c r="CA92" s="158"/>
      <c r="CB92" s="163"/>
      <c r="CC92" s="158"/>
      <c r="CD92" s="158"/>
      <c r="CE92" s="158"/>
      <c r="CF92" s="158"/>
    </row>
    <row r="93" spans="1:84" x14ac:dyDescent="0.5">
      <c r="A93" s="262"/>
      <c r="B93" s="135"/>
      <c r="C93" s="136"/>
      <c r="D93" s="137"/>
      <c r="E93" s="906"/>
      <c r="F93" s="952"/>
      <c r="G93" s="953"/>
      <c r="H93" s="178">
        <v>43795</v>
      </c>
      <c r="I93" s="171">
        <v>19373</v>
      </c>
      <c r="J93" s="1082"/>
      <c r="K93" s="637"/>
      <c r="L93" s="135"/>
      <c r="M93" s="141"/>
      <c r="N93" s="135"/>
      <c r="O93" s="142"/>
      <c r="P93" s="142"/>
      <c r="Q93" s="142"/>
      <c r="R93" s="213"/>
      <c r="S93" s="144"/>
      <c r="T93" s="145"/>
      <c r="U93" s="146"/>
      <c r="V93" s="147"/>
      <c r="W93" s="148"/>
      <c r="X93" s="149"/>
      <c r="Y93" s="149"/>
      <c r="Z93" s="150"/>
      <c r="AA93" s="151"/>
      <c r="AB93" s="292">
        <v>19120503</v>
      </c>
      <c r="AC93" s="293">
        <v>30721.66</v>
      </c>
      <c r="AD93" s="307">
        <f t="shared" si="20"/>
        <v>2150.5162</v>
      </c>
      <c r="AE93" s="307">
        <f t="shared" si="21"/>
        <v>32872.176200000002</v>
      </c>
      <c r="AF93" s="295">
        <v>43842</v>
      </c>
      <c r="AG93" s="296" t="s">
        <v>869</v>
      </c>
      <c r="AH93" s="296"/>
      <c r="AI93" s="296"/>
      <c r="AJ93" s="308" t="s">
        <v>3466</v>
      </c>
      <c r="AK93" s="158"/>
      <c r="AL93" s="159"/>
      <c r="AM93" s="160"/>
      <c r="AN93" s="160"/>
      <c r="AO93" s="161"/>
      <c r="AP93" s="162"/>
      <c r="AQ93" s="158"/>
      <c r="AR93" s="154"/>
      <c r="AS93" s="161"/>
      <c r="AT93" s="161"/>
      <c r="AU93" s="161"/>
      <c r="AV93" s="177"/>
      <c r="AW93" s="158"/>
      <c r="AX93" s="154"/>
      <c r="AY93" s="161"/>
      <c r="AZ93" s="161"/>
      <c r="BA93" s="161"/>
      <c r="BB93" s="177"/>
      <c r="BC93" s="158"/>
      <c r="BD93" s="154"/>
      <c r="BE93" s="161"/>
      <c r="BF93" s="161"/>
      <c r="BG93" s="161"/>
      <c r="BH93" s="177"/>
      <c r="BI93" s="158"/>
      <c r="BJ93" s="154"/>
      <c r="BK93" s="161"/>
      <c r="BL93" s="161"/>
      <c r="BM93" s="161"/>
      <c r="BN93" s="177"/>
      <c r="BO93" s="158"/>
      <c r="BP93" s="154"/>
      <c r="BQ93" s="161"/>
      <c r="BR93" s="161"/>
      <c r="BS93" s="161"/>
      <c r="BT93" s="177"/>
      <c r="BU93" s="158"/>
      <c r="BV93" s="154"/>
      <c r="BW93" s="161"/>
      <c r="BX93" s="161"/>
      <c r="BY93" s="161"/>
      <c r="BZ93" s="177"/>
      <c r="CA93" s="158"/>
      <c r="CB93" s="163"/>
      <c r="CC93" s="158"/>
      <c r="CD93" s="158"/>
      <c r="CE93" s="158"/>
      <c r="CF93" s="158"/>
    </row>
    <row r="94" spans="1:84" x14ac:dyDescent="0.5">
      <c r="A94" s="262"/>
      <c r="B94" s="135"/>
      <c r="C94" s="136"/>
      <c r="D94" s="137"/>
      <c r="E94" s="906"/>
      <c r="F94" s="948" t="s">
        <v>1324</v>
      </c>
      <c r="G94" s="949" t="s">
        <v>3193</v>
      </c>
      <c r="H94" s="170">
        <v>43811</v>
      </c>
      <c r="I94" s="251">
        <v>19396</v>
      </c>
      <c r="J94" s="1173"/>
      <c r="K94" s="969">
        <v>43812</v>
      </c>
      <c r="L94" s="135"/>
      <c r="M94" s="141"/>
      <c r="N94" s="135"/>
      <c r="O94" s="142"/>
      <c r="P94" s="142"/>
      <c r="Q94" s="142"/>
      <c r="R94" s="213"/>
      <c r="S94" s="144"/>
      <c r="T94" s="145"/>
      <c r="U94" s="146"/>
      <c r="V94" s="147"/>
      <c r="W94" s="148"/>
      <c r="X94" s="149"/>
      <c r="Y94" s="149"/>
      <c r="Z94" s="150"/>
      <c r="AA94" s="151"/>
      <c r="AB94" s="154">
        <v>19120504</v>
      </c>
      <c r="AC94" s="155">
        <v>20260.54</v>
      </c>
      <c r="AD94" s="156">
        <f t="shared" si="20"/>
        <v>1418.2377999999999</v>
      </c>
      <c r="AE94" s="156">
        <f t="shared" si="21"/>
        <v>21678.7778</v>
      </c>
      <c r="AF94" s="157"/>
      <c r="AG94" s="152" t="s">
        <v>869</v>
      </c>
      <c r="AH94" s="152"/>
      <c r="AI94" s="152"/>
      <c r="AJ94" s="134" t="s">
        <v>3608</v>
      </c>
      <c r="AK94" s="158"/>
      <c r="AL94" s="159"/>
      <c r="AM94" s="160"/>
      <c r="AN94" s="160"/>
      <c r="AO94" s="161"/>
      <c r="AP94" s="162"/>
      <c r="AQ94" s="158"/>
      <c r="AR94" s="154"/>
      <c r="AS94" s="161"/>
      <c r="AT94" s="161"/>
      <c r="AU94" s="161"/>
      <c r="AV94" s="177"/>
      <c r="AW94" s="158"/>
      <c r="AX94" s="154"/>
      <c r="AY94" s="161"/>
      <c r="AZ94" s="161"/>
      <c r="BA94" s="161"/>
      <c r="BB94" s="177"/>
      <c r="BC94" s="158"/>
      <c r="BD94" s="154"/>
      <c r="BE94" s="161"/>
      <c r="BF94" s="161"/>
      <c r="BG94" s="161"/>
      <c r="BH94" s="177"/>
      <c r="BI94" s="158"/>
      <c r="BJ94" s="154"/>
      <c r="BK94" s="161"/>
      <c r="BL94" s="161"/>
      <c r="BM94" s="161"/>
      <c r="BN94" s="177"/>
      <c r="BO94" s="158"/>
      <c r="BP94" s="154"/>
      <c r="BQ94" s="161"/>
      <c r="BR94" s="161"/>
      <c r="BS94" s="161"/>
      <c r="BT94" s="177"/>
      <c r="BU94" s="158"/>
      <c r="BV94" s="154"/>
      <c r="BW94" s="161"/>
      <c r="BX94" s="161"/>
      <c r="BY94" s="161"/>
      <c r="BZ94" s="177"/>
      <c r="CA94" s="158"/>
      <c r="CB94" s="163"/>
      <c r="CC94" s="158"/>
      <c r="CD94" s="158"/>
      <c r="CE94" s="158"/>
      <c r="CF94" s="158"/>
    </row>
    <row r="95" spans="1:84" x14ac:dyDescent="0.5">
      <c r="A95" s="268"/>
      <c r="B95" s="181"/>
      <c r="C95" s="182"/>
      <c r="D95" s="183"/>
      <c r="E95" s="749"/>
      <c r="F95" s="938" t="s">
        <v>3368</v>
      </c>
      <c r="G95" s="939" t="s">
        <v>1359</v>
      </c>
      <c r="H95" s="186">
        <v>43845</v>
      </c>
      <c r="I95" s="187">
        <v>63013</v>
      </c>
      <c r="J95" s="961"/>
      <c r="K95" s="966">
        <v>43846</v>
      </c>
      <c r="L95" s="181"/>
      <c r="M95" s="188"/>
      <c r="N95" s="181"/>
      <c r="O95" s="189"/>
      <c r="P95" s="189"/>
      <c r="Q95" s="189"/>
      <c r="R95" s="214"/>
      <c r="S95" s="215"/>
      <c r="T95" s="216"/>
      <c r="U95" s="217"/>
      <c r="V95" s="218"/>
      <c r="W95" s="195"/>
      <c r="X95" s="196"/>
      <c r="Y95" s="196"/>
      <c r="Z95" s="197"/>
      <c r="AA95" s="198"/>
      <c r="AB95" s="200"/>
      <c r="AC95" s="201"/>
      <c r="AD95" s="202"/>
      <c r="AE95" s="202"/>
      <c r="AF95" s="203"/>
      <c r="AG95" s="199"/>
      <c r="AH95" s="199"/>
      <c r="AI95" s="199"/>
      <c r="AJ95" s="180"/>
      <c r="AK95" s="204"/>
      <c r="AL95" s="205"/>
      <c r="AM95" s="206"/>
      <c r="AN95" s="206"/>
      <c r="AO95" s="207"/>
      <c r="AP95" s="208"/>
      <c r="AQ95" s="204"/>
      <c r="AR95" s="200"/>
      <c r="AS95" s="207"/>
      <c r="AT95" s="207"/>
      <c r="AU95" s="207"/>
      <c r="AV95" s="209"/>
      <c r="AW95" s="204"/>
      <c r="AX95" s="200"/>
      <c r="AY95" s="207"/>
      <c r="AZ95" s="207"/>
      <c r="BA95" s="207"/>
      <c r="BB95" s="209"/>
      <c r="BC95" s="204"/>
      <c r="BD95" s="200"/>
      <c r="BE95" s="207"/>
      <c r="BF95" s="207"/>
      <c r="BG95" s="207"/>
      <c r="BH95" s="209"/>
      <c r="BI95" s="204"/>
      <c r="BJ95" s="200"/>
      <c r="BK95" s="207"/>
      <c r="BL95" s="207"/>
      <c r="BM95" s="207"/>
      <c r="BN95" s="209"/>
      <c r="BO95" s="204"/>
      <c r="BP95" s="200"/>
      <c r="BQ95" s="207"/>
      <c r="BR95" s="207"/>
      <c r="BS95" s="207"/>
      <c r="BT95" s="209"/>
      <c r="BU95" s="204"/>
      <c r="BV95" s="200"/>
      <c r="BW95" s="207"/>
      <c r="BX95" s="207"/>
      <c r="BY95" s="207"/>
      <c r="BZ95" s="209"/>
      <c r="CA95" s="204"/>
      <c r="CB95" s="210"/>
      <c r="CC95" s="204"/>
      <c r="CD95" s="204"/>
      <c r="CE95" s="204"/>
      <c r="CF95" s="204"/>
    </row>
    <row r="96" spans="1:84" x14ac:dyDescent="0.5">
      <c r="A96" s="227">
        <v>19106407</v>
      </c>
      <c r="B96" s="22" t="s">
        <v>2980</v>
      </c>
      <c r="C96" s="23" t="s">
        <v>2981</v>
      </c>
      <c r="D96" s="24" t="s">
        <v>1323</v>
      </c>
      <c r="E96" s="884">
        <v>43818</v>
      </c>
      <c r="F96" s="932" t="s">
        <v>3368</v>
      </c>
      <c r="G96" s="933" t="s">
        <v>1352</v>
      </c>
      <c r="H96" s="62">
        <v>43836</v>
      </c>
      <c r="I96" s="27">
        <v>63002</v>
      </c>
      <c r="J96" s="931" t="s">
        <v>869</v>
      </c>
      <c r="K96" s="957">
        <v>43836</v>
      </c>
      <c r="L96" s="22" t="s">
        <v>2023</v>
      </c>
      <c r="M96" s="28" t="s">
        <v>2982</v>
      </c>
      <c r="N96" s="22" t="s">
        <v>52</v>
      </c>
      <c r="O96" s="29">
        <v>77000</v>
      </c>
      <c r="P96" s="29">
        <f t="shared" si="18"/>
        <v>5390</v>
      </c>
      <c r="Q96" s="29">
        <f t="shared" si="22"/>
        <v>82390</v>
      </c>
      <c r="R96" s="61"/>
      <c r="S96" s="31"/>
      <c r="T96" s="32"/>
      <c r="U96" s="33"/>
      <c r="V96" s="34"/>
      <c r="W96" s="35"/>
      <c r="X96" s="36"/>
      <c r="Y96" s="36"/>
      <c r="Z96" s="37"/>
      <c r="AA96" s="38"/>
      <c r="AB96" s="40">
        <v>19120497</v>
      </c>
      <c r="AC96" s="41">
        <v>77000</v>
      </c>
      <c r="AD96" s="64">
        <f t="shared" ref="AD96:AD105" si="23">AC96*7/100</f>
        <v>5390</v>
      </c>
      <c r="AE96" s="52">
        <f t="shared" ref="AE96:AE105" si="24">AC96+AD96</f>
        <v>82390</v>
      </c>
      <c r="AF96" s="53">
        <v>43805</v>
      </c>
      <c r="AG96" s="39" t="s">
        <v>869</v>
      </c>
      <c r="AH96" s="39"/>
      <c r="AI96" s="39"/>
      <c r="AJ96" s="21" t="s">
        <v>3501</v>
      </c>
      <c r="AK96" s="1061">
        <v>1</v>
      </c>
      <c r="AL96" s="45" t="s">
        <v>2385</v>
      </c>
      <c r="AM96" s="46"/>
      <c r="AN96" s="46" t="s">
        <v>869</v>
      </c>
      <c r="AO96" s="47">
        <v>1</v>
      </c>
      <c r="AP96" s="48" t="s">
        <v>634</v>
      </c>
      <c r="AQ96" s="1061">
        <v>2</v>
      </c>
      <c r="AR96" s="40" t="s">
        <v>1250</v>
      </c>
      <c r="AS96" s="47"/>
      <c r="AT96" s="47" t="s">
        <v>869</v>
      </c>
      <c r="AU96" s="47">
        <v>1</v>
      </c>
      <c r="AV96" s="49" t="s">
        <v>634</v>
      </c>
      <c r="AW96" s="1076"/>
      <c r="AX96" s="54"/>
      <c r="AY96" s="1076"/>
      <c r="AZ96" s="1076"/>
      <c r="BA96" s="1076"/>
      <c r="BB96" s="54"/>
      <c r="BC96" s="1076"/>
      <c r="BD96" s="54"/>
      <c r="BE96" s="1076"/>
      <c r="BF96" s="1076"/>
      <c r="BG96" s="1076"/>
      <c r="BH96" s="54"/>
      <c r="BI96" s="1076"/>
      <c r="BJ96" s="54"/>
      <c r="BK96" s="1076"/>
      <c r="BL96" s="1076"/>
      <c r="BM96" s="1076"/>
      <c r="BN96" s="54"/>
      <c r="BO96" s="1076"/>
      <c r="BP96" s="54"/>
      <c r="BQ96" s="1076"/>
      <c r="BR96" s="1076"/>
      <c r="BS96" s="1076"/>
      <c r="BT96" s="54"/>
      <c r="BU96" s="1076"/>
      <c r="BV96" s="54"/>
      <c r="BW96" s="1076"/>
      <c r="BX96" s="1076"/>
      <c r="BY96" s="1076"/>
      <c r="BZ96" s="54"/>
      <c r="CA96" s="1076"/>
      <c r="CB96" s="54"/>
      <c r="CC96" s="1076"/>
      <c r="CD96" s="1076"/>
      <c r="CE96" s="1076"/>
      <c r="CF96" s="1076"/>
    </row>
    <row r="97" spans="1:84" x14ac:dyDescent="0.5">
      <c r="A97" s="227">
        <v>19106406</v>
      </c>
      <c r="B97" s="22" t="s">
        <v>2983</v>
      </c>
      <c r="C97" s="23" t="s">
        <v>2984</v>
      </c>
      <c r="D97" s="24" t="s">
        <v>1323</v>
      </c>
      <c r="E97" s="884">
        <v>43777</v>
      </c>
      <c r="F97" s="932" t="s">
        <v>1324</v>
      </c>
      <c r="G97" s="933" t="s">
        <v>2975</v>
      </c>
      <c r="H97" s="62">
        <v>43776</v>
      </c>
      <c r="I97" s="27">
        <v>19355</v>
      </c>
      <c r="J97" s="931" t="s">
        <v>869</v>
      </c>
      <c r="K97" s="957">
        <v>43777</v>
      </c>
      <c r="L97" s="22" t="s">
        <v>13</v>
      </c>
      <c r="M97" s="28" t="s">
        <v>2985</v>
      </c>
      <c r="N97" s="22" t="s">
        <v>52</v>
      </c>
      <c r="O97" s="29">
        <v>23625</v>
      </c>
      <c r="P97" s="29">
        <f t="shared" si="18"/>
        <v>1653.75</v>
      </c>
      <c r="Q97" s="29">
        <f t="shared" si="22"/>
        <v>25278.75</v>
      </c>
      <c r="R97" s="30"/>
      <c r="S97" s="31"/>
      <c r="T97" s="32"/>
      <c r="U97" s="33"/>
      <c r="V97" s="34"/>
      <c r="W97" s="35"/>
      <c r="X97" s="36"/>
      <c r="Y97" s="36"/>
      <c r="Z97" s="37"/>
      <c r="AA97" s="38"/>
      <c r="AB97" s="40">
        <v>19110452</v>
      </c>
      <c r="AC97" s="41">
        <v>23625</v>
      </c>
      <c r="AD97" s="52">
        <f t="shared" si="23"/>
        <v>1653.75</v>
      </c>
      <c r="AE97" s="52">
        <f t="shared" si="24"/>
        <v>25278.75</v>
      </c>
      <c r="AF97" s="53">
        <v>43775</v>
      </c>
      <c r="AG97" s="39" t="s">
        <v>869</v>
      </c>
      <c r="AH97" s="39"/>
      <c r="AI97" s="39"/>
      <c r="AJ97" s="21" t="s">
        <v>3352</v>
      </c>
      <c r="AK97" s="1073">
        <v>1</v>
      </c>
      <c r="AL97" s="45" t="s">
        <v>793</v>
      </c>
      <c r="AM97" s="46"/>
      <c r="AN97" s="46" t="s">
        <v>869</v>
      </c>
      <c r="AO97" s="47">
        <v>1</v>
      </c>
      <c r="AP97" s="48" t="s">
        <v>634</v>
      </c>
      <c r="AQ97" s="1076"/>
      <c r="AR97" s="54"/>
      <c r="AS97" s="1076"/>
      <c r="AT97" s="1076"/>
      <c r="AU97" s="1076"/>
      <c r="AV97" s="54"/>
      <c r="AW97" s="1076"/>
      <c r="AX97" s="54"/>
      <c r="AY97" s="1076"/>
      <c r="AZ97" s="1076"/>
      <c r="BA97" s="1076"/>
      <c r="BB97" s="54"/>
      <c r="BC97" s="1076"/>
      <c r="BD97" s="54"/>
      <c r="BE97" s="1076"/>
      <c r="BF97" s="1076"/>
      <c r="BG97" s="1076"/>
      <c r="BH97" s="54"/>
      <c r="BI97" s="1076"/>
      <c r="BJ97" s="54"/>
      <c r="BK97" s="1076"/>
      <c r="BL97" s="1076"/>
      <c r="BM97" s="1076"/>
      <c r="BN97" s="54"/>
      <c r="BO97" s="1076"/>
      <c r="BP97" s="54"/>
      <c r="BQ97" s="1076"/>
      <c r="BR97" s="1076"/>
      <c r="BS97" s="1076"/>
      <c r="BT97" s="54"/>
      <c r="BU97" s="1076"/>
      <c r="BV97" s="54"/>
      <c r="BW97" s="1076"/>
      <c r="BX97" s="1076"/>
      <c r="BY97" s="1076"/>
      <c r="BZ97" s="54"/>
      <c r="CA97" s="1076"/>
      <c r="CB97" s="54"/>
      <c r="CC97" s="1076"/>
      <c r="CD97" s="1076"/>
      <c r="CE97" s="1076"/>
      <c r="CF97" s="1076"/>
    </row>
    <row r="98" spans="1:84" x14ac:dyDescent="0.5">
      <c r="A98" s="227">
        <v>19106405</v>
      </c>
      <c r="B98" s="22">
        <v>19101040</v>
      </c>
      <c r="C98" s="23" t="s">
        <v>2956</v>
      </c>
      <c r="D98" s="24" t="s">
        <v>1323</v>
      </c>
      <c r="E98" s="884">
        <v>43784</v>
      </c>
      <c r="F98" s="932" t="s">
        <v>1324</v>
      </c>
      <c r="G98" s="933" t="s">
        <v>2989</v>
      </c>
      <c r="H98" s="62">
        <v>43782</v>
      </c>
      <c r="I98" s="27">
        <v>19359</v>
      </c>
      <c r="J98" s="931" t="s">
        <v>869</v>
      </c>
      <c r="K98" s="957">
        <v>43783</v>
      </c>
      <c r="L98" s="22" t="s">
        <v>1546</v>
      </c>
      <c r="M98" s="28" t="s">
        <v>2957</v>
      </c>
      <c r="N98" s="22" t="s">
        <v>1523</v>
      </c>
      <c r="O98" s="29">
        <v>76750</v>
      </c>
      <c r="P98" s="29">
        <f t="shared" ref="P98:P111" si="25">O98*7/100</f>
        <v>5372.5</v>
      </c>
      <c r="Q98" s="29">
        <f t="shared" si="22"/>
        <v>82122.5</v>
      </c>
      <c r="R98" s="30"/>
      <c r="S98" s="31"/>
      <c r="T98" s="32"/>
      <c r="U98" s="33"/>
      <c r="V98" s="34"/>
      <c r="W98" s="35"/>
      <c r="X98" s="36"/>
      <c r="Y98" s="36"/>
      <c r="Z98" s="37"/>
      <c r="AA98" s="38"/>
      <c r="AB98" s="40">
        <v>19110488</v>
      </c>
      <c r="AC98" s="41">
        <v>76750</v>
      </c>
      <c r="AD98" s="52">
        <f t="shared" si="23"/>
        <v>5372.5</v>
      </c>
      <c r="AE98" s="52">
        <f t="shared" si="24"/>
        <v>82122.5</v>
      </c>
      <c r="AF98" s="53">
        <v>43826</v>
      </c>
      <c r="AG98" s="39" t="s">
        <v>869</v>
      </c>
      <c r="AH98" s="39"/>
      <c r="AI98" s="39"/>
      <c r="AJ98" s="21" t="s">
        <v>3462</v>
      </c>
      <c r="AK98" s="1073">
        <v>1</v>
      </c>
      <c r="AL98" s="45" t="s">
        <v>2958</v>
      </c>
      <c r="AM98" s="46"/>
      <c r="AN98" s="46" t="s">
        <v>869</v>
      </c>
      <c r="AO98" s="47">
        <v>3</v>
      </c>
      <c r="AP98" s="48" t="s">
        <v>2959</v>
      </c>
      <c r="AQ98" s="1074"/>
      <c r="AR98" s="54"/>
      <c r="AS98" s="1074"/>
      <c r="AT98" s="1074"/>
      <c r="AU98" s="1074"/>
      <c r="AV98" s="54"/>
      <c r="AW98" s="1074"/>
      <c r="AX98" s="54"/>
      <c r="AY98" s="1074"/>
      <c r="AZ98" s="1074"/>
      <c r="BA98" s="1074"/>
      <c r="BB98" s="54"/>
      <c r="BC98" s="1074"/>
      <c r="BD98" s="54"/>
      <c r="BE98" s="1074"/>
      <c r="BF98" s="1074"/>
      <c r="BG98" s="1074"/>
      <c r="BH98" s="54"/>
      <c r="BI98" s="1074"/>
      <c r="BJ98" s="54"/>
      <c r="BK98" s="1074"/>
      <c r="BL98" s="1074"/>
      <c r="BM98" s="1074"/>
      <c r="BN98" s="54"/>
      <c r="BO98" s="1074"/>
      <c r="BP98" s="54"/>
      <c r="BQ98" s="1074"/>
      <c r="BR98" s="1074"/>
      <c r="BS98" s="1074"/>
      <c r="BT98" s="54"/>
      <c r="BU98" s="1074"/>
      <c r="BV98" s="54"/>
      <c r="BW98" s="1074"/>
      <c r="BX98" s="1074"/>
      <c r="BY98" s="1074"/>
      <c r="BZ98" s="54"/>
      <c r="CA98" s="1074"/>
      <c r="CB98" s="54"/>
      <c r="CC98" s="1074"/>
      <c r="CD98" s="1074"/>
      <c r="CE98" s="1074"/>
      <c r="CF98" s="1074"/>
    </row>
    <row r="99" spans="1:84" x14ac:dyDescent="0.5">
      <c r="A99" s="259">
        <v>19106404</v>
      </c>
      <c r="B99" s="104">
        <v>19101038</v>
      </c>
      <c r="C99" s="105" t="s">
        <v>2960</v>
      </c>
      <c r="D99" s="106" t="s">
        <v>1323</v>
      </c>
      <c r="E99" s="302">
        <v>43814</v>
      </c>
      <c r="F99" s="936" t="s">
        <v>3368</v>
      </c>
      <c r="G99" s="937" t="s">
        <v>1413</v>
      </c>
      <c r="H99" s="211">
        <v>43908</v>
      </c>
      <c r="I99" s="164">
        <v>63070</v>
      </c>
      <c r="J99" s="960"/>
      <c r="K99" s="962">
        <v>43910</v>
      </c>
      <c r="L99" s="104" t="s">
        <v>2961</v>
      </c>
      <c r="M99" s="110" t="s">
        <v>2962</v>
      </c>
      <c r="N99" s="104" t="s">
        <v>1523</v>
      </c>
      <c r="O99" s="111">
        <v>590000</v>
      </c>
      <c r="P99" s="111">
        <f t="shared" si="25"/>
        <v>41300</v>
      </c>
      <c r="Q99" s="111">
        <f t="shared" si="22"/>
        <v>631300</v>
      </c>
      <c r="R99" s="311"/>
      <c r="S99" s="113"/>
      <c r="T99" s="114"/>
      <c r="U99" s="115"/>
      <c r="V99" s="116"/>
      <c r="W99" s="117"/>
      <c r="X99" s="118"/>
      <c r="Y99" s="118"/>
      <c r="Z99" s="119"/>
      <c r="AA99" s="120"/>
      <c r="AB99" s="123">
        <v>20030060</v>
      </c>
      <c r="AC99" s="124">
        <v>29500</v>
      </c>
      <c r="AD99" s="260">
        <f t="shared" si="23"/>
        <v>2065</v>
      </c>
      <c r="AE99" s="260">
        <f t="shared" si="24"/>
        <v>31565</v>
      </c>
      <c r="AF99" s="126">
        <v>43900</v>
      </c>
      <c r="AG99" s="127" t="s">
        <v>869</v>
      </c>
      <c r="AH99" s="127"/>
      <c r="AI99" s="127"/>
      <c r="AJ99" s="1305" t="s">
        <v>3700</v>
      </c>
      <c r="AK99" s="128">
        <v>1</v>
      </c>
      <c r="AL99" s="129" t="s">
        <v>2963</v>
      </c>
      <c r="AM99" s="130"/>
      <c r="AN99" s="130" t="s">
        <v>869</v>
      </c>
      <c r="AO99" s="131">
        <v>1</v>
      </c>
      <c r="AP99" s="132" t="s">
        <v>2959</v>
      </c>
      <c r="AQ99" s="128">
        <v>2</v>
      </c>
      <c r="AR99" s="123" t="s">
        <v>2477</v>
      </c>
      <c r="AS99" s="131"/>
      <c r="AT99" s="131" t="s">
        <v>869</v>
      </c>
      <c r="AU99" s="131">
        <v>1</v>
      </c>
      <c r="AV99" s="169" t="s">
        <v>634</v>
      </c>
      <c r="AW99" s="128">
        <v>3</v>
      </c>
      <c r="AX99" s="123" t="s">
        <v>2964</v>
      </c>
      <c r="AY99" s="131"/>
      <c r="AZ99" s="131" t="s">
        <v>869</v>
      </c>
      <c r="BA99" s="131">
        <v>1</v>
      </c>
      <c r="BB99" s="169" t="s">
        <v>634</v>
      </c>
      <c r="BC99" s="128">
        <v>4</v>
      </c>
      <c r="BD99" s="123" t="s">
        <v>2965</v>
      </c>
      <c r="BE99" s="131"/>
      <c r="BF99" s="131" t="s">
        <v>869</v>
      </c>
      <c r="BG99" s="131">
        <v>1</v>
      </c>
      <c r="BH99" s="169" t="s">
        <v>634</v>
      </c>
      <c r="BI99" s="128">
        <v>5</v>
      </c>
      <c r="BJ99" s="123" t="s">
        <v>755</v>
      </c>
      <c r="BK99" s="131"/>
      <c r="BL99" s="131" t="s">
        <v>869</v>
      </c>
      <c r="BM99" s="131">
        <v>1</v>
      </c>
      <c r="BN99" s="169" t="s">
        <v>634</v>
      </c>
      <c r="BO99" s="128"/>
      <c r="BP99" s="133"/>
      <c r="BQ99" s="128"/>
      <c r="BR99" s="128"/>
      <c r="BS99" s="128"/>
      <c r="BT99" s="133"/>
      <c r="BU99" s="128"/>
      <c r="BV99" s="133"/>
      <c r="BW99" s="128"/>
      <c r="BX99" s="128"/>
      <c r="BY99" s="128"/>
      <c r="BZ99" s="133"/>
      <c r="CA99" s="128"/>
      <c r="CB99" s="133"/>
      <c r="CC99" s="128"/>
      <c r="CD99" s="128"/>
      <c r="CE99" s="128"/>
      <c r="CF99" s="128"/>
    </row>
    <row r="100" spans="1:84" x14ac:dyDescent="0.5">
      <c r="A100" s="262"/>
      <c r="B100" s="135"/>
      <c r="C100" s="136"/>
      <c r="D100" s="137"/>
      <c r="E100" s="906"/>
      <c r="F100" s="940" t="s">
        <v>3368</v>
      </c>
      <c r="G100" s="941" t="s">
        <v>1405</v>
      </c>
      <c r="H100" s="170">
        <v>43908</v>
      </c>
      <c r="I100" s="251">
        <v>63071</v>
      </c>
      <c r="J100" s="963" t="s">
        <v>869</v>
      </c>
      <c r="K100" s="964">
        <v>43915</v>
      </c>
      <c r="L100" s="135"/>
      <c r="M100" s="141"/>
      <c r="N100" s="135"/>
      <c r="O100" s="142"/>
      <c r="P100" s="142"/>
      <c r="Q100" s="142"/>
      <c r="R100" s="143"/>
      <c r="S100" s="144"/>
      <c r="T100" s="145"/>
      <c r="U100" s="146"/>
      <c r="V100" s="147"/>
      <c r="W100" s="148"/>
      <c r="X100" s="149"/>
      <c r="Y100" s="149"/>
      <c r="Z100" s="150"/>
      <c r="AA100" s="151"/>
      <c r="AB100" s="154">
        <v>20030064</v>
      </c>
      <c r="AC100" s="155">
        <v>560500</v>
      </c>
      <c r="AD100" s="253">
        <f t="shared" si="23"/>
        <v>39235</v>
      </c>
      <c r="AE100" s="253">
        <f t="shared" si="24"/>
        <v>599735</v>
      </c>
      <c r="AF100" s="157">
        <v>43906</v>
      </c>
      <c r="AG100" s="152" t="s">
        <v>869</v>
      </c>
      <c r="AH100" s="152"/>
      <c r="AI100" s="152"/>
      <c r="AJ100" s="842" t="s">
        <v>4032</v>
      </c>
      <c r="AK100" s="158"/>
      <c r="AL100" s="159"/>
      <c r="AM100" s="160"/>
      <c r="AN100" s="160"/>
      <c r="AO100" s="161"/>
      <c r="AP100" s="162"/>
      <c r="AQ100" s="158"/>
      <c r="AR100" s="154"/>
      <c r="AS100" s="161"/>
      <c r="AT100" s="161"/>
      <c r="AU100" s="161"/>
      <c r="AV100" s="177"/>
      <c r="AW100" s="158"/>
      <c r="AX100" s="154"/>
      <c r="AY100" s="161"/>
      <c r="AZ100" s="161"/>
      <c r="BA100" s="161"/>
      <c r="BB100" s="177"/>
      <c r="BC100" s="158"/>
      <c r="BD100" s="154"/>
      <c r="BE100" s="161"/>
      <c r="BF100" s="161"/>
      <c r="BG100" s="161"/>
      <c r="BH100" s="177"/>
      <c r="BI100" s="158"/>
      <c r="BJ100" s="154"/>
      <c r="BK100" s="161"/>
      <c r="BL100" s="161"/>
      <c r="BM100" s="161"/>
      <c r="BN100" s="177"/>
      <c r="BO100" s="158"/>
      <c r="BP100" s="163"/>
      <c r="BQ100" s="158"/>
      <c r="BR100" s="158"/>
      <c r="BS100" s="158"/>
      <c r="BT100" s="163"/>
      <c r="BU100" s="158"/>
      <c r="BV100" s="163"/>
      <c r="BW100" s="158"/>
      <c r="BX100" s="158"/>
      <c r="BY100" s="158"/>
      <c r="BZ100" s="163"/>
      <c r="CA100" s="158"/>
      <c r="CB100" s="163"/>
      <c r="CC100" s="158"/>
      <c r="CD100" s="158"/>
      <c r="CE100" s="158"/>
      <c r="CF100" s="158"/>
    </row>
    <row r="101" spans="1:84" x14ac:dyDescent="0.5">
      <c r="A101" s="262"/>
      <c r="B101" s="135"/>
      <c r="C101" s="136"/>
      <c r="D101" s="137"/>
      <c r="E101" s="906"/>
      <c r="F101" s="940"/>
      <c r="G101" s="941"/>
      <c r="H101" s="179">
        <v>43914</v>
      </c>
      <c r="I101" s="140">
        <v>63079</v>
      </c>
      <c r="J101" s="963"/>
      <c r="K101" s="964"/>
      <c r="L101" s="135"/>
      <c r="M101" s="141"/>
      <c r="N101" s="135"/>
      <c r="O101" s="142"/>
      <c r="P101" s="142"/>
      <c r="Q101" s="142"/>
      <c r="R101" s="143"/>
      <c r="S101" s="144"/>
      <c r="T101" s="145"/>
      <c r="U101" s="146"/>
      <c r="V101" s="147"/>
      <c r="W101" s="148"/>
      <c r="X101" s="149"/>
      <c r="Y101" s="149"/>
      <c r="Z101" s="150"/>
      <c r="AA101" s="151"/>
      <c r="AB101" s="154"/>
      <c r="AC101" s="155"/>
      <c r="AD101" s="253"/>
      <c r="AE101" s="253"/>
      <c r="AF101" s="157"/>
      <c r="AG101" s="152"/>
      <c r="AH101" s="152"/>
      <c r="AI101" s="152"/>
      <c r="AJ101" s="842"/>
      <c r="AK101" s="158"/>
      <c r="AL101" s="159"/>
      <c r="AM101" s="160"/>
      <c r="AN101" s="160"/>
      <c r="AO101" s="161"/>
      <c r="AP101" s="162"/>
      <c r="AQ101" s="158"/>
      <c r="AR101" s="154"/>
      <c r="AS101" s="161"/>
      <c r="AT101" s="161"/>
      <c r="AU101" s="161"/>
      <c r="AV101" s="177"/>
      <c r="AW101" s="158"/>
      <c r="AX101" s="154"/>
      <c r="AY101" s="161"/>
      <c r="AZ101" s="161"/>
      <c r="BA101" s="161"/>
      <c r="BB101" s="177"/>
      <c r="BC101" s="158"/>
      <c r="BD101" s="154"/>
      <c r="BE101" s="161"/>
      <c r="BF101" s="161"/>
      <c r="BG101" s="161"/>
      <c r="BH101" s="177"/>
      <c r="BI101" s="158"/>
      <c r="BJ101" s="154"/>
      <c r="BK101" s="161"/>
      <c r="BL101" s="161"/>
      <c r="BM101" s="161"/>
      <c r="BN101" s="177"/>
      <c r="BO101" s="158"/>
      <c r="BP101" s="163"/>
      <c r="BQ101" s="158"/>
      <c r="BR101" s="158"/>
      <c r="BS101" s="158"/>
      <c r="BT101" s="163"/>
      <c r="BU101" s="158"/>
      <c r="BV101" s="163"/>
      <c r="BW101" s="158"/>
      <c r="BX101" s="158"/>
      <c r="BY101" s="158"/>
      <c r="BZ101" s="163"/>
      <c r="CA101" s="158"/>
      <c r="CB101" s="163"/>
      <c r="CC101" s="158"/>
      <c r="CD101" s="158"/>
      <c r="CE101" s="158"/>
      <c r="CF101" s="158"/>
    </row>
    <row r="102" spans="1:84" x14ac:dyDescent="0.5">
      <c r="A102" s="262"/>
      <c r="B102" s="135"/>
      <c r="C102" s="136"/>
      <c r="D102" s="137"/>
      <c r="E102" s="906"/>
      <c r="F102" s="940"/>
      <c r="G102" s="941"/>
      <c r="H102" s="179">
        <v>43956</v>
      </c>
      <c r="I102" s="140">
        <v>63109</v>
      </c>
      <c r="J102" s="963"/>
      <c r="K102" s="964"/>
      <c r="L102" s="134" t="s">
        <v>3824</v>
      </c>
      <c r="M102" s="141"/>
      <c r="N102" s="135"/>
      <c r="O102" s="142"/>
      <c r="P102" s="142"/>
      <c r="Q102" s="142"/>
      <c r="R102" s="143"/>
      <c r="S102" s="144"/>
      <c r="T102" s="145"/>
      <c r="U102" s="146"/>
      <c r="V102" s="147"/>
      <c r="W102" s="148"/>
      <c r="X102" s="149"/>
      <c r="Y102" s="149"/>
      <c r="Z102" s="150"/>
      <c r="AA102" s="151"/>
      <c r="AB102" s="154"/>
      <c r="AC102" s="155"/>
      <c r="AD102" s="253"/>
      <c r="AE102" s="253"/>
      <c r="AF102" s="157"/>
      <c r="AG102" s="152"/>
      <c r="AH102" s="152"/>
      <c r="AI102" s="152"/>
      <c r="AJ102" s="842"/>
      <c r="AK102" s="158"/>
      <c r="AL102" s="159"/>
      <c r="AM102" s="160"/>
      <c r="AN102" s="160"/>
      <c r="AO102" s="161"/>
      <c r="AP102" s="162"/>
      <c r="AQ102" s="158"/>
      <c r="AR102" s="154"/>
      <c r="AS102" s="161"/>
      <c r="AT102" s="161"/>
      <c r="AU102" s="161"/>
      <c r="AV102" s="177"/>
      <c r="AW102" s="158"/>
      <c r="AX102" s="154"/>
      <c r="AY102" s="161"/>
      <c r="AZ102" s="161"/>
      <c r="BA102" s="161"/>
      <c r="BB102" s="177"/>
      <c r="BC102" s="158"/>
      <c r="BD102" s="154"/>
      <c r="BE102" s="161"/>
      <c r="BF102" s="161"/>
      <c r="BG102" s="161"/>
      <c r="BH102" s="177"/>
      <c r="BI102" s="158"/>
      <c r="BJ102" s="154"/>
      <c r="BK102" s="161"/>
      <c r="BL102" s="161"/>
      <c r="BM102" s="161"/>
      <c r="BN102" s="177"/>
      <c r="BO102" s="158"/>
      <c r="BP102" s="163"/>
      <c r="BQ102" s="158"/>
      <c r="BR102" s="158"/>
      <c r="BS102" s="158"/>
      <c r="BT102" s="163"/>
      <c r="BU102" s="158"/>
      <c r="BV102" s="163"/>
      <c r="BW102" s="158"/>
      <c r="BX102" s="158"/>
      <c r="BY102" s="158"/>
      <c r="BZ102" s="163"/>
      <c r="CA102" s="158"/>
      <c r="CB102" s="163"/>
      <c r="CC102" s="158"/>
      <c r="CD102" s="158"/>
      <c r="CE102" s="158"/>
      <c r="CF102" s="158"/>
    </row>
    <row r="103" spans="1:84" x14ac:dyDescent="0.5">
      <c r="A103" s="259">
        <v>19106403</v>
      </c>
      <c r="B103" s="104">
        <v>19101030</v>
      </c>
      <c r="C103" s="105" t="s">
        <v>2966</v>
      </c>
      <c r="D103" s="106" t="s">
        <v>1323</v>
      </c>
      <c r="E103" s="302">
        <v>43777</v>
      </c>
      <c r="F103" s="946" t="s">
        <v>1324</v>
      </c>
      <c r="G103" s="947" t="s">
        <v>2991</v>
      </c>
      <c r="H103" s="211">
        <v>43778</v>
      </c>
      <c r="I103" s="164">
        <v>19357</v>
      </c>
      <c r="J103" s="960" t="s">
        <v>869</v>
      </c>
      <c r="K103" s="962">
        <v>43780</v>
      </c>
      <c r="L103" s="104" t="s">
        <v>1314</v>
      </c>
      <c r="M103" s="110" t="s">
        <v>2967</v>
      </c>
      <c r="N103" s="104" t="s">
        <v>1523</v>
      </c>
      <c r="O103" s="111">
        <v>84400</v>
      </c>
      <c r="P103" s="111">
        <f t="shared" si="25"/>
        <v>5908</v>
      </c>
      <c r="Q103" s="111">
        <f t="shared" si="22"/>
        <v>90308</v>
      </c>
      <c r="R103" s="311"/>
      <c r="S103" s="113"/>
      <c r="T103" s="114"/>
      <c r="U103" s="115"/>
      <c r="V103" s="116"/>
      <c r="W103" s="117"/>
      <c r="X103" s="118"/>
      <c r="Y103" s="118"/>
      <c r="Z103" s="119"/>
      <c r="AA103" s="120"/>
      <c r="AB103" s="123">
        <v>19100440</v>
      </c>
      <c r="AC103" s="124">
        <v>16880</v>
      </c>
      <c r="AD103" s="125">
        <f t="shared" si="23"/>
        <v>1181.5999999999999</v>
      </c>
      <c r="AE103" s="125">
        <f t="shared" si="24"/>
        <v>18061.599999999999</v>
      </c>
      <c r="AF103" s="126">
        <v>43766</v>
      </c>
      <c r="AG103" s="127" t="s">
        <v>869</v>
      </c>
      <c r="AH103" s="127"/>
      <c r="AI103" s="127"/>
      <c r="AJ103" s="103" t="s">
        <v>3367</v>
      </c>
      <c r="AK103" s="128">
        <v>1</v>
      </c>
      <c r="AL103" s="129" t="s">
        <v>2032</v>
      </c>
      <c r="AM103" s="130" t="s">
        <v>869</v>
      </c>
      <c r="AN103" s="130"/>
      <c r="AO103" s="131">
        <v>3</v>
      </c>
      <c r="AP103" s="132" t="s">
        <v>636</v>
      </c>
      <c r="AQ103" s="128">
        <v>2</v>
      </c>
      <c r="AR103" s="123" t="s">
        <v>1606</v>
      </c>
      <c r="AS103" s="131" t="s">
        <v>869</v>
      </c>
      <c r="AT103" s="131"/>
      <c r="AU103" s="131">
        <v>4</v>
      </c>
      <c r="AV103" s="169" t="s">
        <v>636</v>
      </c>
      <c r="AW103" s="128"/>
      <c r="AX103" s="133"/>
      <c r="AY103" s="128"/>
      <c r="AZ103" s="128"/>
      <c r="BA103" s="128"/>
      <c r="BB103" s="133"/>
      <c r="BC103" s="128"/>
      <c r="BD103" s="133"/>
      <c r="BE103" s="128"/>
      <c r="BF103" s="128"/>
      <c r="BG103" s="128"/>
      <c r="BH103" s="133"/>
      <c r="BI103" s="128"/>
      <c r="BJ103" s="133"/>
      <c r="BK103" s="128"/>
      <c r="BL103" s="128"/>
      <c r="BM103" s="128"/>
      <c r="BN103" s="133"/>
      <c r="BO103" s="128"/>
      <c r="BP103" s="133"/>
      <c r="BQ103" s="128"/>
      <c r="BR103" s="128"/>
      <c r="BS103" s="128"/>
      <c r="BT103" s="133"/>
      <c r="BU103" s="128"/>
      <c r="BV103" s="133"/>
      <c r="BW103" s="128"/>
      <c r="BX103" s="128"/>
      <c r="BY103" s="128"/>
      <c r="BZ103" s="133"/>
      <c r="CA103" s="128"/>
      <c r="CB103" s="133"/>
      <c r="CC103" s="128"/>
      <c r="CD103" s="128"/>
      <c r="CE103" s="128"/>
      <c r="CF103" s="128"/>
    </row>
    <row r="104" spans="1:84" x14ac:dyDescent="0.5">
      <c r="A104" s="268"/>
      <c r="B104" s="181"/>
      <c r="C104" s="182"/>
      <c r="D104" s="183"/>
      <c r="E104" s="749"/>
      <c r="F104" s="938" t="s">
        <v>3368</v>
      </c>
      <c r="G104" s="939" t="s">
        <v>1357</v>
      </c>
      <c r="H104" s="186">
        <v>43844</v>
      </c>
      <c r="I104" s="187">
        <v>63010</v>
      </c>
      <c r="J104" s="961"/>
      <c r="K104" s="966">
        <v>43846</v>
      </c>
      <c r="L104" s="181"/>
      <c r="M104" s="188"/>
      <c r="N104" s="181"/>
      <c r="O104" s="189"/>
      <c r="P104" s="189"/>
      <c r="Q104" s="189"/>
      <c r="R104" s="190"/>
      <c r="S104" s="215"/>
      <c r="T104" s="216"/>
      <c r="U104" s="217"/>
      <c r="V104" s="218"/>
      <c r="W104" s="195"/>
      <c r="X104" s="196"/>
      <c r="Y104" s="196"/>
      <c r="Z104" s="197"/>
      <c r="AA104" s="198"/>
      <c r="AB104" s="200">
        <v>20010014</v>
      </c>
      <c r="AC104" s="201">
        <v>67520</v>
      </c>
      <c r="AD104" s="202">
        <f t="shared" si="23"/>
        <v>4726.3999999999996</v>
      </c>
      <c r="AE104" s="202">
        <f t="shared" si="24"/>
        <v>72246.399999999994</v>
      </c>
      <c r="AF104" s="203">
        <v>43847</v>
      </c>
      <c r="AG104" s="199" t="s">
        <v>869</v>
      </c>
      <c r="AH104" s="199"/>
      <c r="AI104" s="199"/>
      <c r="AJ104" s="180" t="s">
        <v>3611</v>
      </c>
      <c r="AK104" s="204"/>
      <c r="AL104" s="205"/>
      <c r="AM104" s="206"/>
      <c r="AN104" s="206"/>
      <c r="AO104" s="207"/>
      <c r="AP104" s="208"/>
      <c r="AQ104" s="204"/>
      <c r="AR104" s="200"/>
      <c r="AS104" s="207"/>
      <c r="AT104" s="207"/>
      <c r="AU104" s="207"/>
      <c r="AV104" s="209"/>
      <c r="AW104" s="204"/>
      <c r="AX104" s="210"/>
      <c r="AY104" s="204"/>
      <c r="AZ104" s="204"/>
      <c r="BA104" s="204"/>
      <c r="BB104" s="210"/>
      <c r="BC104" s="204"/>
      <c r="BD104" s="210"/>
      <c r="BE104" s="204"/>
      <c r="BF104" s="204"/>
      <c r="BG104" s="204"/>
      <c r="BH104" s="210"/>
      <c r="BI104" s="204"/>
      <c r="BJ104" s="210"/>
      <c r="BK104" s="204"/>
      <c r="BL104" s="204"/>
      <c r="BM104" s="204"/>
      <c r="BN104" s="210"/>
      <c r="BO104" s="204"/>
      <c r="BP104" s="210"/>
      <c r="BQ104" s="204"/>
      <c r="BR104" s="204"/>
      <c r="BS104" s="204"/>
      <c r="BT104" s="210"/>
      <c r="BU104" s="204"/>
      <c r="BV104" s="210"/>
      <c r="BW104" s="204"/>
      <c r="BX104" s="204"/>
      <c r="BY104" s="204"/>
      <c r="BZ104" s="210"/>
      <c r="CA104" s="204"/>
      <c r="CB104" s="210"/>
      <c r="CC104" s="204"/>
      <c r="CD104" s="204"/>
      <c r="CE104" s="204"/>
      <c r="CF104" s="204"/>
    </row>
    <row r="105" spans="1:84" x14ac:dyDescent="0.5">
      <c r="A105" s="21">
        <v>19106402</v>
      </c>
      <c r="B105" s="22">
        <v>19101023</v>
      </c>
      <c r="C105" s="23" t="s">
        <v>2968</v>
      </c>
      <c r="D105" s="24" t="s">
        <v>1323</v>
      </c>
      <c r="E105" s="884">
        <v>43783</v>
      </c>
      <c r="F105" s="932" t="s">
        <v>3368</v>
      </c>
      <c r="G105" s="933" t="s">
        <v>2438</v>
      </c>
      <c r="H105" s="62">
        <v>44095</v>
      </c>
      <c r="I105" s="27">
        <v>63222</v>
      </c>
      <c r="J105" s="931" t="s">
        <v>869</v>
      </c>
      <c r="K105" s="957">
        <v>44095</v>
      </c>
      <c r="L105" s="22" t="s">
        <v>15</v>
      </c>
      <c r="M105" s="28" t="s">
        <v>2969</v>
      </c>
      <c r="N105" s="22" t="s">
        <v>51</v>
      </c>
      <c r="O105" s="29">
        <v>145800</v>
      </c>
      <c r="P105" s="29">
        <f t="shared" si="25"/>
        <v>10206</v>
      </c>
      <c r="Q105" s="29">
        <f t="shared" si="22"/>
        <v>156006</v>
      </c>
      <c r="R105" s="61"/>
      <c r="S105" s="96"/>
      <c r="T105" s="97"/>
      <c r="U105" s="98"/>
      <c r="V105" s="99"/>
      <c r="W105" s="100"/>
      <c r="X105" s="99"/>
      <c r="Y105" s="99"/>
      <c r="Z105" s="100"/>
      <c r="AA105" s="101"/>
      <c r="AB105" s="40">
        <v>20090251</v>
      </c>
      <c r="AC105" s="41">
        <v>145800</v>
      </c>
      <c r="AD105" s="202">
        <f t="shared" si="23"/>
        <v>10206</v>
      </c>
      <c r="AE105" s="202">
        <f t="shared" si="24"/>
        <v>156006</v>
      </c>
      <c r="AF105" s="53">
        <v>44142</v>
      </c>
      <c r="AG105" s="39"/>
      <c r="AH105" s="39"/>
      <c r="AI105" s="39" t="s">
        <v>869</v>
      </c>
      <c r="AJ105" s="21"/>
      <c r="AK105" s="1061">
        <v>1</v>
      </c>
      <c r="AL105" s="45" t="s">
        <v>2970</v>
      </c>
      <c r="AM105" s="46"/>
      <c r="AN105" s="46" t="s">
        <v>869</v>
      </c>
      <c r="AO105" s="47">
        <v>2</v>
      </c>
      <c r="AP105" s="48" t="s">
        <v>633</v>
      </c>
      <c r="AQ105" s="1074"/>
      <c r="AR105" s="54"/>
      <c r="AS105" s="1074"/>
      <c r="AT105" s="1074"/>
      <c r="AU105" s="1074"/>
      <c r="AV105" s="54"/>
      <c r="AW105" s="1074"/>
      <c r="AX105" s="54"/>
      <c r="AY105" s="1074"/>
      <c r="AZ105" s="1074"/>
      <c r="BA105" s="1074"/>
      <c r="BB105" s="54"/>
      <c r="BC105" s="1074"/>
      <c r="BD105" s="54"/>
      <c r="BE105" s="1074"/>
      <c r="BF105" s="1074"/>
      <c r="BG105" s="1074"/>
      <c r="BH105" s="54"/>
      <c r="BI105" s="1074"/>
      <c r="BJ105" s="54"/>
      <c r="BK105" s="1074"/>
      <c r="BL105" s="1074"/>
      <c r="BM105" s="1074"/>
      <c r="BN105" s="54"/>
      <c r="BO105" s="1074"/>
      <c r="BP105" s="54"/>
      <c r="BQ105" s="1074"/>
      <c r="BR105" s="1074"/>
      <c r="BS105" s="1074"/>
      <c r="BT105" s="54"/>
      <c r="BU105" s="1074"/>
      <c r="BV105" s="54"/>
      <c r="BW105" s="1074"/>
      <c r="BX105" s="1074"/>
      <c r="BY105" s="1074"/>
      <c r="BZ105" s="54"/>
      <c r="CA105" s="1074"/>
      <c r="CB105" s="54"/>
      <c r="CC105" s="1074"/>
      <c r="CD105" s="1074"/>
      <c r="CE105" s="1074"/>
      <c r="CF105" s="1074"/>
    </row>
    <row r="106" spans="1:84" x14ac:dyDescent="0.5">
      <c r="A106" s="227">
        <v>19106401</v>
      </c>
      <c r="B106" s="22">
        <v>19101019</v>
      </c>
      <c r="C106" s="23" t="s">
        <v>2945</v>
      </c>
      <c r="D106" s="24" t="s">
        <v>1323</v>
      </c>
      <c r="E106" s="884">
        <v>43768</v>
      </c>
      <c r="F106" s="57"/>
      <c r="G106" s="58"/>
      <c r="H106" s="59"/>
      <c r="I106" s="60"/>
      <c r="J106" s="269"/>
      <c r="K106" s="59"/>
      <c r="L106" s="22" t="s">
        <v>9</v>
      </c>
      <c r="M106" s="28" t="s">
        <v>2946</v>
      </c>
      <c r="N106" s="22" t="s">
        <v>50</v>
      </c>
      <c r="O106" s="29">
        <v>5000</v>
      </c>
      <c r="P106" s="29">
        <f t="shared" si="25"/>
        <v>350</v>
      </c>
      <c r="Q106" s="29">
        <f t="shared" ref="Q106:Q115" si="26">O106+P106</f>
        <v>5350</v>
      </c>
      <c r="R106" s="61"/>
      <c r="S106" s="96"/>
      <c r="T106" s="97"/>
      <c r="U106" s="98"/>
      <c r="V106" s="99"/>
      <c r="W106" s="100"/>
      <c r="X106" s="99"/>
      <c r="Y106" s="99"/>
      <c r="Z106" s="100"/>
      <c r="AA106" s="101"/>
      <c r="AB106" s="40">
        <v>19110450</v>
      </c>
      <c r="AC106" s="41">
        <v>5000</v>
      </c>
      <c r="AD106" s="52">
        <f>AC106*7/100</f>
        <v>350</v>
      </c>
      <c r="AE106" s="52">
        <f>AC106+AD106</f>
        <v>5350</v>
      </c>
      <c r="AF106" s="53">
        <v>43803</v>
      </c>
      <c r="AG106" s="39" t="s">
        <v>869</v>
      </c>
      <c r="AH106" s="39"/>
      <c r="AI106" s="39"/>
      <c r="AJ106" s="21" t="s">
        <v>3493</v>
      </c>
      <c r="AK106" s="1061">
        <v>1</v>
      </c>
      <c r="AL106" s="45" t="s">
        <v>2530</v>
      </c>
      <c r="AM106" s="46"/>
      <c r="AN106" s="46"/>
      <c r="AO106" s="47">
        <v>4</v>
      </c>
      <c r="AP106" s="48" t="s">
        <v>628</v>
      </c>
      <c r="AQ106" s="1073"/>
      <c r="AR106" s="54"/>
      <c r="AS106" s="1073"/>
      <c r="AT106" s="1073"/>
      <c r="AU106" s="1073"/>
      <c r="AV106" s="54"/>
      <c r="AW106" s="1073"/>
      <c r="AX106" s="54"/>
      <c r="AY106" s="1073"/>
      <c r="AZ106" s="1073"/>
      <c r="BA106" s="1073"/>
      <c r="BB106" s="54"/>
      <c r="BC106" s="1073"/>
      <c r="BD106" s="54"/>
      <c r="BE106" s="1073"/>
      <c r="BF106" s="1073"/>
      <c r="BG106" s="1073"/>
      <c r="BH106" s="54"/>
      <c r="BI106" s="1073"/>
      <c r="BJ106" s="54"/>
      <c r="BK106" s="1073"/>
      <c r="BL106" s="1073"/>
      <c r="BM106" s="1073"/>
      <c r="BN106" s="54"/>
      <c r="BO106" s="1073"/>
      <c r="BP106" s="54"/>
      <c r="BQ106" s="1073"/>
      <c r="BR106" s="1073"/>
      <c r="BS106" s="1073"/>
      <c r="BT106" s="54"/>
      <c r="BU106" s="1073"/>
      <c r="BV106" s="54"/>
      <c r="BW106" s="1073"/>
      <c r="BX106" s="1073"/>
      <c r="BY106" s="1073"/>
      <c r="BZ106" s="54"/>
      <c r="CA106" s="1073"/>
      <c r="CB106" s="54"/>
      <c r="CC106" s="1073"/>
      <c r="CD106" s="1073"/>
      <c r="CE106" s="1073"/>
      <c r="CF106" s="1073"/>
    </row>
    <row r="107" spans="1:84" x14ac:dyDescent="0.5">
      <c r="A107" s="259">
        <v>19106400</v>
      </c>
      <c r="B107" s="104">
        <v>19101015</v>
      </c>
      <c r="C107" s="105" t="s">
        <v>2947</v>
      </c>
      <c r="D107" s="106" t="s">
        <v>1323</v>
      </c>
      <c r="E107" s="302">
        <v>43787</v>
      </c>
      <c r="F107" s="936" t="s">
        <v>1324</v>
      </c>
      <c r="G107" s="937" t="s">
        <v>3130</v>
      </c>
      <c r="H107" s="122">
        <v>43795</v>
      </c>
      <c r="I107" s="109">
        <v>19370</v>
      </c>
      <c r="J107" s="960" t="s">
        <v>869</v>
      </c>
      <c r="K107" s="965">
        <v>43795</v>
      </c>
      <c r="L107" s="104" t="s">
        <v>2948</v>
      </c>
      <c r="M107" s="110" t="s">
        <v>2949</v>
      </c>
      <c r="N107" s="104" t="s">
        <v>50</v>
      </c>
      <c r="O107" s="111">
        <v>547580</v>
      </c>
      <c r="P107" s="111" t="s">
        <v>402</v>
      </c>
      <c r="Q107" s="111">
        <f>O107</f>
        <v>547580</v>
      </c>
      <c r="R107" s="311"/>
      <c r="S107" s="113"/>
      <c r="T107" s="114"/>
      <c r="U107" s="115"/>
      <c r="V107" s="116"/>
      <c r="W107" s="117"/>
      <c r="X107" s="118"/>
      <c r="Y107" s="118"/>
      <c r="Z107" s="119"/>
      <c r="AA107" s="120"/>
      <c r="AB107" s="229">
        <v>19100422</v>
      </c>
      <c r="AC107" s="230">
        <v>164274</v>
      </c>
      <c r="AD107" s="233" t="s">
        <v>402</v>
      </c>
      <c r="AE107" s="234">
        <f>AC107</f>
        <v>164274</v>
      </c>
      <c r="AF107" s="221">
        <v>43752</v>
      </c>
      <c r="AG107" s="121" t="s">
        <v>869</v>
      </c>
      <c r="AH107" s="121"/>
      <c r="AI107" s="121"/>
      <c r="AJ107" s="222" t="s">
        <v>3035</v>
      </c>
      <c r="AK107" s="128">
        <v>1</v>
      </c>
      <c r="AL107" s="129" t="s">
        <v>2950</v>
      </c>
      <c r="AM107" s="130"/>
      <c r="AN107" s="130" t="s">
        <v>869</v>
      </c>
      <c r="AO107" s="131">
        <v>1</v>
      </c>
      <c r="AP107" s="132" t="s">
        <v>634</v>
      </c>
      <c r="AQ107" s="128">
        <v>2</v>
      </c>
      <c r="AR107" s="123" t="s">
        <v>2951</v>
      </c>
      <c r="AS107" s="131"/>
      <c r="AT107" s="131" t="s">
        <v>869</v>
      </c>
      <c r="AU107" s="131">
        <v>1</v>
      </c>
      <c r="AV107" s="169" t="s">
        <v>634</v>
      </c>
      <c r="AW107" s="128">
        <v>3</v>
      </c>
      <c r="AX107" s="123" t="s">
        <v>2952</v>
      </c>
      <c r="AY107" s="131"/>
      <c r="AZ107" s="131" t="s">
        <v>869</v>
      </c>
      <c r="BA107" s="131">
        <v>1</v>
      </c>
      <c r="BB107" s="169" t="s">
        <v>634</v>
      </c>
      <c r="BC107" s="128"/>
      <c r="BD107" s="133"/>
      <c r="BE107" s="128"/>
      <c r="BF107" s="128"/>
      <c r="BG107" s="128"/>
      <c r="BH107" s="133"/>
      <c r="BI107" s="128"/>
      <c r="BJ107" s="133"/>
      <c r="BK107" s="128"/>
      <c r="BL107" s="128"/>
      <c r="BM107" s="128"/>
      <c r="BN107" s="133"/>
      <c r="BO107" s="128"/>
      <c r="BP107" s="133"/>
      <c r="BQ107" s="128"/>
      <c r="BR107" s="128"/>
      <c r="BS107" s="128"/>
      <c r="BT107" s="133"/>
      <c r="BU107" s="128"/>
      <c r="BV107" s="133"/>
      <c r="BW107" s="128"/>
      <c r="BX107" s="128"/>
      <c r="BY107" s="128"/>
      <c r="BZ107" s="133"/>
      <c r="CA107" s="128"/>
      <c r="CB107" s="133"/>
      <c r="CC107" s="128"/>
      <c r="CD107" s="128"/>
      <c r="CE107" s="128"/>
      <c r="CF107" s="128"/>
    </row>
    <row r="108" spans="1:84" x14ac:dyDescent="0.5">
      <c r="A108" s="268"/>
      <c r="B108" s="181"/>
      <c r="C108" s="182"/>
      <c r="D108" s="183"/>
      <c r="E108" s="749"/>
      <c r="F108" s="938"/>
      <c r="G108" s="939"/>
      <c r="H108" s="181"/>
      <c r="I108" s="187"/>
      <c r="J108" s="961"/>
      <c r="K108" s="200"/>
      <c r="L108" s="181"/>
      <c r="M108" s="188"/>
      <c r="N108" s="181"/>
      <c r="O108" s="189"/>
      <c r="P108" s="189"/>
      <c r="Q108" s="189"/>
      <c r="R108" s="190"/>
      <c r="S108" s="215"/>
      <c r="T108" s="216"/>
      <c r="U108" s="217"/>
      <c r="V108" s="218"/>
      <c r="W108" s="195"/>
      <c r="X108" s="196"/>
      <c r="Y108" s="196"/>
      <c r="Z108" s="197"/>
      <c r="AA108" s="198"/>
      <c r="AB108" s="200">
        <v>19110480</v>
      </c>
      <c r="AC108" s="201">
        <v>383306</v>
      </c>
      <c r="AD108" s="237" t="s">
        <v>402</v>
      </c>
      <c r="AE108" s="238">
        <f>AC108</f>
        <v>383306</v>
      </c>
      <c r="AF108" s="203">
        <v>43790</v>
      </c>
      <c r="AG108" s="199" t="s">
        <v>869</v>
      </c>
      <c r="AH108" s="199"/>
      <c r="AI108" s="199"/>
      <c r="AJ108" s="843" t="s">
        <v>3334</v>
      </c>
      <c r="AK108" s="204"/>
      <c r="AL108" s="205"/>
      <c r="AM108" s="206"/>
      <c r="AN108" s="206"/>
      <c r="AO108" s="207"/>
      <c r="AP108" s="208"/>
      <c r="AQ108" s="204"/>
      <c r="AR108" s="200"/>
      <c r="AS108" s="207"/>
      <c r="AT108" s="207"/>
      <c r="AU108" s="207"/>
      <c r="AV108" s="209"/>
      <c r="AW108" s="204"/>
      <c r="AX108" s="200"/>
      <c r="AY108" s="207"/>
      <c r="AZ108" s="207"/>
      <c r="BA108" s="207"/>
      <c r="BB108" s="209"/>
      <c r="BC108" s="204"/>
      <c r="BD108" s="210"/>
      <c r="BE108" s="204"/>
      <c r="BF108" s="204"/>
      <c r="BG108" s="204"/>
      <c r="BH108" s="210"/>
      <c r="BI108" s="204"/>
      <c r="BJ108" s="210"/>
      <c r="BK108" s="204"/>
      <c r="BL108" s="204"/>
      <c r="BM108" s="204"/>
      <c r="BN108" s="210"/>
      <c r="BO108" s="204"/>
      <c r="BP108" s="210"/>
      <c r="BQ108" s="204"/>
      <c r="BR108" s="204"/>
      <c r="BS108" s="204"/>
      <c r="BT108" s="210"/>
      <c r="BU108" s="204"/>
      <c r="BV108" s="210"/>
      <c r="BW108" s="204"/>
      <c r="BX108" s="204"/>
      <c r="BY108" s="204"/>
      <c r="BZ108" s="210"/>
      <c r="CA108" s="204"/>
      <c r="CB108" s="210"/>
      <c r="CC108" s="204"/>
      <c r="CD108" s="204"/>
      <c r="CE108" s="204"/>
      <c r="CF108" s="204"/>
    </row>
    <row r="109" spans="1:84" x14ac:dyDescent="0.5">
      <c r="A109" s="227" t="s">
        <v>2972</v>
      </c>
      <c r="B109" s="22">
        <v>19101014</v>
      </c>
      <c r="C109" s="23" t="s">
        <v>2971</v>
      </c>
      <c r="D109" s="24" t="s">
        <v>1323</v>
      </c>
      <c r="E109" s="884">
        <v>43768</v>
      </c>
      <c r="F109" s="932" t="s">
        <v>1324</v>
      </c>
      <c r="G109" s="933" t="s">
        <v>2956</v>
      </c>
      <c r="H109" s="62">
        <v>43770</v>
      </c>
      <c r="I109" s="27">
        <v>19347</v>
      </c>
      <c r="J109" s="931" t="s">
        <v>869</v>
      </c>
      <c r="K109" s="957">
        <v>43770</v>
      </c>
      <c r="L109" s="22" t="s">
        <v>2973</v>
      </c>
      <c r="M109" s="28" t="s">
        <v>2986</v>
      </c>
      <c r="N109" s="22" t="s">
        <v>51</v>
      </c>
      <c r="O109" s="29">
        <v>2850</v>
      </c>
      <c r="P109" s="29" t="s">
        <v>402</v>
      </c>
      <c r="Q109" s="29">
        <f>O109</f>
        <v>2850</v>
      </c>
      <c r="R109" s="30"/>
      <c r="S109" s="31"/>
      <c r="T109" s="32"/>
      <c r="U109" s="33"/>
      <c r="V109" s="34"/>
      <c r="W109" s="35"/>
      <c r="X109" s="36"/>
      <c r="Y109" s="36"/>
      <c r="Z109" s="37"/>
      <c r="AA109" s="38"/>
      <c r="AB109" s="40"/>
      <c r="AC109" s="41"/>
      <c r="AD109" s="63"/>
      <c r="AE109" s="64"/>
      <c r="AF109" s="53"/>
      <c r="AG109" s="39" t="s">
        <v>869</v>
      </c>
      <c r="AH109" s="39"/>
      <c r="AI109" s="39"/>
      <c r="AJ109" s="21"/>
      <c r="AK109" s="1075">
        <v>1</v>
      </c>
      <c r="AL109" s="45" t="s">
        <v>1157</v>
      </c>
      <c r="AM109" s="46" t="s">
        <v>869</v>
      </c>
      <c r="AN109" s="46"/>
      <c r="AO109" s="47">
        <v>1</v>
      </c>
      <c r="AP109" s="48" t="s">
        <v>634</v>
      </c>
      <c r="AQ109" s="1122"/>
      <c r="AR109" s="54"/>
      <c r="AS109" s="1122"/>
      <c r="AT109" s="1122"/>
      <c r="AU109" s="1122"/>
      <c r="AV109" s="54"/>
      <c r="AW109" s="1122"/>
      <c r="AX109" s="54"/>
      <c r="AY109" s="1122"/>
      <c r="AZ109" s="1122"/>
      <c r="BA109" s="1122"/>
      <c r="BB109" s="54"/>
      <c r="BC109" s="1122"/>
      <c r="BD109" s="54"/>
      <c r="BE109" s="1122"/>
      <c r="BF109" s="1122"/>
      <c r="BG109" s="1122"/>
      <c r="BH109" s="54"/>
      <c r="BI109" s="1122"/>
      <c r="BJ109" s="54"/>
      <c r="BK109" s="1122"/>
      <c r="BL109" s="1122"/>
      <c r="BM109" s="1122"/>
      <c r="BN109" s="54"/>
      <c r="BO109" s="1122"/>
      <c r="BP109" s="54"/>
      <c r="BQ109" s="1122"/>
      <c r="BR109" s="1122"/>
      <c r="BS109" s="1122"/>
      <c r="BT109" s="54"/>
      <c r="BU109" s="1122"/>
      <c r="BV109" s="54"/>
      <c r="BW109" s="1122"/>
      <c r="BX109" s="1122"/>
      <c r="BY109" s="1122"/>
      <c r="BZ109" s="54"/>
      <c r="CA109" s="1122"/>
      <c r="CB109" s="54"/>
      <c r="CC109" s="1122"/>
      <c r="CD109" s="1122"/>
      <c r="CE109" s="1122"/>
      <c r="CF109" s="1122"/>
    </row>
    <row r="110" spans="1:84" x14ac:dyDescent="0.5">
      <c r="A110" s="227">
        <v>19106399</v>
      </c>
      <c r="B110" s="22">
        <v>19101002</v>
      </c>
      <c r="C110" s="55"/>
      <c r="D110" s="56"/>
      <c r="E110" s="910"/>
      <c r="F110" s="57"/>
      <c r="G110" s="58"/>
      <c r="H110" s="59"/>
      <c r="I110" s="60"/>
      <c r="J110" s="269"/>
      <c r="K110" s="59"/>
      <c r="L110" s="22" t="s">
        <v>1546</v>
      </c>
      <c r="M110" s="28" t="s">
        <v>2908</v>
      </c>
      <c r="N110" s="22" t="s">
        <v>1523</v>
      </c>
      <c r="O110" s="29">
        <v>19600</v>
      </c>
      <c r="P110" s="29">
        <f t="shared" si="25"/>
        <v>1372</v>
      </c>
      <c r="Q110" s="29">
        <f t="shared" si="26"/>
        <v>20972</v>
      </c>
      <c r="R110" s="61"/>
      <c r="S110" s="96"/>
      <c r="T110" s="97"/>
      <c r="U110" s="98"/>
      <c r="V110" s="99"/>
      <c r="W110" s="35">
        <f>O110</f>
        <v>19600</v>
      </c>
      <c r="X110" s="36">
        <v>1</v>
      </c>
      <c r="Y110" s="36">
        <f>W110*X110/100</f>
        <v>196</v>
      </c>
      <c r="Z110" s="100"/>
      <c r="AA110" s="101"/>
      <c r="AB110" s="40">
        <v>19100421</v>
      </c>
      <c r="AC110" s="41">
        <v>19600</v>
      </c>
      <c r="AD110" s="52">
        <f>AC110*7/100</f>
        <v>1372</v>
      </c>
      <c r="AE110" s="52">
        <f>AC110+AD110</f>
        <v>20972</v>
      </c>
      <c r="AF110" s="53">
        <v>43762</v>
      </c>
      <c r="AG110" s="39" t="s">
        <v>869</v>
      </c>
      <c r="AH110" s="39"/>
      <c r="AI110" s="39"/>
      <c r="AJ110" s="21" t="s">
        <v>3024</v>
      </c>
      <c r="AK110" s="1061">
        <v>1</v>
      </c>
      <c r="AL110" s="45" t="s">
        <v>2907</v>
      </c>
      <c r="AM110" s="46"/>
      <c r="AN110" s="46"/>
      <c r="AO110" s="47">
        <v>4</v>
      </c>
      <c r="AP110" s="48" t="s">
        <v>628</v>
      </c>
      <c r="AQ110" s="1062"/>
      <c r="AR110" s="54"/>
      <c r="AS110" s="1062"/>
      <c r="AT110" s="1062"/>
      <c r="AU110" s="1062"/>
      <c r="AV110" s="54"/>
      <c r="AW110" s="1062"/>
      <c r="AX110" s="54"/>
      <c r="AY110" s="1062"/>
      <c r="AZ110" s="1062"/>
      <c r="BA110" s="1062"/>
      <c r="BB110" s="54"/>
      <c r="BC110" s="1062"/>
      <c r="BD110" s="54"/>
      <c r="BE110" s="1062"/>
      <c r="BF110" s="1062"/>
      <c r="BG110" s="1062"/>
      <c r="BH110" s="54"/>
      <c r="BI110" s="1062"/>
      <c r="BJ110" s="54"/>
      <c r="BK110" s="1062"/>
      <c r="BL110" s="1062"/>
      <c r="BM110" s="1062"/>
      <c r="BN110" s="54"/>
      <c r="BO110" s="1062"/>
      <c r="BP110" s="54"/>
      <c r="BQ110" s="1062"/>
      <c r="BR110" s="1062"/>
      <c r="BS110" s="1062"/>
      <c r="BT110" s="54"/>
      <c r="BU110" s="1062"/>
      <c r="BV110" s="54"/>
      <c r="BW110" s="1062"/>
      <c r="BX110" s="1062"/>
      <c r="BY110" s="1062"/>
      <c r="BZ110" s="54"/>
      <c r="CA110" s="1062"/>
      <c r="CB110" s="54"/>
      <c r="CC110" s="1062"/>
      <c r="CD110" s="1062"/>
      <c r="CE110" s="1062"/>
      <c r="CF110" s="1062"/>
    </row>
    <row r="111" spans="1:84" x14ac:dyDescent="0.5">
      <c r="A111" s="227">
        <v>19106398</v>
      </c>
      <c r="B111" s="22">
        <v>19101004</v>
      </c>
      <c r="C111" s="23" t="s">
        <v>2897</v>
      </c>
      <c r="D111" s="24" t="s">
        <v>1323</v>
      </c>
      <c r="E111" s="884">
        <v>43768</v>
      </c>
      <c r="F111" s="932" t="s">
        <v>1324</v>
      </c>
      <c r="G111" s="933" t="s">
        <v>2966</v>
      </c>
      <c r="H111" s="62">
        <v>43770</v>
      </c>
      <c r="I111" s="27">
        <v>19351</v>
      </c>
      <c r="J111" s="931" t="s">
        <v>869</v>
      </c>
      <c r="K111" s="957">
        <v>43794</v>
      </c>
      <c r="L111" s="22" t="s">
        <v>20</v>
      </c>
      <c r="M111" s="28" t="s">
        <v>2898</v>
      </c>
      <c r="N111" s="22" t="s">
        <v>51</v>
      </c>
      <c r="O111" s="29">
        <v>73304</v>
      </c>
      <c r="P111" s="29">
        <f t="shared" si="25"/>
        <v>5131.28</v>
      </c>
      <c r="Q111" s="29">
        <f t="shared" si="26"/>
        <v>78435.28</v>
      </c>
      <c r="R111" s="61"/>
      <c r="S111" s="96"/>
      <c r="T111" s="97"/>
      <c r="U111" s="98"/>
      <c r="V111" s="99"/>
      <c r="W111" s="100"/>
      <c r="X111" s="99"/>
      <c r="Y111" s="99"/>
      <c r="Z111" s="100"/>
      <c r="AA111" s="101"/>
      <c r="AB111" s="40">
        <v>19110487</v>
      </c>
      <c r="AC111" s="41">
        <v>73304</v>
      </c>
      <c r="AD111" s="52">
        <f>AC111*7/100</f>
        <v>5131.28</v>
      </c>
      <c r="AE111" s="52">
        <f>AC111+AD111</f>
        <v>78435.28</v>
      </c>
      <c r="AF111" s="53">
        <v>43826</v>
      </c>
      <c r="AG111" s="39" t="s">
        <v>869</v>
      </c>
      <c r="AH111" s="39"/>
      <c r="AI111" s="39"/>
      <c r="AJ111" s="21" t="s">
        <v>3620</v>
      </c>
      <c r="AK111" s="1061">
        <v>1</v>
      </c>
      <c r="AL111" s="45" t="s">
        <v>2899</v>
      </c>
      <c r="AM111" s="46"/>
      <c r="AN111" s="46" t="s">
        <v>869</v>
      </c>
      <c r="AO111" s="47">
        <v>2</v>
      </c>
      <c r="AP111" s="48" t="s">
        <v>633</v>
      </c>
      <c r="AQ111" s="1062"/>
      <c r="AR111" s="54"/>
      <c r="AS111" s="1062"/>
      <c r="AT111" s="1062"/>
      <c r="AU111" s="1062"/>
      <c r="AV111" s="54"/>
      <c r="AW111" s="1062"/>
      <c r="AX111" s="54"/>
      <c r="AY111" s="1062"/>
      <c r="AZ111" s="1062"/>
      <c r="BA111" s="1062"/>
      <c r="BB111" s="54"/>
      <c r="BC111" s="1062"/>
      <c r="BD111" s="54"/>
      <c r="BE111" s="1062"/>
      <c r="BF111" s="1062"/>
      <c r="BG111" s="1062"/>
      <c r="BH111" s="54"/>
      <c r="BI111" s="1062"/>
      <c r="BJ111" s="54"/>
      <c r="BK111" s="1062"/>
      <c r="BL111" s="1062"/>
      <c r="BM111" s="1062"/>
      <c r="BN111" s="54"/>
      <c r="BO111" s="1062"/>
      <c r="BP111" s="54"/>
      <c r="BQ111" s="1062"/>
      <c r="BR111" s="1062"/>
      <c r="BS111" s="1062"/>
      <c r="BT111" s="54"/>
      <c r="BU111" s="1062"/>
      <c r="BV111" s="54"/>
      <c r="BW111" s="1062"/>
      <c r="BX111" s="1062"/>
      <c r="BY111" s="1062"/>
      <c r="BZ111" s="54"/>
      <c r="CA111" s="1062"/>
      <c r="CB111" s="54"/>
      <c r="CC111" s="1062"/>
      <c r="CD111" s="1062"/>
      <c r="CE111" s="1062"/>
      <c r="CF111" s="1062"/>
    </row>
    <row r="112" spans="1:84" x14ac:dyDescent="0.5">
      <c r="A112" s="259">
        <v>19106397</v>
      </c>
      <c r="B112" s="104" t="s">
        <v>2909</v>
      </c>
      <c r="C112" s="105" t="s">
        <v>2910</v>
      </c>
      <c r="D112" s="106" t="s">
        <v>1323</v>
      </c>
      <c r="E112" s="302">
        <v>43769</v>
      </c>
      <c r="F112" s="936" t="s">
        <v>1324</v>
      </c>
      <c r="G112" s="937" t="s">
        <v>2971</v>
      </c>
      <c r="H112" s="122">
        <v>43769</v>
      </c>
      <c r="I112" s="109">
        <v>19346</v>
      </c>
      <c r="J112" s="960" t="s">
        <v>869</v>
      </c>
      <c r="K112" s="965">
        <v>43769</v>
      </c>
      <c r="L112" s="104" t="s">
        <v>2911</v>
      </c>
      <c r="M112" s="110" t="s">
        <v>2912</v>
      </c>
      <c r="N112" s="104" t="s">
        <v>52</v>
      </c>
      <c r="O112" s="111">
        <v>92000</v>
      </c>
      <c r="P112" s="111">
        <f>O112*7%</f>
        <v>6440.0000000000009</v>
      </c>
      <c r="Q112" s="111">
        <f t="shared" si="26"/>
        <v>98440</v>
      </c>
      <c r="R112" s="212"/>
      <c r="S112" s="113"/>
      <c r="T112" s="114"/>
      <c r="U112" s="115"/>
      <c r="V112" s="116"/>
      <c r="W112" s="117"/>
      <c r="X112" s="118"/>
      <c r="Y112" s="118"/>
      <c r="Z112" s="119"/>
      <c r="AA112" s="120"/>
      <c r="AB112" s="229">
        <v>19100436</v>
      </c>
      <c r="AC112" s="230">
        <v>27600</v>
      </c>
      <c r="AD112" s="220">
        <f>AC112*7/100</f>
        <v>1932</v>
      </c>
      <c r="AE112" s="220">
        <f>AC112+AD112</f>
        <v>29532</v>
      </c>
      <c r="AF112" s="221">
        <v>43766</v>
      </c>
      <c r="AG112" s="121" t="s">
        <v>869</v>
      </c>
      <c r="AH112" s="121"/>
      <c r="AI112" s="121"/>
      <c r="AJ112" s="222" t="s">
        <v>3042</v>
      </c>
      <c r="AK112" s="128">
        <v>1</v>
      </c>
      <c r="AL112" s="129" t="s">
        <v>593</v>
      </c>
      <c r="AM112" s="130"/>
      <c r="AN112" s="130" t="s">
        <v>869</v>
      </c>
      <c r="AO112" s="131">
        <v>4</v>
      </c>
      <c r="AP112" s="132" t="s">
        <v>634</v>
      </c>
      <c r="AQ112" s="128"/>
      <c r="AR112" s="133"/>
      <c r="AS112" s="128"/>
      <c r="AT112" s="128"/>
      <c r="AU112" s="128"/>
      <c r="AV112" s="133"/>
      <c r="AW112" s="128"/>
      <c r="AX112" s="133"/>
      <c r="AY112" s="128"/>
      <c r="AZ112" s="128"/>
      <c r="BA112" s="128"/>
      <c r="BB112" s="133"/>
      <c r="BC112" s="128"/>
      <c r="BD112" s="133"/>
      <c r="BE112" s="128"/>
      <c r="BF112" s="128"/>
      <c r="BG112" s="128"/>
      <c r="BH112" s="133"/>
      <c r="BI112" s="128"/>
      <c r="BJ112" s="133"/>
      <c r="BK112" s="128"/>
      <c r="BL112" s="128"/>
      <c r="BM112" s="128"/>
      <c r="BN112" s="133"/>
      <c r="BO112" s="128"/>
      <c r="BP112" s="133"/>
      <c r="BQ112" s="128"/>
      <c r="BR112" s="128"/>
      <c r="BS112" s="128"/>
      <c r="BT112" s="133"/>
      <c r="BU112" s="128"/>
      <c r="BV112" s="133"/>
      <c r="BW112" s="128"/>
      <c r="BX112" s="128"/>
      <c r="BY112" s="128"/>
      <c r="BZ112" s="133"/>
      <c r="CA112" s="128"/>
      <c r="CB112" s="133"/>
      <c r="CC112" s="128"/>
      <c r="CD112" s="128"/>
      <c r="CE112" s="128"/>
      <c r="CF112" s="128"/>
    </row>
    <row r="113" spans="1:84" x14ac:dyDescent="0.5">
      <c r="A113" s="268"/>
      <c r="B113" s="181"/>
      <c r="C113" s="182"/>
      <c r="D113" s="183"/>
      <c r="E113" s="749"/>
      <c r="F113" s="938"/>
      <c r="G113" s="939"/>
      <c r="H113" s="181"/>
      <c r="I113" s="187"/>
      <c r="J113" s="961"/>
      <c r="K113" s="200"/>
      <c r="L113" s="181"/>
      <c r="M113" s="188"/>
      <c r="N113" s="181"/>
      <c r="O113" s="189"/>
      <c r="P113" s="189"/>
      <c r="Q113" s="189"/>
      <c r="R113" s="214"/>
      <c r="S113" s="215"/>
      <c r="T113" s="216"/>
      <c r="U113" s="217"/>
      <c r="V113" s="218"/>
      <c r="W113" s="195"/>
      <c r="X113" s="196"/>
      <c r="Y113" s="196"/>
      <c r="Z113" s="197"/>
      <c r="AA113" s="198"/>
      <c r="AB113" s="200">
        <v>19100437</v>
      </c>
      <c r="AC113" s="201">
        <v>64400</v>
      </c>
      <c r="AD113" s="202">
        <f>AC113*7/100</f>
        <v>4508</v>
      </c>
      <c r="AE113" s="202">
        <f>AC113+AD113</f>
        <v>68908</v>
      </c>
      <c r="AF113" s="203">
        <v>43766</v>
      </c>
      <c r="AG113" s="199" t="s">
        <v>869</v>
      </c>
      <c r="AH113" s="199"/>
      <c r="AI113" s="199"/>
      <c r="AJ113" s="180" t="s">
        <v>3032</v>
      </c>
      <c r="AK113" s="204"/>
      <c r="AL113" s="205"/>
      <c r="AM113" s="206"/>
      <c r="AN113" s="206"/>
      <c r="AO113" s="207"/>
      <c r="AP113" s="208"/>
      <c r="AQ113" s="204"/>
      <c r="AR113" s="210"/>
      <c r="AS113" s="204"/>
      <c r="AT113" s="204"/>
      <c r="AU113" s="204"/>
      <c r="AV113" s="210"/>
      <c r="AW113" s="204"/>
      <c r="AX113" s="210"/>
      <c r="AY113" s="204"/>
      <c r="AZ113" s="204"/>
      <c r="BA113" s="204"/>
      <c r="BB113" s="210"/>
      <c r="BC113" s="204"/>
      <c r="BD113" s="210"/>
      <c r="BE113" s="204"/>
      <c r="BF113" s="204"/>
      <c r="BG113" s="204"/>
      <c r="BH113" s="210"/>
      <c r="BI113" s="204"/>
      <c r="BJ113" s="210"/>
      <c r="BK113" s="204"/>
      <c r="BL113" s="204"/>
      <c r="BM113" s="204"/>
      <c r="BN113" s="210"/>
      <c r="BO113" s="204"/>
      <c r="BP113" s="210"/>
      <c r="BQ113" s="204"/>
      <c r="BR113" s="204"/>
      <c r="BS113" s="204"/>
      <c r="BT113" s="210"/>
      <c r="BU113" s="204"/>
      <c r="BV113" s="210"/>
      <c r="BW113" s="204"/>
      <c r="BX113" s="204"/>
      <c r="BY113" s="204"/>
      <c r="BZ113" s="210"/>
      <c r="CA113" s="204"/>
      <c r="CB113" s="210"/>
      <c r="CC113" s="204"/>
      <c r="CD113" s="204"/>
      <c r="CE113" s="204"/>
      <c r="CF113" s="204"/>
    </row>
    <row r="114" spans="1:84" s="95" customFormat="1" x14ac:dyDescent="0.5">
      <c r="A114" s="65">
        <v>19106396</v>
      </c>
      <c r="B114" s="66">
        <v>19101000</v>
      </c>
      <c r="C114" s="67" t="s">
        <v>2900</v>
      </c>
      <c r="D114" s="68" t="s">
        <v>1323</v>
      </c>
      <c r="E114" s="905">
        <v>22957</v>
      </c>
      <c r="F114" s="934"/>
      <c r="G114" s="935"/>
      <c r="H114" s="66"/>
      <c r="I114" s="71"/>
      <c r="J114" s="958"/>
      <c r="K114" s="84"/>
      <c r="L114" s="66" t="s">
        <v>2881</v>
      </c>
      <c r="M114" s="72" t="s">
        <v>94</v>
      </c>
      <c r="N114" s="66" t="s">
        <v>51</v>
      </c>
      <c r="O114" s="73">
        <v>90840</v>
      </c>
      <c r="P114" s="73">
        <f>O114*7/100</f>
        <v>6358.8</v>
      </c>
      <c r="Q114" s="73">
        <f t="shared" si="26"/>
        <v>97198.8</v>
      </c>
      <c r="R114" s="318"/>
      <c r="S114" s="319"/>
      <c r="T114" s="320"/>
      <c r="U114" s="321"/>
      <c r="V114" s="322"/>
      <c r="W114" s="323"/>
      <c r="X114" s="322"/>
      <c r="Y114" s="322"/>
      <c r="Z114" s="323"/>
      <c r="AA114" s="324"/>
      <c r="AB114" s="84"/>
      <c r="AC114" s="85"/>
      <c r="AD114" s="86"/>
      <c r="AE114" s="86"/>
      <c r="AF114" s="87"/>
      <c r="AG114" s="83"/>
      <c r="AH114" s="83"/>
      <c r="AI114" s="83"/>
      <c r="AJ114" s="65"/>
      <c r="AK114" s="88">
        <v>1</v>
      </c>
      <c r="AL114" s="89" t="s">
        <v>2901</v>
      </c>
      <c r="AM114" s="90" t="s">
        <v>869</v>
      </c>
      <c r="AN114" s="90"/>
      <c r="AO114" s="91">
        <v>1</v>
      </c>
      <c r="AP114" s="92" t="s">
        <v>635</v>
      </c>
      <c r="AQ114" s="88"/>
      <c r="AR114" s="94"/>
      <c r="AS114" s="88"/>
      <c r="AT114" s="88"/>
      <c r="AU114" s="88"/>
      <c r="AV114" s="94"/>
      <c r="AW114" s="88"/>
      <c r="AX114" s="94"/>
      <c r="AY114" s="88"/>
      <c r="AZ114" s="88"/>
      <c r="BA114" s="88"/>
      <c r="BB114" s="94"/>
      <c r="BC114" s="88"/>
      <c r="BD114" s="94"/>
      <c r="BE114" s="88"/>
      <c r="BF114" s="88"/>
      <c r="BG114" s="88"/>
      <c r="BH114" s="94"/>
      <c r="BI114" s="88"/>
      <c r="BJ114" s="94"/>
      <c r="BK114" s="88"/>
      <c r="BL114" s="88"/>
      <c r="BM114" s="88"/>
      <c r="BN114" s="94"/>
      <c r="BO114" s="88"/>
      <c r="BP114" s="94"/>
      <c r="BQ114" s="88"/>
      <c r="BR114" s="88"/>
      <c r="BS114" s="88"/>
      <c r="BT114" s="94"/>
      <c r="BU114" s="88"/>
      <c r="BV114" s="94"/>
      <c r="BW114" s="88"/>
      <c r="BX114" s="88"/>
      <c r="BY114" s="88"/>
      <c r="BZ114" s="94"/>
      <c r="CA114" s="88"/>
      <c r="CB114" s="94"/>
      <c r="CC114" s="88"/>
      <c r="CD114" s="88"/>
      <c r="CE114" s="88"/>
      <c r="CF114" s="88"/>
    </row>
    <row r="115" spans="1:84" x14ac:dyDescent="0.5">
      <c r="A115" s="259">
        <v>19106395</v>
      </c>
      <c r="B115" s="104">
        <v>19100993</v>
      </c>
      <c r="C115" s="105" t="s">
        <v>2919</v>
      </c>
      <c r="D115" s="106" t="s">
        <v>1323</v>
      </c>
      <c r="E115" s="302">
        <v>43789</v>
      </c>
      <c r="F115" s="936" t="s">
        <v>1324</v>
      </c>
      <c r="G115" s="937" t="s">
        <v>3178</v>
      </c>
      <c r="H115" s="211">
        <v>43808</v>
      </c>
      <c r="I115" s="164">
        <v>19380</v>
      </c>
      <c r="J115" s="960" t="s">
        <v>869</v>
      </c>
      <c r="K115" s="965">
        <v>43809</v>
      </c>
      <c r="L115" s="104" t="s">
        <v>2953</v>
      </c>
      <c r="M115" s="110" t="s">
        <v>2954</v>
      </c>
      <c r="N115" s="104" t="s">
        <v>50</v>
      </c>
      <c r="O115" s="111">
        <v>1130000</v>
      </c>
      <c r="P115" s="111">
        <f>O115*7/100</f>
        <v>79100</v>
      </c>
      <c r="Q115" s="111">
        <f t="shared" si="26"/>
        <v>1209100</v>
      </c>
      <c r="R115" s="311"/>
      <c r="S115" s="113"/>
      <c r="T115" s="114"/>
      <c r="U115" s="115"/>
      <c r="V115" s="116"/>
      <c r="W115" s="117"/>
      <c r="X115" s="118"/>
      <c r="Y115" s="118"/>
      <c r="Z115" s="119"/>
      <c r="AA115" s="120"/>
      <c r="AB115" s="123">
        <v>19120525</v>
      </c>
      <c r="AC115" s="124">
        <v>1130000</v>
      </c>
      <c r="AD115" s="125">
        <f>AC115*7/100</f>
        <v>79100</v>
      </c>
      <c r="AE115" s="125">
        <f>AC115+AD115</f>
        <v>1209100</v>
      </c>
      <c r="AF115" s="126">
        <v>43862</v>
      </c>
      <c r="AG115" s="127" t="s">
        <v>869</v>
      </c>
      <c r="AH115" s="127"/>
      <c r="AI115" s="127"/>
      <c r="AJ115" s="103" t="s">
        <v>3702</v>
      </c>
      <c r="AK115" s="128">
        <v>1</v>
      </c>
      <c r="AL115" s="129" t="s">
        <v>2955</v>
      </c>
      <c r="AM115" s="130" t="s">
        <v>869</v>
      </c>
      <c r="AN115" s="130"/>
      <c r="AO115" s="131">
        <v>1</v>
      </c>
      <c r="AP115" s="132" t="s">
        <v>634</v>
      </c>
      <c r="AQ115" s="128">
        <v>2</v>
      </c>
      <c r="AR115" s="123" t="s">
        <v>847</v>
      </c>
      <c r="AS115" s="131" t="s">
        <v>869</v>
      </c>
      <c r="AT115" s="131"/>
      <c r="AU115" s="131">
        <v>1</v>
      </c>
      <c r="AV115" s="169" t="s">
        <v>636</v>
      </c>
      <c r="AW115" s="128"/>
      <c r="AX115" s="133"/>
      <c r="AY115" s="128"/>
      <c r="AZ115" s="128"/>
      <c r="BA115" s="128"/>
      <c r="BB115" s="133"/>
      <c r="BC115" s="128"/>
      <c r="BD115" s="133"/>
      <c r="BE115" s="128"/>
      <c r="BF115" s="128"/>
      <c r="BG115" s="128"/>
      <c r="BH115" s="133"/>
      <c r="BI115" s="128"/>
      <c r="BJ115" s="133"/>
      <c r="BK115" s="128"/>
      <c r="BL115" s="128"/>
      <c r="BM115" s="128"/>
      <c r="BN115" s="133"/>
      <c r="BO115" s="128"/>
      <c r="BP115" s="133"/>
      <c r="BQ115" s="128"/>
      <c r="BR115" s="128"/>
      <c r="BS115" s="128"/>
      <c r="BT115" s="133"/>
      <c r="BU115" s="128"/>
      <c r="BV115" s="133"/>
      <c r="BW115" s="128"/>
      <c r="BX115" s="128"/>
      <c r="BY115" s="128"/>
      <c r="BZ115" s="133"/>
      <c r="CA115" s="128"/>
      <c r="CB115" s="133"/>
      <c r="CC115" s="128"/>
      <c r="CD115" s="128"/>
      <c r="CE115" s="128"/>
      <c r="CF115" s="128"/>
    </row>
    <row r="116" spans="1:84" x14ac:dyDescent="0.5">
      <c r="A116" s="262"/>
      <c r="B116" s="135"/>
      <c r="C116" s="136"/>
      <c r="D116" s="137"/>
      <c r="E116" s="906"/>
      <c r="F116" s="940"/>
      <c r="G116" s="941"/>
      <c r="H116" s="170">
        <v>43808</v>
      </c>
      <c r="I116" s="251">
        <v>19381</v>
      </c>
      <c r="J116" s="963"/>
      <c r="K116" s="964"/>
      <c r="L116" s="135"/>
      <c r="M116" s="141"/>
      <c r="N116" s="135"/>
      <c r="O116" s="142"/>
      <c r="P116" s="142"/>
      <c r="Q116" s="142"/>
      <c r="R116" s="143"/>
      <c r="S116" s="144"/>
      <c r="T116" s="145"/>
      <c r="U116" s="146"/>
      <c r="V116" s="147"/>
      <c r="W116" s="148"/>
      <c r="X116" s="149"/>
      <c r="Y116" s="149"/>
      <c r="Z116" s="150"/>
      <c r="AA116" s="151"/>
      <c r="AB116" s="154"/>
      <c r="AC116" s="155"/>
      <c r="AD116" s="156"/>
      <c r="AE116" s="156"/>
      <c r="AF116" s="157"/>
      <c r="AG116" s="152"/>
      <c r="AH116" s="152"/>
      <c r="AI116" s="152"/>
      <c r="AJ116" s="134"/>
      <c r="AK116" s="158"/>
      <c r="AL116" s="159"/>
      <c r="AM116" s="160"/>
      <c r="AN116" s="160"/>
      <c r="AO116" s="161"/>
      <c r="AP116" s="162"/>
      <c r="AQ116" s="158"/>
      <c r="AR116" s="154"/>
      <c r="AS116" s="161"/>
      <c r="AT116" s="161"/>
      <c r="AU116" s="161"/>
      <c r="AV116" s="177"/>
      <c r="AW116" s="158"/>
      <c r="AX116" s="163"/>
      <c r="AY116" s="158"/>
      <c r="AZ116" s="158"/>
      <c r="BA116" s="158"/>
      <c r="BB116" s="163"/>
      <c r="BC116" s="158"/>
      <c r="BD116" s="163"/>
      <c r="BE116" s="158"/>
      <c r="BF116" s="158"/>
      <c r="BG116" s="158"/>
      <c r="BH116" s="163"/>
      <c r="BI116" s="158"/>
      <c r="BJ116" s="163"/>
      <c r="BK116" s="158"/>
      <c r="BL116" s="158"/>
      <c r="BM116" s="158"/>
      <c r="BN116" s="163"/>
      <c r="BO116" s="158"/>
      <c r="BP116" s="163"/>
      <c r="BQ116" s="158"/>
      <c r="BR116" s="158"/>
      <c r="BS116" s="158"/>
      <c r="BT116" s="163"/>
      <c r="BU116" s="158"/>
      <c r="BV116" s="163"/>
      <c r="BW116" s="158"/>
      <c r="BX116" s="158"/>
      <c r="BY116" s="158"/>
      <c r="BZ116" s="163"/>
      <c r="CA116" s="158"/>
      <c r="CB116" s="163"/>
      <c r="CC116" s="158"/>
      <c r="CD116" s="158"/>
      <c r="CE116" s="158"/>
      <c r="CF116" s="158"/>
    </row>
    <row r="117" spans="1:84" x14ac:dyDescent="0.5">
      <c r="A117" s="262"/>
      <c r="B117" s="135"/>
      <c r="C117" s="136"/>
      <c r="D117" s="137"/>
      <c r="E117" s="906"/>
      <c r="F117" s="940"/>
      <c r="G117" s="941"/>
      <c r="H117" s="179">
        <v>43808</v>
      </c>
      <c r="I117" s="140">
        <v>19382</v>
      </c>
      <c r="J117" s="963"/>
      <c r="K117" s="964"/>
      <c r="L117" s="135"/>
      <c r="M117" s="141"/>
      <c r="N117" s="135"/>
      <c r="O117" s="142"/>
      <c r="P117" s="142"/>
      <c r="Q117" s="142"/>
      <c r="R117" s="143"/>
      <c r="S117" s="144"/>
      <c r="T117" s="145"/>
      <c r="U117" s="146"/>
      <c r="V117" s="147"/>
      <c r="W117" s="148"/>
      <c r="X117" s="149"/>
      <c r="Y117" s="149"/>
      <c r="Z117" s="150"/>
      <c r="AA117" s="151"/>
      <c r="AB117" s="154"/>
      <c r="AC117" s="155"/>
      <c r="AD117" s="156"/>
      <c r="AE117" s="156"/>
      <c r="AF117" s="157"/>
      <c r="AG117" s="152"/>
      <c r="AH117" s="152"/>
      <c r="AI117" s="152"/>
      <c r="AJ117" s="134"/>
      <c r="AK117" s="158"/>
      <c r="AL117" s="159"/>
      <c r="AM117" s="160"/>
      <c r="AN117" s="160"/>
      <c r="AO117" s="161"/>
      <c r="AP117" s="162"/>
      <c r="AQ117" s="158"/>
      <c r="AR117" s="154"/>
      <c r="AS117" s="161"/>
      <c r="AT117" s="161"/>
      <c r="AU117" s="161"/>
      <c r="AV117" s="177"/>
      <c r="AW117" s="158"/>
      <c r="AX117" s="163"/>
      <c r="AY117" s="158"/>
      <c r="AZ117" s="158"/>
      <c r="BA117" s="158"/>
      <c r="BB117" s="163"/>
      <c r="BC117" s="158"/>
      <c r="BD117" s="163"/>
      <c r="BE117" s="158"/>
      <c r="BF117" s="158"/>
      <c r="BG117" s="158"/>
      <c r="BH117" s="163"/>
      <c r="BI117" s="158"/>
      <c r="BJ117" s="163"/>
      <c r="BK117" s="158"/>
      <c r="BL117" s="158"/>
      <c r="BM117" s="158"/>
      <c r="BN117" s="163"/>
      <c r="BO117" s="158"/>
      <c r="BP117" s="163"/>
      <c r="BQ117" s="158"/>
      <c r="BR117" s="158"/>
      <c r="BS117" s="158"/>
      <c r="BT117" s="163"/>
      <c r="BU117" s="158"/>
      <c r="BV117" s="163"/>
      <c r="BW117" s="158"/>
      <c r="BX117" s="158"/>
      <c r="BY117" s="158"/>
      <c r="BZ117" s="163"/>
      <c r="CA117" s="158"/>
      <c r="CB117" s="163"/>
      <c r="CC117" s="158"/>
      <c r="CD117" s="158"/>
      <c r="CE117" s="158"/>
      <c r="CF117" s="158"/>
    </row>
    <row r="118" spans="1:84" x14ac:dyDescent="0.5">
      <c r="A118" s="259">
        <v>19106394</v>
      </c>
      <c r="B118" s="104">
        <v>19100991</v>
      </c>
      <c r="C118" s="105" t="s">
        <v>2913</v>
      </c>
      <c r="D118" s="106" t="s">
        <v>1323</v>
      </c>
      <c r="E118" s="302">
        <v>43766</v>
      </c>
      <c r="F118" s="936" t="s">
        <v>1324</v>
      </c>
      <c r="G118" s="937" t="s">
        <v>2945</v>
      </c>
      <c r="H118" s="211">
        <v>43769</v>
      </c>
      <c r="I118" s="164">
        <v>19344</v>
      </c>
      <c r="J118" s="960" t="s">
        <v>869</v>
      </c>
      <c r="K118" s="965">
        <v>43770</v>
      </c>
      <c r="L118" s="104" t="s">
        <v>1546</v>
      </c>
      <c r="M118" s="110" t="s">
        <v>2914</v>
      </c>
      <c r="N118" s="104" t="s">
        <v>1523</v>
      </c>
      <c r="O118" s="111">
        <v>170325</v>
      </c>
      <c r="P118" s="111">
        <f>O118*7%</f>
        <v>11922.750000000002</v>
      </c>
      <c r="Q118" s="111">
        <f t="shared" ref="Q118:Q126" si="27">O118+P118</f>
        <v>182247.75</v>
      </c>
      <c r="R118" s="311"/>
      <c r="S118" s="113"/>
      <c r="T118" s="114"/>
      <c r="U118" s="115"/>
      <c r="V118" s="116"/>
      <c r="W118" s="117"/>
      <c r="X118" s="118"/>
      <c r="Y118" s="118"/>
      <c r="Z118" s="119"/>
      <c r="AA118" s="120"/>
      <c r="AB118" s="123">
        <v>19110447</v>
      </c>
      <c r="AC118" s="124">
        <v>170325</v>
      </c>
      <c r="AD118" s="125">
        <f>AC118*7/100</f>
        <v>11922.75</v>
      </c>
      <c r="AE118" s="125">
        <f>AC118+AD118</f>
        <v>182247.75</v>
      </c>
      <c r="AF118" s="126">
        <v>43803</v>
      </c>
      <c r="AG118" s="127" t="s">
        <v>869</v>
      </c>
      <c r="AH118" s="127"/>
      <c r="AI118" s="127"/>
      <c r="AJ118" s="103" t="s">
        <v>3301</v>
      </c>
      <c r="AK118" s="128">
        <v>1</v>
      </c>
      <c r="AL118" s="129" t="s">
        <v>2915</v>
      </c>
      <c r="AM118" s="130"/>
      <c r="AN118" s="130" t="s">
        <v>869</v>
      </c>
      <c r="AO118" s="131">
        <v>3</v>
      </c>
      <c r="AP118" s="132" t="s">
        <v>634</v>
      </c>
      <c r="AQ118" s="128">
        <v>2</v>
      </c>
      <c r="AR118" s="123" t="s">
        <v>849</v>
      </c>
      <c r="AS118" s="131"/>
      <c r="AT118" s="131" t="s">
        <v>869</v>
      </c>
      <c r="AU118" s="131">
        <v>1</v>
      </c>
      <c r="AV118" s="169" t="s">
        <v>634</v>
      </c>
      <c r="AW118" s="128"/>
      <c r="AX118" s="133"/>
      <c r="AY118" s="128"/>
      <c r="AZ118" s="128"/>
      <c r="BA118" s="128"/>
      <c r="BB118" s="133"/>
      <c r="BC118" s="128"/>
      <c r="BD118" s="133"/>
      <c r="BE118" s="128"/>
      <c r="BF118" s="128"/>
      <c r="BG118" s="128"/>
      <c r="BH118" s="133"/>
      <c r="BI118" s="128"/>
      <c r="BJ118" s="133"/>
      <c r="BK118" s="128"/>
      <c r="BL118" s="128"/>
      <c r="BM118" s="128"/>
      <c r="BN118" s="133"/>
      <c r="BO118" s="128"/>
      <c r="BP118" s="133"/>
      <c r="BQ118" s="128"/>
      <c r="BR118" s="128"/>
      <c r="BS118" s="128"/>
      <c r="BT118" s="133"/>
      <c r="BU118" s="128"/>
      <c r="BV118" s="133"/>
      <c r="BW118" s="128"/>
      <c r="BX118" s="128"/>
      <c r="BY118" s="128"/>
      <c r="BZ118" s="133"/>
      <c r="CA118" s="128"/>
      <c r="CB118" s="133"/>
      <c r="CC118" s="128"/>
      <c r="CD118" s="128"/>
      <c r="CE118" s="128"/>
      <c r="CF118" s="128"/>
    </row>
    <row r="119" spans="1:84" x14ac:dyDescent="0.5">
      <c r="A119" s="262"/>
      <c r="B119" s="135"/>
      <c r="C119" s="136"/>
      <c r="D119" s="137"/>
      <c r="E119" s="906"/>
      <c r="F119" s="952"/>
      <c r="G119" s="953"/>
      <c r="H119" s="178">
        <v>43769</v>
      </c>
      <c r="I119" s="171">
        <v>19345</v>
      </c>
      <c r="J119" s="1082"/>
      <c r="K119" s="974"/>
      <c r="L119" s="135"/>
      <c r="M119" s="141"/>
      <c r="N119" s="135"/>
      <c r="O119" s="142"/>
      <c r="P119" s="142"/>
      <c r="Q119" s="142"/>
      <c r="R119" s="143"/>
      <c r="S119" s="144"/>
      <c r="T119" s="145"/>
      <c r="U119" s="146"/>
      <c r="V119" s="147"/>
      <c r="W119" s="148"/>
      <c r="X119" s="149"/>
      <c r="Y119" s="149"/>
      <c r="Z119" s="150"/>
      <c r="AA119" s="151"/>
      <c r="AB119" s="154"/>
      <c r="AC119" s="155"/>
      <c r="AD119" s="255"/>
      <c r="AE119" s="255"/>
      <c r="AF119" s="256"/>
      <c r="AG119" s="152"/>
      <c r="AH119" s="152"/>
      <c r="AI119" s="152"/>
      <c r="AJ119" s="134"/>
      <c r="AK119" s="158"/>
      <c r="AL119" s="159"/>
      <c r="AM119" s="160"/>
      <c r="AN119" s="160"/>
      <c r="AO119" s="161"/>
      <c r="AP119" s="162"/>
      <c r="AQ119" s="158"/>
      <c r="AR119" s="154"/>
      <c r="AS119" s="161"/>
      <c r="AT119" s="161"/>
      <c r="AU119" s="161"/>
      <c r="AV119" s="177"/>
      <c r="AW119" s="158"/>
      <c r="AX119" s="163"/>
      <c r="AY119" s="158"/>
      <c r="AZ119" s="158"/>
      <c r="BA119" s="158"/>
      <c r="BB119" s="163"/>
      <c r="BC119" s="158"/>
      <c r="BD119" s="163"/>
      <c r="BE119" s="158"/>
      <c r="BF119" s="158"/>
      <c r="BG119" s="158"/>
      <c r="BH119" s="163"/>
      <c r="BI119" s="158"/>
      <c r="BJ119" s="163"/>
      <c r="BK119" s="158"/>
      <c r="BL119" s="158"/>
      <c r="BM119" s="158"/>
      <c r="BN119" s="163"/>
      <c r="BO119" s="158"/>
      <c r="BP119" s="163"/>
      <c r="BQ119" s="158"/>
      <c r="BR119" s="158"/>
      <c r="BS119" s="158"/>
      <c r="BT119" s="163"/>
      <c r="BU119" s="158"/>
      <c r="BV119" s="163"/>
      <c r="BW119" s="158"/>
      <c r="BX119" s="158"/>
      <c r="BY119" s="158"/>
      <c r="BZ119" s="163"/>
      <c r="CA119" s="158"/>
      <c r="CB119" s="163"/>
      <c r="CC119" s="158"/>
      <c r="CD119" s="158"/>
      <c r="CE119" s="158"/>
      <c r="CF119" s="158"/>
    </row>
    <row r="120" spans="1:84" x14ac:dyDescent="0.5">
      <c r="A120" s="268"/>
      <c r="B120" s="181"/>
      <c r="C120" s="182"/>
      <c r="D120" s="183"/>
      <c r="E120" s="749"/>
      <c r="F120" s="938" t="s">
        <v>1324</v>
      </c>
      <c r="G120" s="939" t="s">
        <v>3001</v>
      </c>
      <c r="H120" s="186">
        <v>43784</v>
      </c>
      <c r="I120" s="187">
        <v>19361</v>
      </c>
      <c r="J120" s="961" t="s">
        <v>869</v>
      </c>
      <c r="K120" s="966">
        <v>43785</v>
      </c>
      <c r="L120" s="181"/>
      <c r="M120" s="188"/>
      <c r="N120" s="181"/>
      <c r="O120" s="189"/>
      <c r="P120" s="189"/>
      <c r="Q120" s="189"/>
      <c r="R120" s="190"/>
      <c r="S120" s="215"/>
      <c r="T120" s="216"/>
      <c r="U120" s="217"/>
      <c r="V120" s="218"/>
      <c r="W120" s="195"/>
      <c r="X120" s="196"/>
      <c r="Y120" s="196"/>
      <c r="Z120" s="197"/>
      <c r="AA120" s="198"/>
      <c r="AB120" s="200"/>
      <c r="AC120" s="201"/>
      <c r="AD120" s="240"/>
      <c r="AE120" s="240"/>
      <c r="AF120" s="241"/>
      <c r="AG120" s="199"/>
      <c r="AH120" s="199"/>
      <c r="AI120" s="199"/>
      <c r="AJ120" s="180"/>
      <c r="AK120" s="204"/>
      <c r="AL120" s="205"/>
      <c r="AM120" s="206"/>
      <c r="AN120" s="206"/>
      <c r="AO120" s="207"/>
      <c r="AP120" s="208"/>
      <c r="AQ120" s="204"/>
      <c r="AR120" s="200"/>
      <c r="AS120" s="207"/>
      <c r="AT120" s="207"/>
      <c r="AU120" s="207"/>
      <c r="AV120" s="209"/>
      <c r="AW120" s="204"/>
      <c r="AX120" s="210"/>
      <c r="AY120" s="204"/>
      <c r="AZ120" s="204"/>
      <c r="BA120" s="204"/>
      <c r="BB120" s="210"/>
      <c r="BC120" s="204"/>
      <c r="BD120" s="210"/>
      <c r="BE120" s="204"/>
      <c r="BF120" s="204"/>
      <c r="BG120" s="204"/>
      <c r="BH120" s="210"/>
      <c r="BI120" s="204"/>
      <c r="BJ120" s="210"/>
      <c r="BK120" s="204"/>
      <c r="BL120" s="204"/>
      <c r="BM120" s="204"/>
      <c r="BN120" s="210"/>
      <c r="BO120" s="204"/>
      <c r="BP120" s="210"/>
      <c r="BQ120" s="204"/>
      <c r="BR120" s="204"/>
      <c r="BS120" s="204"/>
      <c r="BT120" s="210"/>
      <c r="BU120" s="204"/>
      <c r="BV120" s="210"/>
      <c r="BW120" s="204"/>
      <c r="BX120" s="204"/>
      <c r="BY120" s="204"/>
      <c r="BZ120" s="210"/>
      <c r="CA120" s="204"/>
      <c r="CB120" s="210"/>
      <c r="CC120" s="204"/>
      <c r="CD120" s="204"/>
      <c r="CE120" s="204"/>
      <c r="CF120" s="204"/>
    </row>
    <row r="121" spans="1:84" x14ac:dyDescent="0.5">
      <c r="A121" s="227">
        <v>19106393</v>
      </c>
      <c r="B121" s="22">
        <v>19100983</v>
      </c>
      <c r="C121" s="55"/>
      <c r="D121" s="56"/>
      <c r="E121" s="910"/>
      <c r="F121" s="57"/>
      <c r="G121" s="58"/>
      <c r="H121" s="59"/>
      <c r="I121" s="60"/>
      <c r="J121" s="269"/>
      <c r="K121" s="59"/>
      <c r="L121" s="22" t="s">
        <v>2902</v>
      </c>
      <c r="M121" s="28" t="s">
        <v>2903</v>
      </c>
      <c r="N121" s="22" t="s">
        <v>51</v>
      </c>
      <c r="O121" s="29">
        <v>5000</v>
      </c>
      <c r="P121" s="29">
        <f>O121*7%</f>
        <v>350.00000000000006</v>
      </c>
      <c r="Q121" s="29">
        <f t="shared" si="27"/>
        <v>5350</v>
      </c>
      <c r="R121" s="61"/>
      <c r="S121" s="96"/>
      <c r="T121" s="97"/>
      <c r="U121" s="98"/>
      <c r="V121" s="99"/>
      <c r="W121" s="100"/>
      <c r="X121" s="99"/>
      <c r="Y121" s="99"/>
      <c r="Z121" s="100"/>
      <c r="AA121" s="101"/>
      <c r="AB121" s="40">
        <v>19110446</v>
      </c>
      <c r="AC121" s="41">
        <v>5000</v>
      </c>
      <c r="AD121" s="52">
        <f>AC121*7/100</f>
        <v>350</v>
      </c>
      <c r="AE121" s="52">
        <f>AC121+AD121</f>
        <v>5350</v>
      </c>
      <c r="AF121" s="53">
        <v>43800</v>
      </c>
      <c r="AG121" s="39" t="s">
        <v>869</v>
      </c>
      <c r="AH121" s="39"/>
      <c r="AI121" s="39"/>
      <c r="AJ121" s="21" t="s">
        <v>3481</v>
      </c>
      <c r="AK121" s="1061">
        <v>1</v>
      </c>
      <c r="AL121" s="45" t="s">
        <v>2904</v>
      </c>
      <c r="AM121" s="46"/>
      <c r="AN121" s="46"/>
      <c r="AO121" s="47">
        <v>1</v>
      </c>
      <c r="AP121" s="48" t="s">
        <v>628</v>
      </c>
      <c r="AQ121" s="1062"/>
      <c r="AR121" s="54"/>
      <c r="AS121" s="1062"/>
      <c r="AT121" s="1062"/>
      <c r="AU121" s="1062"/>
      <c r="AV121" s="54"/>
      <c r="AW121" s="1062"/>
      <c r="AX121" s="54"/>
      <c r="AY121" s="1062"/>
      <c r="AZ121" s="1062"/>
      <c r="BA121" s="1062"/>
      <c r="BB121" s="54"/>
      <c r="BC121" s="1062"/>
      <c r="BD121" s="54"/>
      <c r="BE121" s="1062"/>
      <c r="BF121" s="1062"/>
      <c r="BG121" s="1062"/>
      <c r="BH121" s="54"/>
      <c r="BI121" s="1062"/>
      <c r="BJ121" s="54"/>
      <c r="BK121" s="1062"/>
      <c r="BL121" s="1062"/>
      <c r="BM121" s="1062"/>
      <c r="BN121" s="54"/>
      <c r="BO121" s="1062"/>
      <c r="BP121" s="54"/>
      <c r="BQ121" s="1062"/>
      <c r="BR121" s="1062"/>
      <c r="BS121" s="1062"/>
      <c r="BT121" s="54"/>
      <c r="BU121" s="1062"/>
      <c r="BV121" s="54"/>
      <c r="BW121" s="1062"/>
      <c r="BX121" s="1062"/>
      <c r="BY121" s="1062"/>
      <c r="BZ121" s="54"/>
      <c r="CA121" s="1062"/>
      <c r="CB121" s="54"/>
      <c r="CC121" s="1062"/>
      <c r="CD121" s="1062"/>
      <c r="CE121" s="1062"/>
      <c r="CF121" s="1062"/>
    </row>
    <row r="122" spans="1:84" x14ac:dyDescent="0.5">
      <c r="A122" s="227">
        <v>19106392</v>
      </c>
      <c r="B122" s="22">
        <v>19100980</v>
      </c>
      <c r="C122" s="55"/>
      <c r="D122" s="56"/>
      <c r="E122" s="910"/>
      <c r="F122" s="57"/>
      <c r="G122" s="58"/>
      <c r="H122" s="59"/>
      <c r="I122" s="60"/>
      <c r="J122" s="269"/>
      <c r="K122" s="59"/>
      <c r="L122" s="22" t="s">
        <v>60</v>
      </c>
      <c r="M122" s="28" t="s">
        <v>2905</v>
      </c>
      <c r="N122" s="22" t="s">
        <v>51</v>
      </c>
      <c r="O122" s="29">
        <v>850000</v>
      </c>
      <c r="P122" s="29">
        <f>O122*7%</f>
        <v>59500.000000000007</v>
      </c>
      <c r="Q122" s="29">
        <f t="shared" si="27"/>
        <v>909500</v>
      </c>
      <c r="R122" s="61"/>
      <c r="S122" s="96"/>
      <c r="T122" s="97"/>
      <c r="U122" s="98"/>
      <c r="V122" s="99"/>
      <c r="W122" s="100"/>
      <c r="X122" s="99"/>
      <c r="Y122" s="99"/>
      <c r="Z122" s="100"/>
      <c r="AA122" s="101"/>
      <c r="AB122" s="40">
        <v>19110489</v>
      </c>
      <c r="AC122" s="41">
        <v>850000</v>
      </c>
      <c r="AD122" s="52">
        <f>AC122*7/100</f>
        <v>59500</v>
      </c>
      <c r="AE122" s="52">
        <f>AC122+AD122</f>
        <v>909500</v>
      </c>
      <c r="AF122" s="53">
        <v>43841</v>
      </c>
      <c r="AG122" s="39" t="s">
        <v>869</v>
      </c>
      <c r="AH122" s="39"/>
      <c r="AI122" s="39"/>
      <c r="AJ122" s="21" t="s">
        <v>3610</v>
      </c>
      <c r="AK122" s="1061">
        <v>1</v>
      </c>
      <c r="AL122" s="45" t="s">
        <v>2906</v>
      </c>
      <c r="AM122" s="46"/>
      <c r="AN122" s="46"/>
      <c r="AO122" s="47">
        <v>1</v>
      </c>
      <c r="AP122" s="48" t="s">
        <v>628</v>
      </c>
      <c r="AQ122" s="1062"/>
      <c r="AR122" s="54"/>
      <c r="AS122" s="1062"/>
      <c r="AT122" s="1062"/>
      <c r="AU122" s="1062"/>
      <c r="AV122" s="54"/>
      <c r="AW122" s="1062"/>
      <c r="AX122" s="54"/>
      <c r="AY122" s="1062"/>
      <c r="AZ122" s="1062"/>
      <c r="BA122" s="1062"/>
      <c r="BB122" s="54"/>
      <c r="BC122" s="1062"/>
      <c r="BD122" s="54"/>
      <c r="BE122" s="1062"/>
      <c r="BF122" s="1062"/>
      <c r="BG122" s="1062"/>
      <c r="BH122" s="54"/>
      <c r="BI122" s="1062"/>
      <c r="BJ122" s="54"/>
      <c r="BK122" s="1062"/>
      <c r="BL122" s="1062"/>
      <c r="BM122" s="1062"/>
      <c r="BN122" s="54"/>
      <c r="BO122" s="1062"/>
      <c r="BP122" s="54"/>
      <c r="BQ122" s="1062"/>
      <c r="BR122" s="1062"/>
      <c r="BS122" s="1062"/>
      <c r="BT122" s="54"/>
      <c r="BU122" s="1062"/>
      <c r="BV122" s="54"/>
      <c r="BW122" s="1062"/>
      <c r="BX122" s="1062"/>
      <c r="BY122" s="1062"/>
      <c r="BZ122" s="54"/>
      <c r="CA122" s="1062"/>
      <c r="CB122" s="54"/>
      <c r="CC122" s="1062"/>
      <c r="CD122" s="1062"/>
      <c r="CE122" s="1062"/>
      <c r="CF122" s="1062"/>
    </row>
    <row r="123" spans="1:84" x14ac:dyDescent="0.5">
      <c r="A123" s="227">
        <v>19106391</v>
      </c>
      <c r="B123" s="22">
        <v>19100976</v>
      </c>
      <c r="C123" s="23" t="s">
        <v>2920</v>
      </c>
      <c r="D123" s="24" t="s">
        <v>1323</v>
      </c>
      <c r="E123" s="884">
        <v>43760</v>
      </c>
      <c r="F123" s="932" t="s">
        <v>1324</v>
      </c>
      <c r="G123" s="933" t="s">
        <v>2913</v>
      </c>
      <c r="H123" s="62">
        <v>43759</v>
      </c>
      <c r="I123" s="27">
        <v>19335</v>
      </c>
      <c r="J123" s="931" t="s">
        <v>869</v>
      </c>
      <c r="K123" s="957">
        <v>43760</v>
      </c>
      <c r="L123" s="22" t="s">
        <v>20</v>
      </c>
      <c r="M123" s="28" t="s">
        <v>2921</v>
      </c>
      <c r="N123" s="22" t="s">
        <v>51</v>
      </c>
      <c r="O123" s="29">
        <v>43789.2</v>
      </c>
      <c r="P123" s="29">
        <f>O123*7/100</f>
        <v>3065.2439999999997</v>
      </c>
      <c r="Q123" s="29">
        <f t="shared" si="27"/>
        <v>46854.443999999996</v>
      </c>
      <c r="R123" s="61"/>
      <c r="S123" s="96"/>
      <c r="T123" s="97"/>
      <c r="U123" s="98"/>
      <c r="V123" s="99"/>
      <c r="W123" s="100"/>
      <c r="X123" s="99"/>
      <c r="Y123" s="99"/>
      <c r="Z123" s="100"/>
      <c r="AA123" s="101"/>
      <c r="AB123" s="40">
        <v>19100439</v>
      </c>
      <c r="AC123" s="41">
        <v>43789.2</v>
      </c>
      <c r="AD123" s="52">
        <f>AC123*7/100</f>
        <v>3065.2439999999997</v>
      </c>
      <c r="AE123" s="52">
        <f>AC123+AD123</f>
        <v>46854.443999999996</v>
      </c>
      <c r="AF123" s="53">
        <v>43796</v>
      </c>
      <c r="AG123" s="39" t="s">
        <v>869</v>
      </c>
      <c r="AH123" s="39"/>
      <c r="AI123" s="39"/>
      <c r="AJ123" s="21" t="s">
        <v>3305</v>
      </c>
      <c r="AK123" s="1051">
        <v>1</v>
      </c>
      <c r="AL123" s="45" t="s">
        <v>2922</v>
      </c>
      <c r="AM123" s="46"/>
      <c r="AN123" s="46" t="s">
        <v>869</v>
      </c>
      <c r="AO123" s="47">
        <v>1</v>
      </c>
      <c r="AP123" s="48" t="s">
        <v>633</v>
      </c>
      <c r="AQ123" s="1064"/>
      <c r="AR123" s="54"/>
      <c r="AS123" s="1064"/>
      <c r="AT123" s="1064"/>
      <c r="AU123" s="1064"/>
      <c r="AV123" s="54"/>
      <c r="AW123" s="1064"/>
      <c r="AX123" s="54"/>
      <c r="AY123" s="1064"/>
      <c r="AZ123" s="1064"/>
      <c r="BA123" s="1064"/>
      <c r="BB123" s="54"/>
      <c r="BC123" s="1064"/>
      <c r="BD123" s="54"/>
      <c r="BE123" s="1064"/>
      <c r="BF123" s="1064"/>
      <c r="BG123" s="1064"/>
      <c r="BH123" s="54"/>
      <c r="BI123" s="1064"/>
      <c r="BJ123" s="54"/>
      <c r="BK123" s="1064"/>
      <c r="BL123" s="1064"/>
      <c r="BM123" s="1064"/>
      <c r="BN123" s="54"/>
      <c r="BO123" s="1064"/>
      <c r="BP123" s="54"/>
      <c r="BQ123" s="1064"/>
      <c r="BR123" s="1064"/>
      <c r="BS123" s="1064"/>
      <c r="BT123" s="54"/>
      <c r="BU123" s="1064"/>
      <c r="BV123" s="54"/>
      <c r="BW123" s="1064"/>
      <c r="BX123" s="1064"/>
      <c r="BY123" s="1064"/>
      <c r="BZ123" s="54"/>
      <c r="CA123" s="1064"/>
      <c r="CB123" s="54"/>
      <c r="CC123" s="1064"/>
      <c r="CD123" s="1064"/>
      <c r="CE123" s="1064"/>
      <c r="CF123" s="1064"/>
    </row>
    <row r="124" spans="1:84" x14ac:dyDescent="0.5">
      <c r="A124" s="227">
        <v>19106390</v>
      </c>
      <c r="B124" s="22">
        <v>19100975</v>
      </c>
      <c r="C124" s="23" t="s">
        <v>2918</v>
      </c>
      <c r="D124" s="24" t="s">
        <v>1323</v>
      </c>
      <c r="E124" s="884">
        <v>43762</v>
      </c>
      <c r="F124" s="932" t="s">
        <v>1324</v>
      </c>
      <c r="G124" s="933" t="s">
        <v>2910</v>
      </c>
      <c r="H124" s="62">
        <v>43762</v>
      </c>
      <c r="I124" s="27">
        <v>19339</v>
      </c>
      <c r="J124" s="931" t="s">
        <v>869</v>
      </c>
      <c r="K124" s="957">
        <v>43762</v>
      </c>
      <c r="L124" s="22" t="s">
        <v>23</v>
      </c>
      <c r="M124" s="28" t="s">
        <v>415</v>
      </c>
      <c r="N124" s="22" t="s">
        <v>51</v>
      </c>
      <c r="O124" s="29">
        <v>152000</v>
      </c>
      <c r="P124" s="29">
        <f>O124*7/100</f>
        <v>10640</v>
      </c>
      <c r="Q124" s="29">
        <f t="shared" si="27"/>
        <v>162640</v>
      </c>
      <c r="R124" s="61"/>
      <c r="S124" s="96"/>
      <c r="T124" s="97"/>
      <c r="U124" s="98"/>
      <c r="V124" s="99"/>
      <c r="W124" s="100"/>
      <c r="X124" s="99"/>
      <c r="Y124" s="99"/>
      <c r="Z124" s="100"/>
      <c r="AA124" s="101"/>
      <c r="AB124" s="40">
        <v>19100419</v>
      </c>
      <c r="AC124" s="41">
        <v>152000</v>
      </c>
      <c r="AD124" s="52">
        <f>AC124*7/100</f>
        <v>10640</v>
      </c>
      <c r="AE124" s="52">
        <f>AC124+AD124</f>
        <v>162640</v>
      </c>
      <c r="AF124" s="53">
        <v>43789</v>
      </c>
      <c r="AG124" s="39" t="s">
        <v>869</v>
      </c>
      <c r="AH124" s="39"/>
      <c r="AI124" s="39"/>
      <c r="AJ124" s="21" t="s">
        <v>3335</v>
      </c>
      <c r="AK124" s="1051">
        <v>1</v>
      </c>
      <c r="AL124" s="45" t="s">
        <v>1141</v>
      </c>
      <c r="AM124" s="46" t="s">
        <v>869</v>
      </c>
      <c r="AN124" s="46"/>
      <c r="AO124" s="47">
        <v>2</v>
      </c>
      <c r="AP124" s="48" t="s">
        <v>635</v>
      </c>
      <c r="AQ124" s="1064"/>
      <c r="AR124" s="54"/>
      <c r="AS124" s="1064"/>
      <c r="AT124" s="1064"/>
      <c r="AU124" s="1064"/>
      <c r="AV124" s="54"/>
      <c r="AW124" s="1064"/>
      <c r="AX124" s="54"/>
      <c r="AY124" s="1064"/>
      <c r="AZ124" s="1064"/>
      <c r="BA124" s="1064"/>
      <c r="BB124" s="54"/>
      <c r="BC124" s="1064"/>
      <c r="BD124" s="54"/>
      <c r="BE124" s="1064"/>
      <c r="BF124" s="1064"/>
      <c r="BG124" s="1064"/>
      <c r="BH124" s="54"/>
      <c r="BI124" s="1064"/>
      <c r="BJ124" s="54"/>
      <c r="BK124" s="1064"/>
      <c r="BL124" s="1064"/>
      <c r="BM124" s="1064"/>
      <c r="BN124" s="54"/>
      <c r="BO124" s="1064"/>
      <c r="BP124" s="54"/>
      <c r="BQ124" s="1064"/>
      <c r="BR124" s="1064"/>
      <c r="BS124" s="1064"/>
      <c r="BT124" s="54"/>
      <c r="BU124" s="1064"/>
      <c r="BV124" s="54"/>
      <c r="BW124" s="1064"/>
      <c r="BX124" s="1064"/>
      <c r="BY124" s="1064"/>
      <c r="BZ124" s="54"/>
      <c r="CA124" s="1064"/>
      <c r="CB124" s="54"/>
      <c r="CC124" s="1064"/>
      <c r="CD124" s="1064"/>
      <c r="CE124" s="1064"/>
      <c r="CF124" s="1064"/>
    </row>
    <row r="125" spans="1:84" s="95" customFormat="1" x14ac:dyDescent="0.5">
      <c r="A125" s="65">
        <v>19106389</v>
      </c>
      <c r="B125" s="66">
        <v>19100971</v>
      </c>
      <c r="C125" s="67" t="s">
        <v>2916</v>
      </c>
      <c r="D125" s="68" t="s">
        <v>1323</v>
      </c>
      <c r="E125" s="905">
        <v>43762</v>
      </c>
      <c r="F125" s="934"/>
      <c r="G125" s="935"/>
      <c r="H125" s="66"/>
      <c r="I125" s="71"/>
      <c r="J125" s="958"/>
      <c r="K125" s="84"/>
      <c r="L125" s="66" t="s">
        <v>1546</v>
      </c>
      <c r="M125" s="72" t="s">
        <v>2917</v>
      </c>
      <c r="N125" s="66" t="s">
        <v>1523</v>
      </c>
      <c r="O125" s="73">
        <v>175125</v>
      </c>
      <c r="P125" s="73">
        <f>O125*7%</f>
        <v>12258.750000000002</v>
      </c>
      <c r="Q125" s="73">
        <f t="shared" si="27"/>
        <v>187383.75</v>
      </c>
      <c r="R125" s="74"/>
      <c r="S125" s="75"/>
      <c r="T125" s="76"/>
      <c r="U125" s="77"/>
      <c r="V125" s="78"/>
      <c r="W125" s="79"/>
      <c r="X125" s="80"/>
      <c r="Y125" s="80"/>
      <c r="Z125" s="81"/>
      <c r="AA125" s="82"/>
      <c r="AB125" s="84"/>
      <c r="AC125" s="85"/>
      <c r="AD125" s="86"/>
      <c r="AE125" s="86"/>
      <c r="AF125" s="87"/>
      <c r="AG125" s="83"/>
      <c r="AH125" s="83"/>
      <c r="AI125" s="83"/>
      <c r="AJ125" s="65"/>
      <c r="AK125" s="88">
        <v>1</v>
      </c>
      <c r="AL125" s="89" t="s">
        <v>2915</v>
      </c>
      <c r="AM125" s="90"/>
      <c r="AN125" s="90" t="s">
        <v>869</v>
      </c>
      <c r="AO125" s="91">
        <v>3</v>
      </c>
      <c r="AP125" s="92" t="s">
        <v>634</v>
      </c>
      <c r="AQ125" s="88">
        <v>2</v>
      </c>
      <c r="AR125" s="84" t="s">
        <v>849</v>
      </c>
      <c r="AS125" s="91"/>
      <c r="AT125" s="91" t="s">
        <v>869</v>
      </c>
      <c r="AU125" s="91">
        <v>1</v>
      </c>
      <c r="AV125" s="93" t="s">
        <v>634</v>
      </c>
      <c r="AW125" s="88"/>
      <c r="AX125" s="94"/>
      <c r="AY125" s="88"/>
      <c r="AZ125" s="88"/>
      <c r="BA125" s="88"/>
      <c r="BB125" s="94"/>
      <c r="BC125" s="88"/>
      <c r="BD125" s="94"/>
      <c r="BE125" s="88"/>
      <c r="BF125" s="88"/>
      <c r="BG125" s="88"/>
      <c r="BH125" s="94"/>
      <c r="BI125" s="88"/>
      <c r="BJ125" s="94"/>
      <c r="BK125" s="88"/>
      <c r="BL125" s="88"/>
      <c r="BM125" s="88"/>
      <c r="BN125" s="94"/>
      <c r="BO125" s="88"/>
      <c r="BP125" s="94"/>
      <c r="BQ125" s="88"/>
      <c r="BR125" s="88"/>
      <c r="BS125" s="88"/>
      <c r="BT125" s="94"/>
      <c r="BU125" s="88"/>
      <c r="BV125" s="94"/>
      <c r="BW125" s="88"/>
      <c r="BX125" s="88"/>
      <c r="BY125" s="88"/>
      <c r="BZ125" s="94"/>
      <c r="CA125" s="88"/>
      <c r="CB125" s="94"/>
      <c r="CC125" s="88"/>
      <c r="CD125" s="88"/>
      <c r="CE125" s="88"/>
      <c r="CF125" s="88"/>
    </row>
    <row r="126" spans="1:84" x14ac:dyDescent="0.5">
      <c r="A126" s="227">
        <v>19106388</v>
      </c>
      <c r="B126" s="22">
        <v>19100969</v>
      </c>
      <c r="C126" s="23" t="s">
        <v>2923</v>
      </c>
      <c r="D126" s="24" t="s">
        <v>1323</v>
      </c>
      <c r="E126" s="884">
        <v>43755</v>
      </c>
      <c r="F126" s="932" t="s">
        <v>1324</v>
      </c>
      <c r="G126" s="933" t="s">
        <v>2918</v>
      </c>
      <c r="H126" s="62">
        <v>43759</v>
      </c>
      <c r="I126" s="27">
        <v>19331</v>
      </c>
      <c r="J126" s="931" t="s">
        <v>869</v>
      </c>
      <c r="K126" s="957">
        <v>43759</v>
      </c>
      <c r="L126" s="22" t="s">
        <v>15</v>
      </c>
      <c r="M126" s="28" t="s">
        <v>2886</v>
      </c>
      <c r="N126" s="22" t="s">
        <v>51</v>
      </c>
      <c r="O126" s="29">
        <v>32640</v>
      </c>
      <c r="P126" s="29">
        <f>O126*7/100</f>
        <v>2284.8000000000002</v>
      </c>
      <c r="Q126" s="29">
        <f t="shared" si="27"/>
        <v>34924.800000000003</v>
      </c>
      <c r="R126" s="61"/>
      <c r="S126" s="96"/>
      <c r="T126" s="97"/>
      <c r="U126" s="98"/>
      <c r="V126" s="99"/>
      <c r="W126" s="100"/>
      <c r="X126" s="99"/>
      <c r="Y126" s="99"/>
      <c r="Z126" s="100"/>
      <c r="AA126" s="101"/>
      <c r="AB126" s="40">
        <v>19100416</v>
      </c>
      <c r="AC126" s="41">
        <v>32640</v>
      </c>
      <c r="AD126" s="52">
        <f>AC126*7/100</f>
        <v>2284.8000000000002</v>
      </c>
      <c r="AE126" s="52">
        <f>AC126+AD126</f>
        <v>34924.800000000003</v>
      </c>
      <c r="AF126" s="53">
        <v>43801</v>
      </c>
      <c r="AG126" s="39" t="s">
        <v>869</v>
      </c>
      <c r="AH126" s="39"/>
      <c r="AI126" s="39"/>
      <c r="AJ126" s="21" t="s">
        <v>3296</v>
      </c>
      <c r="AK126" s="1051"/>
      <c r="AL126" s="45"/>
      <c r="AM126" s="46"/>
      <c r="AN126" s="46"/>
      <c r="AO126" s="47"/>
      <c r="AP126" s="48"/>
      <c r="AQ126" s="1051"/>
      <c r="AR126" s="40"/>
      <c r="AS126" s="47"/>
      <c r="AT126" s="47"/>
      <c r="AU126" s="47"/>
      <c r="AV126" s="49"/>
      <c r="AW126" s="1051"/>
      <c r="AX126" s="40"/>
      <c r="AY126" s="47"/>
      <c r="AZ126" s="47"/>
      <c r="BA126" s="47"/>
      <c r="BB126" s="49"/>
      <c r="BC126" s="1051"/>
      <c r="BD126" s="40"/>
      <c r="BE126" s="47"/>
      <c r="BF126" s="47"/>
      <c r="BG126" s="47"/>
      <c r="BH126" s="49"/>
      <c r="BI126" s="1051"/>
      <c r="BJ126" s="40"/>
      <c r="BK126" s="47"/>
      <c r="BL126" s="47"/>
      <c r="BM126" s="47"/>
      <c r="BN126" s="49"/>
      <c r="BO126" s="1051"/>
      <c r="BP126" s="40"/>
      <c r="BQ126" s="47"/>
      <c r="BR126" s="47"/>
      <c r="BS126" s="47"/>
      <c r="BT126" s="49"/>
      <c r="BU126" s="1051"/>
      <c r="BV126" s="40"/>
      <c r="BW126" s="47"/>
      <c r="BX126" s="47"/>
      <c r="BY126" s="47"/>
      <c r="BZ126" s="49"/>
      <c r="CA126" s="1051"/>
      <c r="CB126" s="40"/>
      <c r="CC126" s="47"/>
      <c r="CD126" s="47"/>
      <c r="CE126" s="47"/>
      <c r="CF126" s="50"/>
    </row>
    <row r="127" spans="1:84" x14ac:dyDescent="0.5">
      <c r="A127" s="227">
        <v>19106387</v>
      </c>
      <c r="B127" s="22">
        <v>19100963</v>
      </c>
      <c r="C127" s="23" t="s">
        <v>2880</v>
      </c>
      <c r="D127" s="24" t="s">
        <v>1323</v>
      </c>
      <c r="E127" s="884">
        <v>43760</v>
      </c>
      <c r="F127" s="932" t="s">
        <v>1324</v>
      </c>
      <c r="G127" s="933" t="s">
        <v>3190</v>
      </c>
      <c r="H127" s="62">
        <v>43808</v>
      </c>
      <c r="I127" s="27">
        <v>19383</v>
      </c>
      <c r="J127" s="931" t="s">
        <v>869</v>
      </c>
      <c r="K127" s="957">
        <v>43806</v>
      </c>
      <c r="L127" s="22" t="s">
        <v>2881</v>
      </c>
      <c r="M127" s="28" t="s">
        <v>415</v>
      </c>
      <c r="N127" s="22" t="s">
        <v>51</v>
      </c>
      <c r="O127" s="29">
        <v>47800</v>
      </c>
      <c r="P127" s="29">
        <f t="shared" ref="P127:P138" si="28">O127*7/100</f>
        <v>3346</v>
      </c>
      <c r="Q127" s="29">
        <f t="shared" ref="Q127:Q138" si="29">O127+P127</f>
        <v>51146</v>
      </c>
      <c r="R127" s="61"/>
      <c r="S127" s="96"/>
      <c r="T127" s="97"/>
      <c r="U127" s="98"/>
      <c r="V127" s="99"/>
      <c r="W127" s="100"/>
      <c r="X127" s="99"/>
      <c r="Y127" s="99"/>
      <c r="Z127" s="100"/>
      <c r="AA127" s="101"/>
      <c r="AB127" s="40">
        <v>19120513</v>
      </c>
      <c r="AC127" s="41">
        <v>47800</v>
      </c>
      <c r="AD127" s="63">
        <f>AC127*7/100</f>
        <v>3346</v>
      </c>
      <c r="AE127" s="63">
        <f>AC127+AD127</f>
        <v>51146</v>
      </c>
      <c r="AF127" s="53">
        <v>43819</v>
      </c>
      <c r="AG127" s="39" t="s">
        <v>869</v>
      </c>
      <c r="AH127" s="39"/>
      <c r="AI127" s="39"/>
      <c r="AJ127" s="21" t="s">
        <v>3467</v>
      </c>
      <c r="AK127" s="1051">
        <v>1</v>
      </c>
      <c r="AL127" s="45" t="s">
        <v>598</v>
      </c>
      <c r="AM127" s="46" t="s">
        <v>869</v>
      </c>
      <c r="AN127" s="46"/>
      <c r="AO127" s="47">
        <v>1</v>
      </c>
      <c r="AP127" s="48" t="s">
        <v>633</v>
      </c>
      <c r="AQ127" s="1055"/>
      <c r="AR127" s="54"/>
      <c r="AS127" s="1055"/>
      <c r="AT127" s="1055"/>
      <c r="AU127" s="1055"/>
      <c r="AV127" s="54"/>
      <c r="AW127" s="1055"/>
      <c r="AX127" s="54"/>
      <c r="AY127" s="1055"/>
      <c r="AZ127" s="1055"/>
      <c r="BA127" s="1055"/>
      <c r="BB127" s="54"/>
      <c r="BC127" s="1055"/>
      <c r="BD127" s="54"/>
      <c r="BE127" s="1055"/>
      <c r="BF127" s="1055"/>
      <c r="BG127" s="1055"/>
      <c r="BH127" s="54"/>
      <c r="BI127" s="1055"/>
      <c r="BJ127" s="54"/>
      <c r="BK127" s="1055"/>
      <c r="BL127" s="1055"/>
      <c r="BM127" s="1055"/>
      <c r="BN127" s="54"/>
      <c r="BO127" s="1055"/>
      <c r="BP127" s="54"/>
      <c r="BQ127" s="1055"/>
      <c r="BR127" s="1055"/>
      <c r="BS127" s="1055"/>
      <c r="BT127" s="54"/>
      <c r="BU127" s="1055"/>
      <c r="BV127" s="54"/>
      <c r="BW127" s="1055"/>
      <c r="BX127" s="1055"/>
      <c r="BY127" s="1055"/>
      <c r="BZ127" s="54"/>
      <c r="CA127" s="1055"/>
      <c r="CB127" s="54"/>
      <c r="CC127" s="1055"/>
      <c r="CD127" s="1055"/>
      <c r="CE127" s="1055"/>
      <c r="CF127" s="1055"/>
    </row>
    <row r="128" spans="1:84" x14ac:dyDescent="0.5">
      <c r="A128" s="227">
        <v>19106386</v>
      </c>
      <c r="B128" s="22">
        <v>19100960</v>
      </c>
      <c r="C128" s="23" t="s">
        <v>2889</v>
      </c>
      <c r="D128" s="24" t="s">
        <v>1323</v>
      </c>
      <c r="E128" s="884">
        <v>43759</v>
      </c>
      <c r="F128" s="932" t="s">
        <v>1324</v>
      </c>
      <c r="G128" s="933" t="s">
        <v>2897</v>
      </c>
      <c r="H128" s="62">
        <v>43767</v>
      </c>
      <c r="I128" s="27">
        <v>19342</v>
      </c>
      <c r="J128" s="931" t="s">
        <v>869</v>
      </c>
      <c r="K128" s="957">
        <v>43768</v>
      </c>
      <c r="L128" s="22" t="s">
        <v>1546</v>
      </c>
      <c r="M128" s="28" t="s">
        <v>2890</v>
      </c>
      <c r="N128" s="22" t="s">
        <v>1523</v>
      </c>
      <c r="O128" s="29">
        <v>22200</v>
      </c>
      <c r="P128" s="29">
        <f t="shared" si="28"/>
        <v>1554</v>
      </c>
      <c r="Q128" s="29">
        <f t="shared" si="29"/>
        <v>23754</v>
      </c>
      <c r="R128" s="61"/>
      <c r="S128" s="31"/>
      <c r="T128" s="32"/>
      <c r="U128" s="33"/>
      <c r="V128" s="34"/>
      <c r="W128" s="35"/>
      <c r="X128" s="36"/>
      <c r="Y128" s="36"/>
      <c r="Z128" s="37"/>
      <c r="AA128" s="38"/>
      <c r="AB128" s="40">
        <v>19100444</v>
      </c>
      <c r="AC128" s="41">
        <v>22200</v>
      </c>
      <c r="AD128" s="52">
        <f t="shared" ref="AD128:AD134" si="30">AC128*7/100</f>
        <v>1554</v>
      </c>
      <c r="AE128" s="52">
        <f t="shared" ref="AE128:AE134" si="31">AC128+AD128</f>
        <v>23754</v>
      </c>
      <c r="AF128" s="53">
        <v>43798</v>
      </c>
      <c r="AG128" s="39" t="s">
        <v>869</v>
      </c>
      <c r="AH128" s="39"/>
      <c r="AI128" s="39"/>
      <c r="AJ128" s="21" t="s">
        <v>3301</v>
      </c>
      <c r="AK128" s="1051">
        <v>1</v>
      </c>
      <c r="AL128" s="45" t="s">
        <v>661</v>
      </c>
      <c r="AM128" s="46"/>
      <c r="AN128" s="46" t="s">
        <v>869</v>
      </c>
      <c r="AO128" s="47">
        <v>2</v>
      </c>
      <c r="AP128" s="48" t="s">
        <v>634</v>
      </c>
      <c r="AQ128" s="1055"/>
      <c r="AR128" s="54"/>
      <c r="AS128" s="1055"/>
      <c r="AT128" s="1055"/>
      <c r="AU128" s="1055"/>
      <c r="AV128" s="54"/>
      <c r="AW128" s="1055"/>
      <c r="AX128" s="54"/>
      <c r="AY128" s="1055"/>
      <c r="AZ128" s="1055"/>
      <c r="BA128" s="1055"/>
      <c r="BB128" s="54"/>
      <c r="BC128" s="1055"/>
      <c r="BD128" s="54"/>
      <c r="BE128" s="1055"/>
      <c r="BF128" s="1055"/>
      <c r="BG128" s="1055"/>
      <c r="BH128" s="54"/>
      <c r="BI128" s="1055"/>
      <c r="BJ128" s="54"/>
      <c r="BK128" s="1055"/>
      <c r="BL128" s="1055"/>
      <c r="BM128" s="1055"/>
      <c r="BN128" s="54"/>
      <c r="BO128" s="1055"/>
      <c r="BP128" s="54"/>
      <c r="BQ128" s="1055"/>
      <c r="BR128" s="1055"/>
      <c r="BS128" s="1055"/>
      <c r="BT128" s="54"/>
      <c r="BU128" s="1055"/>
      <c r="BV128" s="54"/>
      <c r="BW128" s="1055"/>
      <c r="BX128" s="1055"/>
      <c r="BY128" s="1055"/>
      <c r="BZ128" s="54"/>
      <c r="CA128" s="1055"/>
      <c r="CB128" s="54"/>
      <c r="CC128" s="1055"/>
      <c r="CD128" s="1055"/>
      <c r="CE128" s="1055"/>
      <c r="CF128" s="1055"/>
    </row>
    <row r="129" spans="1:84" x14ac:dyDescent="0.5">
      <c r="A129" s="259">
        <v>19106385</v>
      </c>
      <c r="B129" s="104">
        <v>19100958</v>
      </c>
      <c r="C129" s="105" t="s">
        <v>2882</v>
      </c>
      <c r="D129" s="106" t="s">
        <v>1323</v>
      </c>
      <c r="E129" s="302">
        <v>43763</v>
      </c>
      <c r="F129" s="946" t="s">
        <v>1324</v>
      </c>
      <c r="G129" s="947" t="s">
        <v>2923</v>
      </c>
      <c r="H129" s="122">
        <v>43756</v>
      </c>
      <c r="I129" s="109">
        <v>19329</v>
      </c>
      <c r="J129" s="960" t="s">
        <v>869</v>
      </c>
      <c r="K129" s="965">
        <v>43757</v>
      </c>
      <c r="L129" s="104" t="s">
        <v>15</v>
      </c>
      <c r="M129" s="110" t="s">
        <v>2883</v>
      </c>
      <c r="N129" s="104" t="s">
        <v>51</v>
      </c>
      <c r="O129" s="111">
        <v>191800</v>
      </c>
      <c r="P129" s="111">
        <f t="shared" si="28"/>
        <v>13426</v>
      </c>
      <c r="Q129" s="111">
        <f t="shared" si="29"/>
        <v>205226</v>
      </c>
      <c r="R129" s="212"/>
      <c r="S129" s="165"/>
      <c r="T129" s="166"/>
      <c r="U129" s="167"/>
      <c r="V129" s="168"/>
      <c r="W129" s="231"/>
      <c r="X129" s="168"/>
      <c r="Y129" s="168"/>
      <c r="Z129" s="231"/>
      <c r="AA129" s="232"/>
      <c r="AB129" s="123">
        <v>19100414</v>
      </c>
      <c r="AC129" s="124">
        <v>77100</v>
      </c>
      <c r="AD129" s="125">
        <f t="shared" si="30"/>
        <v>5397</v>
      </c>
      <c r="AE129" s="125">
        <f t="shared" si="31"/>
        <v>82497</v>
      </c>
      <c r="AF129" s="126">
        <v>43801</v>
      </c>
      <c r="AG129" s="127" t="s">
        <v>869</v>
      </c>
      <c r="AH129" s="127"/>
      <c r="AI129" s="127"/>
      <c r="AJ129" s="103" t="s">
        <v>3295</v>
      </c>
      <c r="AK129" s="128">
        <v>1</v>
      </c>
      <c r="AL129" s="129" t="s">
        <v>2884</v>
      </c>
      <c r="AM129" s="130"/>
      <c r="AN129" s="130" t="s">
        <v>869</v>
      </c>
      <c r="AO129" s="131">
        <v>1</v>
      </c>
      <c r="AP129" s="132" t="s">
        <v>633</v>
      </c>
      <c r="AQ129" s="128">
        <v>2</v>
      </c>
      <c r="AR129" s="123" t="s">
        <v>2885</v>
      </c>
      <c r="AS129" s="131"/>
      <c r="AT129" s="131" t="s">
        <v>869</v>
      </c>
      <c r="AU129" s="131">
        <v>1</v>
      </c>
      <c r="AV129" s="169" t="s">
        <v>633</v>
      </c>
      <c r="AW129" s="128"/>
      <c r="AX129" s="133"/>
      <c r="AY129" s="128"/>
      <c r="AZ129" s="128"/>
      <c r="BA129" s="128"/>
      <c r="BB129" s="133"/>
      <c r="BC129" s="128"/>
      <c r="BD129" s="133"/>
      <c r="BE129" s="128"/>
      <c r="BF129" s="128"/>
      <c r="BG129" s="128"/>
      <c r="BH129" s="133"/>
      <c r="BI129" s="128"/>
      <c r="BJ129" s="133"/>
      <c r="BK129" s="128"/>
      <c r="BL129" s="128"/>
      <c r="BM129" s="128"/>
      <c r="BN129" s="133"/>
      <c r="BO129" s="128"/>
      <c r="BP129" s="133"/>
      <c r="BQ129" s="128"/>
      <c r="BR129" s="128"/>
      <c r="BS129" s="128"/>
      <c r="BT129" s="133"/>
      <c r="BU129" s="128"/>
      <c r="BV129" s="133"/>
      <c r="BW129" s="128"/>
      <c r="BX129" s="128"/>
      <c r="BY129" s="128"/>
      <c r="BZ129" s="133"/>
      <c r="CA129" s="128"/>
      <c r="CB129" s="133"/>
      <c r="CC129" s="128"/>
      <c r="CD129" s="128"/>
      <c r="CE129" s="128"/>
      <c r="CF129" s="128"/>
    </row>
    <row r="130" spans="1:84" x14ac:dyDescent="0.5">
      <c r="A130" s="268"/>
      <c r="B130" s="181"/>
      <c r="C130" s="182"/>
      <c r="D130" s="183"/>
      <c r="E130" s="749"/>
      <c r="F130" s="938" t="s">
        <v>1324</v>
      </c>
      <c r="G130" s="939" t="s">
        <v>2960</v>
      </c>
      <c r="H130" s="186">
        <v>43770</v>
      </c>
      <c r="I130" s="187">
        <v>19352</v>
      </c>
      <c r="J130" s="961"/>
      <c r="K130" s="966">
        <v>43771</v>
      </c>
      <c r="L130" s="181"/>
      <c r="M130" s="188"/>
      <c r="N130" s="181"/>
      <c r="O130" s="189"/>
      <c r="P130" s="189"/>
      <c r="Q130" s="189"/>
      <c r="R130" s="214"/>
      <c r="S130" s="191"/>
      <c r="T130" s="192"/>
      <c r="U130" s="193"/>
      <c r="V130" s="194"/>
      <c r="W130" s="235"/>
      <c r="X130" s="194"/>
      <c r="Y130" s="194"/>
      <c r="Z130" s="235"/>
      <c r="AA130" s="236"/>
      <c r="AB130" s="200">
        <v>19110448</v>
      </c>
      <c r="AC130" s="201">
        <v>114700</v>
      </c>
      <c r="AD130" s="202">
        <f t="shared" si="30"/>
        <v>8029</v>
      </c>
      <c r="AE130" s="202">
        <f t="shared" si="31"/>
        <v>122729</v>
      </c>
      <c r="AF130" s="203">
        <v>43818</v>
      </c>
      <c r="AG130" s="199" t="s">
        <v>869</v>
      </c>
      <c r="AH130" s="199"/>
      <c r="AI130" s="199"/>
      <c r="AJ130" s="180" t="s">
        <v>3295</v>
      </c>
      <c r="AK130" s="204"/>
      <c r="AL130" s="205"/>
      <c r="AM130" s="206"/>
      <c r="AN130" s="206"/>
      <c r="AO130" s="207"/>
      <c r="AP130" s="208"/>
      <c r="AQ130" s="204"/>
      <c r="AR130" s="200"/>
      <c r="AS130" s="207"/>
      <c r="AT130" s="207"/>
      <c r="AU130" s="207"/>
      <c r="AV130" s="209"/>
      <c r="AW130" s="204"/>
      <c r="AX130" s="210"/>
      <c r="AY130" s="204"/>
      <c r="AZ130" s="204"/>
      <c r="BA130" s="204"/>
      <c r="BB130" s="210"/>
      <c r="BC130" s="204"/>
      <c r="BD130" s="210"/>
      <c r="BE130" s="204"/>
      <c r="BF130" s="204"/>
      <c r="BG130" s="204"/>
      <c r="BH130" s="210"/>
      <c r="BI130" s="204"/>
      <c r="BJ130" s="210"/>
      <c r="BK130" s="204"/>
      <c r="BL130" s="204"/>
      <c r="BM130" s="204"/>
      <c r="BN130" s="210"/>
      <c r="BO130" s="204"/>
      <c r="BP130" s="210"/>
      <c r="BQ130" s="204"/>
      <c r="BR130" s="204"/>
      <c r="BS130" s="204"/>
      <c r="BT130" s="210"/>
      <c r="BU130" s="204"/>
      <c r="BV130" s="210"/>
      <c r="BW130" s="204"/>
      <c r="BX130" s="204"/>
      <c r="BY130" s="204"/>
      <c r="BZ130" s="210"/>
      <c r="CA130" s="204"/>
      <c r="CB130" s="210"/>
      <c r="CC130" s="204"/>
      <c r="CD130" s="204"/>
      <c r="CE130" s="204"/>
      <c r="CF130" s="204"/>
    </row>
    <row r="131" spans="1:84" x14ac:dyDescent="0.5">
      <c r="A131" s="227">
        <v>19106384</v>
      </c>
      <c r="B131" s="22">
        <v>19106384</v>
      </c>
      <c r="C131" s="23" t="s">
        <v>2870</v>
      </c>
      <c r="D131" s="24" t="s">
        <v>1323</v>
      </c>
      <c r="E131" s="884">
        <v>43755</v>
      </c>
      <c r="F131" s="932" t="s">
        <v>1324</v>
      </c>
      <c r="G131" s="933" t="s">
        <v>2916</v>
      </c>
      <c r="H131" s="62">
        <v>43759</v>
      </c>
      <c r="I131" s="27">
        <v>19330</v>
      </c>
      <c r="J131" s="931" t="s">
        <v>869</v>
      </c>
      <c r="K131" s="957">
        <v>43759</v>
      </c>
      <c r="L131" s="22" t="s">
        <v>15</v>
      </c>
      <c r="M131" s="28" t="s">
        <v>2886</v>
      </c>
      <c r="N131" s="22" t="s">
        <v>51</v>
      </c>
      <c r="O131" s="29">
        <v>77720</v>
      </c>
      <c r="P131" s="29">
        <f t="shared" si="28"/>
        <v>5440.4</v>
      </c>
      <c r="Q131" s="29">
        <f t="shared" si="29"/>
        <v>83160.399999999994</v>
      </c>
      <c r="R131" s="61"/>
      <c r="S131" s="96"/>
      <c r="T131" s="97"/>
      <c r="U131" s="98"/>
      <c r="V131" s="99"/>
      <c r="W131" s="100"/>
      <c r="X131" s="99"/>
      <c r="Y131" s="99"/>
      <c r="Z131" s="100"/>
      <c r="AA131" s="101"/>
      <c r="AB131" s="40">
        <v>19100415</v>
      </c>
      <c r="AC131" s="41">
        <v>77720</v>
      </c>
      <c r="AD131" s="52">
        <f t="shared" si="30"/>
        <v>5440.4</v>
      </c>
      <c r="AE131" s="52">
        <f t="shared" si="31"/>
        <v>83160.399999999994</v>
      </c>
      <c r="AF131" s="53">
        <v>43801</v>
      </c>
      <c r="AG131" s="39" t="s">
        <v>869</v>
      </c>
      <c r="AH131" s="39"/>
      <c r="AI131" s="39"/>
      <c r="AJ131" s="21" t="s">
        <v>3296</v>
      </c>
      <c r="AK131" s="1032">
        <v>1</v>
      </c>
      <c r="AL131" s="45" t="s">
        <v>739</v>
      </c>
      <c r="AM131" s="46"/>
      <c r="AN131" s="46" t="s">
        <v>869</v>
      </c>
      <c r="AO131" s="47">
        <v>1</v>
      </c>
      <c r="AP131" s="48" t="s">
        <v>633</v>
      </c>
      <c r="AQ131" s="1032">
        <v>2</v>
      </c>
      <c r="AR131" s="40" t="s">
        <v>2887</v>
      </c>
      <c r="AS131" s="47"/>
      <c r="AT131" s="47" t="s">
        <v>869</v>
      </c>
      <c r="AU131" s="47">
        <v>1</v>
      </c>
      <c r="AV131" s="49" t="s">
        <v>633</v>
      </c>
      <c r="AW131" s="1032">
        <v>3</v>
      </c>
      <c r="AX131" s="40" t="s">
        <v>2888</v>
      </c>
      <c r="AY131" s="47"/>
      <c r="AZ131" s="47" t="s">
        <v>869</v>
      </c>
      <c r="BA131" s="47">
        <v>1</v>
      </c>
      <c r="BB131" s="49" t="s">
        <v>633</v>
      </c>
      <c r="BC131" s="1055"/>
      <c r="BD131" s="54"/>
      <c r="BE131" s="1055"/>
      <c r="BF131" s="1055"/>
      <c r="BG131" s="1055"/>
      <c r="BH131" s="54"/>
      <c r="BI131" s="1055"/>
      <c r="BJ131" s="54"/>
      <c r="BK131" s="1055"/>
      <c r="BL131" s="1055"/>
      <c r="BM131" s="1055"/>
      <c r="BN131" s="54"/>
      <c r="BO131" s="1055"/>
      <c r="BP131" s="54"/>
      <c r="BQ131" s="1055"/>
      <c r="BR131" s="1055"/>
      <c r="BS131" s="1055"/>
      <c r="BT131" s="54"/>
      <c r="BU131" s="1055"/>
      <c r="BV131" s="54"/>
      <c r="BW131" s="1055"/>
      <c r="BX131" s="1055"/>
      <c r="BY131" s="1055"/>
      <c r="BZ131" s="54"/>
      <c r="CA131" s="1055"/>
      <c r="CB131" s="54"/>
      <c r="CC131" s="1055"/>
      <c r="CD131" s="1055"/>
      <c r="CE131" s="1055"/>
      <c r="CF131" s="1055"/>
    </row>
    <row r="132" spans="1:84" x14ac:dyDescent="0.5">
      <c r="A132" s="259">
        <v>19106383</v>
      </c>
      <c r="B132" s="104">
        <v>19100952</v>
      </c>
      <c r="C132" s="105" t="s">
        <v>2820</v>
      </c>
      <c r="D132" s="106" t="s">
        <v>1323</v>
      </c>
      <c r="E132" s="302">
        <v>43762</v>
      </c>
      <c r="F132" s="936" t="s">
        <v>1324</v>
      </c>
      <c r="G132" s="937" t="s">
        <v>2919</v>
      </c>
      <c r="H132" s="211">
        <v>43762</v>
      </c>
      <c r="I132" s="164">
        <v>19340</v>
      </c>
      <c r="J132" s="960" t="s">
        <v>869</v>
      </c>
      <c r="K132" s="965">
        <v>43763</v>
      </c>
      <c r="L132" s="104" t="s">
        <v>2821</v>
      </c>
      <c r="M132" s="110" t="s">
        <v>2822</v>
      </c>
      <c r="N132" s="104" t="s">
        <v>52</v>
      </c>
      <c r="O132" s="111">
        <v>68000</v>
      </c>
      <c r="P132" s="111">
        <f t="shared" si="28"/>
        <v>4760</v>
      </c>
      <c r="Q132" s="111">
        <f t="shared" si="29"/>
        <v>72760</v>
      </c>
      <c r="R132" s="311">
        <v>6600</v>
      </c>
      <c r="S132" s="113"/>
      <c r="T132" s="114">
        <f>O132-R132</f>
        <v>61400</v>
      </c>
      <c r="U132" s="115"/>
      <c r="V132" s="116"/>
      <c r="W132" s="117"/>
      <c r="X132" s="118"/>
      <c r="Y132" s="118"/>
      <c r="Z132" s="119"/>
      <c r="AA132" s="120"/>
      <c r="AB132" s="229">
        <v>19100417</v>
      </c>
      <c r="AC132" s="230">
        <v>20400</v>
      </c>
      <c r="AD132" s="220">
        <f t="shared" si="30"/>
        <v>1428</v>
      </c>
      <c r="AE132" s="220">
        <f t="shared" si="31"/>
        <v>21828</v>
      </c>
      <c r="AF132" s="221">
        <v>43759</v>
      </c>
      <c r="AG132" s="121" t="s">
        <v>869</v>
      </c>
      <c r="AH132" s="121"/>
      <c r="AI132" s="121"/>
      <c r="AJ132" s="979" t="s">
        <v>3049</v>
      </c>
      <c r="AK132" s="128">
        <v>1</v>
      </c>
      <c r="AL132" s="129" t="s">
        <v>1606</v>
      </c>
      <c r="AM132" s="130" t="s">
        <v>869</v>
      </c>
      <c r="AN132" s="130"/>
      <c r="AO132" s="131">
        <v>8</v>
      </c>
      <c r="AP132" s="132" t="s">
        <v>636</v>
      </c>
      <c r="AQ132" s="128"/>
      <c r="AR132" s="133"/>
      <c r="AS132" s="128"/>
      <c r="AT132" s="128"/>
      <c r="AU132" s="128"/>
      <c r="AV132" s="133"/>
      <c r="AW132" s="128"/>
      <c r="AX132" s="133"/>
      <c r="AY132" s="128"/>
      <c r="AZ132" s="128"/>
      <c r="BA132" s="128"/>
      <c r="BB132" s="133"/>
      <c r="BC132" s="128"/>
      <c r="BD132" s="133"/>
      <c r="BE132" s="128"/>
      <c r="BF132" s="128"/>
      <c r="BG132" s="128"/>
      <c r="BH132" s="133"/>
      <c r="BI132" s="128"/>
      <c r="BJ132" s="133"/>
      <c r="BK132" s="128"/>
      <c r="BL132" s="128"/>
      <c r="BM132" s="128"/>
      <c r="BN132" s="133"/>
      <c r="BO132" s="128"/>
      <c r="BP132" s="133"/>
      <c r="BQ132" s="128"/>
      <c r="BR132" s="128"/>
      <c r="BS132" s="128"/>
      <c r="BT132" s="133"/>
      <c r="BU132" s="128"/>
      <c r="BV132" s="133"/>
      <c r="BW132" s="128"/>
      <c r="BX132" s="128"/>
      <c r="BY132" s="128"/>
      <c r="BZ132" s="133"/>
      <c r="CA132" s="128"/>
      <c r="CB132" s="133"/>
      <c r="CC132" s="128"/>
      <c r="CD132" s="128"/>
      <c r="CE132" s="128"/>
      <c r="CF132" s="128"/>
    </row>
    <row r="133" spans="1:84" x14ac:dyDescent="0.5">
      <c r="A133" s="268"/>
      <c r="B133" s="181"/>
      <c r="C133" s="182"/>
      <c r="D133" s="183"/>
      <c r="E133" s="749"/>
      <c r="F133" s="938"/>
      <c r="G133" s="939"/>
      <c r="H133" s="186">
        <v>43762</v>
      </c>
      <c r="I133" s="187">
        <v>19341</v>
      </c>
      <c r="J133" s="961"/>
      <c r="K133" s="966"/>
      <c r="L133" s="181"/>
      <c r="M133" s="188"/>
      <c r="N133" s="181"/>
      <c r="O133" s="189"/>
      <c r="P133" s="189"/>
      <c r="Q133" s="189"/>
      <c r="R133" s="190"/>
      <c r="S133" s="215"/>
      <c r="T133" s="216"/>
      <c r="U133" s="217"/>
      <c r="V133" s="218"/>
      <c r="W133" s="195"/>
      <c r="X133" s="196"/>
      <c r="Y133" s="196"/>
      <c r="Z133" s="197"/>
      <c r="AA133" s="198"/>
      <c r="AB133" s="200">
        <v>19100418</v>
      </c>
      <c r="AC133" s="201">
        <v>47600</v>
      </c>
      <c r="AD133" s="202">
        <f t="shared" si="30"/>
        <v>3332</v>
      </c>
      <c r="AE133" s="202">
        <f t="shared" si="31"/>
        <v>50932</v>
      </c>
      <c r="AF133" s="203">
        <v>43759</v>
      </c>
      <c r="AG133" s="199" t="s">
        <v>869</v>
      </c>
      <c r="AH133" s="199"/>
      <c r="AI133" s="199"/>
      <c r="AJ133" s="843" t="s">
        <v>3034</v>
      </c>
      <c r="AK133" s="204"/>
      <c r="AL133" s="205"/>
      <c r="AM133" s="206"/>
      <c r="AN133" s="206"/>
      <c r="AO133" s="207"/>
      <c r="AP133" s="208"/>
      <c r="AQ133" s="204"/>
      <c r="AR133" s="210"/>
      <c r="AS133" s="204"/>
      <c r="AT133" s="204"/>
      <c r="AU133" s="204"/>
      <c r="AV133" s="210"/>
      <c r="AW133" s="204"/>
      <c r="AX133" s="210"/>
      <c r="AY133" s="204"/>
      <c r="AZ133" s="204"/>
      <c r="BA133" s="204"/>
      <c r="BB133" s="210"/>
      <c r="BC133" s="204"/>
      <c r="BD133" s="210"/>
      <c r="BE133" s="204"/>
      <c r="BF133" s="204"/>
      <c r="BG133" s="204"/>
      <c r="BH133" s="210"/>
      <c r="BI133" s="204"/>
      <c r="BJ133" s="210"/>
      <c r="BK133" s="204"/>
      <c r="BL133" s="204"/>
      <c r="BM133" s="204"/>
      <c r="BN133" s="210"/>
      <c r="BO133" s="204"/>
      <c r="BP133" s="210"/>
      <c r="BQ133" s="204"/>
      <c r="BR133" s="204"/>
      <c r="BS133" s="204"/>
      <c r="BT133" s="210"/>
      <c r="BU133" s="204"/>
      <c r="BV133" s="210"/>
      <c r="BW133" s="204"/>
      <c r="BX133" s="204"/>
      <c r="BY133" s="204"/>
      <c r="BZ133" s="210"/>
      <c r="CA133" s="204"/>
      <c r="CB133" s="210"/>
      <c r="CC133" s="204"/>
      <c r="CD133" s="204"/>
      <c r="CE133" s="204"/>
      <c r="CF133" s="204"/>
    </row>
    <row r="134" spans="1:84" x14ac:dyDescent="0.5">
      <c r="A134" s="227">
        <v>19106382</v>
      </c>
      <c r="B134" s="22">
        <v>19100924</v>
      </c>
      <c r="C134" s="55"/>
      <c r="D134" s="56"/>
      <c r="E134" s="910"/>
      <c r="F134" s="57"/>
      <c r="G134" s="58"/>
      <c r="H134" s="59"/>
      <c r="I134" s="60"/>
      <c r="J134" s="269"/>
      <c r="K134" s="59"/>
      <c r="L134" s="22" t="s">
        <v>2828</v>
      </c>
      <c r="M134" s="28" t="s">
        <v>2513</v>
      </c>
      <c r="N134" s="22" t="s">
        <v>51</v>
      </c>
      <c r="O134" s="29">
        <v>17500</v>
      </c>
      <c r="P134" s="29">
        <f t="shared" si="28"/>
        <v>1225</v>
      </c>
      <c r="Q134" s="29">
        <f t="shared" si="29"/>
        <v>18725</v>
      </c>
      <c r="R134" s="61"/>
      <c r="S134" s="96"/>
      <c r="T134" s="97"/>
      <c r="U134" s="98"/>
      <c r="V134" s="99"/>
      <c r="W134" s="100"/>
      <c r="X134" s="99"/>
      <c r="Y134" s="99"/>
      <c r="Z134" s="100"/>
      <c r="AA134" s="101"/>
      <c r="AB134" s="40">
        <v>19110471</v>
      </c>
      <c r="AC134" s="41">
        <v>17500</v>
      </c>
      <c r="AD134" s="63">
        <f t="shared" si="30"/>
        <v>1225</v>
      </c>
      <c r="AE134" s="63">
        <f t="shared" si="31"/>
        <v>18725</v>
      </c>
      <c r="AF134" s="53">
        <v>43813</v>
      </c>
      <c r="AG134" s="39" t="s">
        <v>869</v>
      </c>
      <c r="AH134" s="39"/>
      <c r="AI134" s="39"/>
      <c r="AJ134" s="21" t="s">
        <v>3809</v>
      </c>
      <c r="AK134" s="1050">
        <v>1</v>
      </c>
      <c r="AL134" s="45" t="s">
        <v>2829</v>
      </c>
      <c r="AM134" s="46"/>
      <c r="AN134" s="46"/>
      <c r="AO134" s="47">
        <v>6</v>
      </c>
      <c r="AP134" s="48" t="s">
        <v>628</v>
      </c>
      <c r="AQ134" s="1050">
        <v>2</v>
      </c>
      <c r="AR134" s="40" t="s">
        <v>2830</v>
      </c>
      <c r="AS134" s="47"/>
      <c r="AT134" s="47"/>
      <c r="AU134" s="47">
        <v>1</v>
      </c>
      <c r="AV134" s="49" t="s">
        <v>628</v>
      </c>
      <c r="AW134" s="1050">
        <v>3</v>
      </c>
      <c r="AX134" s="40" t="s">
        <v>2831</v>
      </c>
      <c r="AY134" s="47"/>
      <c r="AZ134" s="47"/>
      <c r="BA134" s="47">
        <v>1</v>
      </c>
      <c r="BB134" s="49" t="s">
        <v>628</v>
      </c>
      <c r="BC134" s="1052"/>
      <c r="BD134" s="54"/>
      <c r="BE134" s="1052"/>
      <c r="BF134" s="1052"/>
      <c r="BG134" s="1052"/>
      <c r="BH134" s="54"/>
      <c r="BI134" s="1052"/>
      <c r="BJ134" s="54"/>
      <c r="BK134" s="1052"/>
      <c r="BL134" s="1052"/>
      <c r="BM134" s="1052"/>
      <c r="BN134" s="54"/>
      <c r="BO134" s="1052"/>
      <c r="BP134" s="54"/>
      <c r="BQ134" s="1052"/>
      <c r="BR134" s="1052"/>
      <c r="BS134" s="1052"/>
      <c r="BT134" s="54"/>
      <c r="BU134" s="1052"/>
      <c r="BV134" s="54"/>
      <c r="BW134" s="1052"/>
      <c r="BX134" s="1052"/>
      <c r="BY134" s="1052"/>
      <c r="BZ134" s="54"/>
      <c r="CA134" s="1052"/>
      <c r="CB134" s="54"/>
      <c r="CC134" s="1052"/>
      <c r="CD134" s="1052"/>
      <c r="CE134" s="1052"/>
      <c r="CF134" s="1052"/>
    </row>
    <row r="135" spans="1:84" x14ac:dyDescent="0.5">
      <c r="A135" s="227">
        <v>19106381</v>
      </c>
      <c r="B135" s="22">
        <v>19100921</v>
      </c>
      <c r="C135" s="55"/>
      <c r="D135" s="56"/>
      <c r="E135" s="910"/>
      <c r="F135" s="57"/>
      <c r="G135" s="58"/>
      <c r="H135" s="59"/>
      <c r="I135" s="60"/>
      <c r="J135" s="269"/>
      <c r="K135" s="59"/>
      <c r="L135" s="22" t="s">
        <v>2819</v>
      </c>
      <c r="M135" s="28" t="s">
        <v>2823</v>
      </c>
      <c r="N135" s="22" t="s">
        <v>2645</v>
      </c>
      <c r="O135" s="29">
        <v>2400</v>
      </c>
      <c r="P135" s="29">
        <f t="shared" si="28"/>
        <v>168</v>
      </c>
      <c r="Q135" s="29">
        <f t="shared" si="29"/>
        <v>2568</v>
      </c>
      <c r="R135" s="61"/>
      <c r="S135" s="96"/>
      <c r="T135" s="97"/>
      <c r="U135" s="98"/>
      <c r="V135" s="99"/>
      <c r="W135" s="100"/>
      <c r="X135" s="99"/>
      <c r="Y135" s="99"/>
      <c r="Z135" s="100"/>
      <c r="AA135" s="101"/>
      <c r="AB135" s="40">
        <v>19100389</v>
      </c>
      <c r="AC135" s="41">
        <v>2400</v>
      </c>
      <c r="AD135" s="52">
        <f>AC135*7/100</f>
        <v>168</v>
      </c>
      <c r="AE135" s="52">
        <f>AC135+AD135</f>
        <v>2568</v>
      </c>
      <c r="AF135" s="53">
        <v>43745</v>
      </c>
      <c r="AG135" s="39" t="s">
        <v>869</v>
      </c>
      <c r="AH135" s="39"/>
      <c r="AI135" s="39"/>
      <c r="AJ135" s="21" t="s">
        <v>3071</v>
      </c>
      <c r="AK135" s="1050">
        <v>1</v>
      </c>
      <c r="AL135" s="45" t="s">
        <v>2824</v>
      </c>
      <c r="AM135" s="46"/>
      <c r="AN135" s="46"/>
      <c r="AO135" s="47">
        <v>1</v>
      </c>
      <c r="AP135" s="48" t="s">
        <v>628</v>
      </c>
      <c r="AQ135" s="1052"/>
      <c r="AR135" s="54"/>
      <c r="AS135" s="1052"/>
      <c r="AT135" s="1052"/>
      <c r="AU135" s="1052"/>
      <c r="AV135" s="54"/>
      <c r="AW135" s="1052"/>
      <c r="AX135" s="54"/>
      <c r="AY135" s="1052"/>
      <c r="AZ135" s="1052"/>
      <c r="BA135" s="1052"/>
      <c r="BB135" s="54"/>
      <c r="BC135" s="1052"/>
      <c r="BD135" s="54"/>
      <c r="BE135" s="1052"/>
      <c r="BF135" s="1052"/>
      <c r="BG135" s="1052"/>
      <c r="BH135" s="54"/>
      <c r="BI135" s="1052"/>
      <c r="BJ135" s="54"/>
      <c r="BK135" s="1052"/>
      <c r="BL135" s="1052"/>
      <c r="BM135" s="1052"/>
      <c r="BN135" s="54"/>
      <c r="BO135" s="1052"/>
      <c r="BP135" s="54"/>
      <c r="BQ135" s="1052"/>
      <c r="BR135" s="1052"/>
      <c r="BS135" s="1052"/>
      <c r="BT135" s="54"/>
      <c r="BU135" s="1052"/>
      <c r="BV135" s="54"/>
      <c r="BW135" s="1052"/>
      <c r="BX135" s="1052"/>
      <c r="BY135" s="1052"/>
      <c r="BZ135" s="54"/>
      <c r="CA135" s="1052"/>
      <c r="CB135" s="54"/>
      <c r="CC135" s="1052"/>
      <c r="CD135" s="1052"/>
      <c r="CE135" s="1052"/>
      <c r="CF135" s="1052"/>
    </row>
    <row r="136" spans="1:84" x14ac:dyDescent="0.5">
      <c r="A136" s="259" t="s">
        <v>2892</v>
      </c>
      <c r="B136" s="104">
        <v>19100951</v>
      </c>
      <c r="C136" s="1056" t="s">
        <v>2871</v>
      </c>
      <c r="D136" s="1057" t="s">
        <v>1323</v>
      </c>
      <c r="E136" s="1058">
        <v>43789</v>
      </c>
      <c r="F136" s="936" t="s">
        <v>1324</v>
      </c>
      <c r="G136" s="937" t="s">
        <v>2880</v>
      </c>
      <c r="H136" s="1067">
        <v>43754</v>
      </c>
      <c r="I136" s="1068">
        <v>19323</v>
      </c>
      <c r="J136" s="960" t="s">
        <v>869</v>
      </c>
      <c r="K136" s="965">
        <v>43756</v>
      </c>
      <c r="L136" s="104" t="s">
        <v>2893</v>
      </c>
      <c r="M136" s="110" t="s">
        <v>2894</v>
      </c>
      <c r="N136" s="104" t="s">
        <v>52</v>
      </c>
      <c r="O136" s="111">
        <v>100000</v>
      </c>
      <c r="P136" s="111" t="s">
        <v>402</v>
      </c>
      <c r="Q136" s="111">
        <f>O136</f>
        <v>100000</v>
      </c>
      <c r="R136" s="212"/>
      <c r="S136" s="113"/>
      <c r="T136" s="114"/>
      <c r="U136" s="115"/>
      <c r="V136" s="116"/>
      <c r="W136" s="1059"/>
      <c r="X136" s="1060"/>
      <c r="Y136" s="1060"/>
      <c r="Z136" s="119"/>
      <c r="AA136" s="120"/>
      <c r="AB136" s="123"/>
      <c r="AC136" s="124"/>
      <c r="AD136" s="125"/>
      <c r="AE136" s="125"/>
      <c r="AF136" s="126"/>
      <c r="AG136" s="127" t="s">
        <v>869</v>
      </c>
      <c r="AH136" s="127"/>
      <c r="AI136" s="127"/>
      <c r="AJ136" s="103"/>
      <c r="AK136" s="128">
        <v>1</v>
      </c>
      <c r="AL136" s="129" t="s">
        <v>593</v>
      </c>
      <c r="AM136" s="130"/>
      <c r="AN136" s="130" t="s">
        <v>869</v>
      </c>
      <c r="AO136" s="131">
        <v>4</v>
      </c>
      <c r="AP136" s="132" t="s">
        <v>634</v>
      </c>
      <c r="AQ136" s="128"/>
      <c r="AR136" s="133"/>
      <c r="AS136" s="128"/>
      <c r="AT136" s="128"/>
      <c r="AU136" s="128"/>
      <c r="AV136" s="133"/>
      <c r="AW136" s="128"/>
      <c r="AX136" s="133"/>
      <c r="AY136" s="128"/>
      <c r="AZ136" s="128"/>
      <c r="BA136" s="128"/>
      <c r="BB136" s="133"/>
      <c r="BC136" s="128"/>
      <c r="BD136" s="133"/>
      <c r="BE136" s="128"/>
      <c r="BF136" s="128"/>
      <c r="BG136" s="128"/>
      <c r="BH136" s="133"/>
      <c r="BI136" s="128"/>
      <c r="BJ136" s="133"/>
      <c r="BK136" s="128"/>
      <c r="BL136" s="128"/>
      <c r="BM136" s="128"/>
      <c r="BN136" s="133"/>
      <c r="BO136" s="128"/>
      <c r="BP136" s="133"/>
      <c r="BQ136" s="128"/>
      <c r="BR136" s="128"/>
      <c r="BS136" s="128"/>
      <c r="BT136" s="133"/>
      <c r="BU136" s="128"/>
      <c r="BV136" s="133"/>
      <c r="BW136" s="128"/>
      <c r="BX136" s="128"/>
      <c r="BY136" s="128"/>
      <c r="BZ136" s="133"/>
      <c r="CA136" s="128"/>
      <c r="CB136" s="133"/>
      <c r="CC136" s="128"/>
      <c r="CD136" s="128"/>
      <c r="CE136" s="128"/>
      <c r="CF136" s="128"/>
    </row>
    <row r="137" spans="1:84" x14ac:dyDescent="0.5">
      <c r="A137" s="262"/>
      <c r="B137" s="135"/>
      <c r="C137" s="1069"/>
      <c r="D137" s="1070"/>
      <c r="E137" s="1065"/>
      <c r="F137" s="940"/>
      <c r="G137" s="941"/>
      <c r="H137" s="1065">
        <v>43754</v>
      </c>
      <c r="I137" s="1066">
        <v>19324</v>
      </c>
      <c r="J137" s="963"/>
      <c r="K137" s="964"/>
      <c r="L137" s="135"/>
      <c r="M137" s="141"/>
      <c r="N137" s="135"/>
      <c r="O137" s="142"/>
      <c r="P137" s="142"/>
      <c r="Q137" s="142"/>
      <c r="R137" s="213"/>
      <c r="S137" s="144"/>
      <c r="T137" s="145"/>
      <c r="U137" s="146"/>
      <c r="V137" s="147"/>
      <c r="W137" s="1071"/>
      <c r="X137" s="1072"/>
      <c r="Y137" s="1072"/>
      <c r="Z137" s="150"/>
      <c r="AA137" s="151"/>
      <c r="AB137" s="154"/>
      <c r="AC137" s="155"/>
      <c r="AD137" s="156"/>
      <c r="AE137" s="156"/>
      <c r="AF137" s="157"/>
      <c r="AG137" s="152"/>
      <c r="AH137" s="152"/>
      <c r="AI137" s="152"/>
      <c r="AJ137" s="134"/>
      <c r="AK137" s="158"/>
      <c r="AL137" s="159"/>
      <c r="AM137" s="160"/>
      <c r="AN137" s="160"/>
      <c r="AO137" s="161"/>
      <c r="AP137" s="162"/>
      <c r="AQ137" s="158"/>
      <c r="AR137" s="163"/>
      <c r="AS137" s="158"/>
      <c r="AT137" s="158"/>
      <c r="AU137" s="158"/>
      <c r="AV137" s="163"/>
      <c r="AW137" s="158"/>
      <c r="AX137" s="163"/>
      <c r="AY137" s="158"/>
      <c r="AZ137" s="158"/>
      <c r="BA137" s="158"/>
      <c r="BB137" s="163"/>
      <c r="BC137" s="158"/>
      <c r="BD137" s="163"/>
      <c r="BE137" s="158"/>
      <c r="BF137" s="158"/>
      <c r="BG137" s="158"/>
      <c r="BH137" s="163"/>
      <c r="BI137" s="158"/>
      <c r="BJ137" s="163"/>
      <c r="BK137" s="158"/>
      <c r="BL137" s="158"/>
      <c r="BM137" s="158"/>
      <c r="BN137" s="163"/>
      <c r="BO137" s="158"/>
      <c r="BP137" s="163"/>
      <c r="BQ137" s="158"/>
      <c r="BR137" s="158"/>
      <c r="BS137" s="158"/>
      <c r="BT137" s="163"/>
      <c r="BU137" s="158"/>
      <c r="BV137" s="163"/>
      <c r="BW137" s="158"/>
      <c r="BX137" s="158"/>
      <c r="BY137" s="158"/>
      <c r="BZ137" s="163"/>
      <c r="CA137" s="158"/>
      <c r="CB137" s="163"/>
      <c r="CC137" s="158"/>
      <c r="CD137" s="158"/>
      <c r="CE137" s="158"/>
      <c r="CF137" s="158"/>
    </row>
    <row r="138" spans="1:84" x14ac:dyDescent="0.5">
      <c r="A138" s="259">
        <v>19106380</v>
      </c>
      <c r="B138" s="104" t="s">
        <v>2825</v>
      </c>
      <c r="C138" s="105" t="s">
        <v>2826</v>
      </c>
      <c r="D138" s="106" t="s">
        <v>1323</v>
      </c>
      <c r="E138" s="302">
        <v>43763</v>
      </c>
      <c r="F138" s="936" t="s">
        <v>1324</v>
      </c>
      <c r="G138" s="937" t="s">
        <v>2995</v>
      </c>
      <c r="H138" s="211">
        <v>43788</v>
      </c>
      <c r="I138" s="164">
        <v>19362</v>
      </c>
      <c r="J138" s="960" t="s">
        <v>869</v>
      </c>
      <c r="K138" s="965">
        <v>43789</v>
      </c>
      <c r="L138" s="104" t="s">
        <v>2818</v>
      </c>
      <c r="M138" s="110" t="s">
        <v>2827</v>
      </c>
      <c r="N138" s="104" t="s">
        <v>52</v>
      </c>
      <c r="O138" s="111">
        <v>420000</v>
      </c>
      <c r="P138" s="111">
        <f t="shared" si="28"/>
        <v>29400</v>
      </c>
      <c r="Q138" s="111">
        <f t="shared" si="29"/>
        <v>449400</v>
      </c>
      <c r="R138" s="311">
        <v>28000</v>
      </c>
      <c r="S138" s="113"/>
      <c r="T138" s="114">
        <f>O138-R138</f>
        <v>392000</v>
      </c>
      <c r="U138" s="115"/>
      <c r="V138" s="116"/>
      <c r="W138" s="117"/>
      <c r="X138" s="118"/>
      <c r="Y138" s="118"/>
      <c r="Z138" s="119"/>
      <c r="AA138" s="120"/>
      <c r="AB138" s="229">
        <v>19100384</v>
      </c>
      <c r="AC138" s="230">
        <v>294000</v>
      </c>
      <c r="AD138" s="220">
        <f>AC138*7/100</f>
        <v>20580</v>
      </c>
      <c r="AE138" s="220">
        <f>AC138+AD138</f>
        <v>314580</v>
      </c>
      <c r="AF138" s="221">
        <v>43800</v>
      </c>
      <c r="AG138" s="121" t="s">
        <v>869</v>
      </c>
      <c r="AH138" s="121"/>
      <c r="AI138" s="121"/>
      <c r="AJ138" s="979" t="s">
        <v>3461</v>
      </c>
      <c r="AK138" s="128">
        <v>1</v>
      </c>
      <c r="AL138" s="129" t="s">
        <v>713</v>
      </c>
      <c r="AM138" s="130" t="s">
        <v>869</v>
      </c>
      <c r="AN138" s="130"/>
      <c r="AO138" s="131">
        <v>2</v>
      </c>
      <c r="AP138" s="132" t="s">
        <v>636</v>
      </c>
      <c r="AQ138" s="128"/>
      <c r="AR138" s="133"/>
      <c r="AS138" s="128"/>
      <c r="AT138" s="128"/>
      <c r="AU138" s="128"/>
      <c r="AV138" s="133"/>
      <c r="AW138" s="128"/>
      <c r="AX138" s="133"/>
      <c r="AY138" s="128"/>
      <c r="AZ138" s="128"/>
      <c r="BA138" s="128"/>
      <c r="BB138" s="133"/>
      <c r="BC138" s="128"/>
      <c r="BD138" s="133"/>
      <c r="BE138" s="128"/>
      <c r="BF138" s="128"/>
      <c r="BG138" s="128"/>
      <c r="BH138" s="133"/>
      <c r="BI138" s="128"/>
      <c r="BJ138" s="133"/>
      <c r="BK138" s="128"/>
      <c r="BL138" s="128"/>
      <c r="BM138" s="128"/>
      <c r="BN138" s="133"/>
      <c r="BO138" s="128"/>
      <c r="BP138" s="133"/>
      <c r="BQ138" s="128"/>
      <c r="BR138" s="128"/>
      <c r="BS138" s="128"/>
      <c r="BT138" s="133"/>
      <c r="BU138" s="128"/>
      <c r="BV138" s="133"/>
      <c r="BW138" s="128"/>
      <c r="BX138" s="128"/>
      <c r="BY138" s="128"/>
      <c r="BZ138" s="133"/>
      <c r="CA138" s="128"/>
      <c r="CB138" s="133"/>
      <c r="CC138" s="128"/>
      <c r="CD138" s="128"/>
      <c r="CE138" s="128"/>
      <c r="CF138" s="128"/>
    </row>
    <row r="139" spans="1:84" x14ac:dyDescent="0.5">
      <c r="A139" s="268"/>
      <c r="B139" s="181"/>
      <c r="C139" s="182"/>
      <c r="D139" s="183"/>
      <c r="E139" s="749"/>
      <c r="F139" s="938"/>
      <c r="G139" s="939"/>
      <c r="H139" s="186">
        <v>43788</v>
      </c>
      <c r="I139" s="187">
        <v>19363</v>
      </c>
      <c r="J139" s="961"/>
      <c r="K139" s="200"/>
      <c r="L139" s="181"/>
      <c r="M139" s="188"/>
      <c r="N139" s="181"/>
      <c r="O139" s="189"/>
      <c r="P139" s="189"/>
      <c r="Q139" s="189"/>
      <c r="R139" s="190"/>
      <c r="S139" s="215"/>
      <c r="T139" s="216"/>
      <c r="U139" s="217"/>
      <c r="V139" s="218"/>
      <c r="W139" s="195"/>
      <c r="X139" s="196"/>
      <c r="Y139" s="196"/>
      <c r="Z139" s="197"/>
      <c r="AA139" s="198"/>
      <c r="AB139" s="200">
        <v>19100385</v>
      </c>
      <c r="AC139" s="201">
        <v>126000</v>
      </c>
      <c r="AD139" s="202">
        <f>AC139*7/100</f>
        <v>8820</v>
      </c>
      <c r="AE139" s="202">
        <f>AC139+AD139</f>
        <v>134820</v>
      </c>
      <c r="AF139" s="203">
        <v>43740</v>
      </c>
      <c r="AG139" s="199" t="s">
        <v>869</v>
      </c>
      <c r="AH139" s="199"/>
      <c r="AI139" s="199"/>
      <c r="AJ139" s="843" t="s">
        <v>3344</v>
      </c>
      <c r="AK139" s="204"/>
      <c r="AL139" s="205"/>
      <c r="AM139" s="206"/>
      <c r="AN139" s="206"/>
      <c r="AO139" s="207"/>
      <c r="AP139" s="208"/>
      <c r="AQ139" s="204"/>
      <c r="AR139" s="210"/>
      <c r="AS139" s="204"/>
      <c r="AT139" s="204"/>
      <c r="AU139" s="204"/>
      <c r="AV139" s="210"/>
      <c r="AW139" s="204"/>
      <c r="AX139" s="210"/>
      <c r="AY139" s="204"/>
      <c r="AZ139" s="204"/>
      <c r="BA139" s="204"/>
      <c r="BB139" s="210"/>
      <c r="BC139" s="204"/>
      <c r="BD139" s="210"/>
      <c r="BE139" s="204"/>
      <c r="BF139" s="204"/>
      <c r="BG139" s="204"/>
      <c r="BH139" s="210"/>
      <c r="BI139" s="204"/>
      <c r="BJ139" s="210"/>
      <c r="BK139" s="204"/>
      <c r="BL139" s="204"/>
      <c r="BM139" s="204"/>
      <c r="BN139" s="210"/>
      <c r="BO139" s="204"/>
      <c r="BP139" s="210"/>
      <c r="BQ139" s="204"/>
      <c r="BR139" s="204"/>
      <c r="BS139" s="204"/>
      <c r="BT139" s="210"/>
      <c r="BU139" s="204"/>
      <c r="BV139" s="210"/>
      <c r="BW139" s="204"/>
      <c r="BX139" s="204"/>
      <c r="BY139" s="204"/>
      <c r="BZ139" s="210"/>
      <c r="CA139" s="204"/>
      <c r="CB139" s="210"/>
      <c r="CC139" s="204"/>
      <c r="CD139" s="204"/>
      <c r="CE139" s="204"/>
      <c r="CF139" s="204"/>
    </row>
    <row r="140" spans="1:84" x14ac:dyDescent="0.5">
      <c r="A140" s="103">
        <v>19096379</v>
      </c>
      <c r="B140" s="104">
        <v>19090915</v>
      </c>
      <c r="C140" s="105" t="s">
        <v>2813</v>
      </c>
      <c r="D140" s="106" t="s">
        <v>1323</v>
      </c>
      <c r="E140" s="302">
        <v>43768</v>
      </c>
      <c r="F140" s="936" t="s">
        <v>3368</v>
      </c>
      <c r="G140" s="937" t="s">
        <v>1444</v>
      </c>
      <c r="H140" s="211">
        <v>43855</v>
      </c>
      <c r="I140" s="164">
        <v>63022</v>
      </c>
      <c r="J140" s="960" t="s">
        <v>869</v>
      </c>
      <c r="K140" s="965">
        <v>43857</v>
      </c>
      <c r="L140" s="104" t="s">
        <v>2814</v>
      </c>
      <c r="M140" s="110" t="s">
        <v>2815</v>
      </c>
      <c r="N140" s="104" t="s">
        <v>2645</v>
      </c>
      <c r="O140" s="111">
        <v>990000</v>
      </c>
      <c r="P140" s="111">
        <f t="shared" ref="P140:P147" si="32">O140*7/100</f>
        <v>69300</v>
      </c>
      <c r="Q140" s="111">
        <f t="shared" ref="Q140:Q147" si="33">O140+P140</f>
        <v>1059300</v>
      </c>
      <c r="R140" s="311"/>
      <c r="S140" s="113"/>
      <c r="T140" s="114"/>
      <c r="U140" s="115"/>
      <c r="V140" s="116"/>
      <c r="W140" s="117"/>
      <c r="X140" s="118"/>
      <c r="Y140" s="118"/>
      <c r="Z140" s="119"/>
      <c r="AA140" s="120"/>
      <c r="AB140" s="229">
        <v>19100420</v>
      </c>
      <c r="AC140" s="230">
        <v>297000</v>
      </c>
      <c r="AD140" s="220">
        <f>AC140*7/100</f>
        <v>20790</v>
      </c>
      <c r="AE140" s="220">
        <f>AC140+AD140</f>
        <v>317790</v>
      </c>
      <c r="AF140" s="221">
        <v>43762</v>
      </c>
      <c r="AG140" s="121" t="s">
        <v>869</v>
      </c>
      <c r="AH140" s="121"/>
      <c r="AI140" s="121"/>
      <c r="AJ140" s="222" t="s">
        <v>3347</v>
      </c>
      <c r="AK140" s="128">
        <v>1</v>
      </c>
      <c r="AL140" s="129" t="s">
        <v>2816</v>
      </c>
      <c r="AM140" s="130"/>
      <c r="AN140" s="130" t="s">
        <v>869</v>
      </c>
      <c r="AO140" s="131">
        <v>1</v>
      </c>
      <c r="AP140" s="132" t="s">
        <v>634</v>
      </c>
      <c r="AQ140" s="128"/>
      <c r="AR140" s="133"/>
      <c r="AS140" s="128"/>
      <c r="AT140" s="128"/>
      <c r="AU140" s="128"/>
      <c r="AV140" s="133"/>
      <c r="AW140" s="128"/>
      <c r="AX140" s="133"/>
      <c r="AY140" s="128"/>
      <c r="AZ140" s="128"/>
      <c r="BA140" s="128"/>
      <c r="BB140" s="133"/>
      <c r="BC140" s="128"/>
      <c r="BD140" s="133"/>
      <c r="BE140" s="128"/>
      <c r="BF140" s="128"/>
      <c r="BG140" s="128"/>
      <c r="BH140" s="133"/>
      <c r="BI140" s="128"/>
      <c r="BJ140" s="133"/>
      <c r="BK140" s="128"/>
      <c r="BL140" s="128"/>
      <c r="BM140" s="128"/>
      <c r="BN140" s="133"/>
      <c r="BO140" s="128"/>
      <c r="BP140" s="133"/>
      <c r="BQ140" s="128"/>
      <c r="BR140" s="128"/>
      <c r="BS140" s="128"/>
      <c r="BT140" s="133"/>
      <c r="BU140" s="128"/>
      <c r="BV140" s="133"/>
      <c r="BW140" s="128"/>
      <c r="BX140" s="128"/>
      <c r="BY140" s="128"/>
      <c r="BZ140" s="133"/>
      <c r="CA140" s="128"/>
      <c r="CB140" s="133"/>
      <c r="CC140" s="128"/>
      <c r="CD140" s="128"/>
      <c r="CE140" s="128"/>
      <c r="CF140" s="128"/>
    </row>
    <row r="141" spans="1:84" x14ac:dyDescent="0.5">
      <c r="A141" s="134"/>
      <c r="B141" s="135"/>
      <c r="C141" s="136"/>
      <c r="D141" s="137"/>
      <c r="E141" s="906"/>
      <c r="F141" s="940"/>
      <c r="G141" s="941"/>
      <c r="H141" s="179">
        <v>43855</v>
      </c>
      <c r="I141" s="140">
        <v>63023</v>
      </c>
      <c r="J141" s="963"/>
      <c r="K141" s="154"/>
      <c r="L141" s="135"/>
      <c r="M141" s="141"/>
      <c r="N141" s="135"/>
      <c r="O141" s="142"/>
      <c r="P141" s="142"/>
      <c r="Q141" s="142"/>
      <c r="R141" s="143"/>
      <c r="S141" s="144"/>
      <c r="T141" s="145"/>
      <c r="U141" s="146"/>
      <c r="V141" s="147"/>
      <c r="W141" s="148"/>
      <c r="X141" s="149"/>
      <c r="Y141" s="149"/>
      <c r="Z141" s="150"/>
      <c r="AA141" s="151"/>
      <c r="AB141" s="292">
        <v>20010005</v>
      </c>
      <c r="AC141" s="293">
        <v>297000</v>
      </c>
      <c r="AD141" s="307">
        <f>AC141*7/100</f>
        <v>20790</v>
      </c>
      <c r="AE141" s="307">
        <f>AC141+AD141</f>
        <v>317790</v>
      </c>
      <c r="AF141" s="295">
        <v>43839</v>
      </c>
      <c r="AG141" s="296" t="s">
        <v>869</v>
      </c>
      <c r="AH141" s="296"/>
      <c r="AI141" s="296"/>
      <c r="AJ141" s="308" t="s">
        <v>3455</v>
      </c>
      <c r="AK141" s="158"/>
      <c r="AL141" s="159"/>
      <c r="AM141" s="160"/>
      <c r="AN141" s="160"/>
      <c r="AO141" s="161"/>
      <c r="AP141" s="162"/>
      <c r="AQ141" s="158"/>
      <c r="AR141" s="163"/>
      <c r="AS141" s="158"/>
      <c r="AT141" s="158"/>
      <c r="AU141" s="158"/>
      <c r="AV141" s="163"/>
      <c r="AW141" s="158"/>
      <c r="AX141" s="163"/>
      <c r="AY141" s="158"/>
      <c r="AZ141" s="158"/>
      <c r="BA141" s="158"/>
      <c r="BB141" s="163"/>
      <c r="BC141" s="158"/>
      <c r="BD141" s="163"/>
      <c r="BE141" s="158"/>
      <c r="BF141" s="158"/>
      <c r="BG141" s="158"/>
      <c r="BH141" s="163"/>
      <c r="BI141" s="158"/>
      <c r="BJ141" s="163"/>
      <c r="BK141" s="158"/>
      <c r="BL141" s="158"/>
      <c r="BM141" s="158"/>
      <c r="BN141" s="163"/>
      <c r="BO141" s="158"/>
      <c r="BP141" s="163"/>
      <c r="BQ141" s="158"/>
      <c r="BR141" s="158"/>
      <c r="BS141" s="158"/>
      <c r="BT141" s="163"/>
      <c r="BU141" s="158"/>
      <c r="BV141" s="163"/>
      <c r="BW141" s="158"/>
      <c r="BX141" s="158"/>
      <c r="BY141" s="158"/>
      <c r="BZ141" s="163"/>
      <c r="CA141" s="158"/>
      <c r="CB141" s="163"/>
      <c r="CC141" s="158"/>
      <c r="CD141" s="158"/>
      <c r="CE141" s="158"/>
      <c r="CF141" s="158"/>
    </row>
    <row r="142" spans="1:84" x14ac:dyDescent="0.5">
      <c r="A142" s="180"/>
      <c r="B142" s="181"/>
      <c r="C142" s="182"/>
      <c r="D142" s="183"/>
      <c r="E142" s="749"/>
      <c r="F142" s="938"/>
      <c r="G142" s="939"/>
      <c r="H142" s="186"/>
      <c r="I142" s="187"/>
      <c r="J142" s="961"/>
      <c r="K142" s="200"/>
      <c r="L142" s="181"/>
      <c r="M142" s="188"/>
      <c r="N142" s="181"/>
      <c r="O142" s="189"/>
      <c r="P142" s="189"/>
      <c r="Q142" s="189"/>
      <c r="R142" s="190"/>
      <c r="S142" s="215"/>
      <c r="T142" s="216"/>
      <c r="U142" s="217"/>
      <c r="V142" s="218"/>
      <c r="W142" s="195"/>
      <c r="X142" s="196"/>
      <c r="Y142" s="196"/>
      <c r="Z142" s="197"/>
      <c r="AA142" s="198"/>
      <c r="AB142" s="200">
        <v>20040093</v>
      </c>
      <c r="AC142" s="201">
        <v>297000</v>
      </c>
      <c r="AD142" s="202">
        <f>AC142*7/100</f>
        <v>20790</v>
      </c>
      <c r="AE142" s="202">
        <f>AC142+AD142</f>
        <v>317790</v>
      </c>
      <c r="AF142" s="203">
        <v>43929</v>
      </c>
      <c r="AG142" s="199" t="s">
        <v>869</v>
      </c>
      <c r="AH142" s="199"/>
      <c r="AI142" s="199"/>
      <c r="AJ142" s="180" t="s">
        <v>4035</v>
      </c>
      <c r="AK142" s="204"/>
      <c r="AL142" s="205"/>
      <c r="AM142" s="206"/>
      <c r="AN142" s="206"/>
      <c r="AO142" s="207"/>
      <c r="AP142" s="208"/>
      <c r="AQ142" s="204"/>
      <c r="AR142" s="210"/>
      <c r="AS142" s="204"/>
      <c r="AT142" s="204"/>
      <c r="AU142" s="204"/>
      <c r="AV142" s="210"/>
      <c r="AW142" s="204"/>
      <c r="AX142" s="210"/>
      <c r="AY142" s="204"/>
      <c r="AZ142" s="204"/>
      <c r="BA142" s="204"/>
      <c r="BB142" s="210"/>
      <c r="BC142" s="204"/>
      <c r="BD142" s="210"/>
      <c r="BE142" s="204"/>
      <c r="BF142" s="204"/>
      <c r="BG142" s="204"/>
      <c r="BH142" s="210"/>
      <c r="BI142" s="204"/>
      <c r="BJ142" s="210"/>
      <c r="BK142" s="204"/>
      <c r="BL142" s="204"/>
      <c r="BM142" s="204"/>
      <c r="BN142" s="210"/>
      <c r="BO142" s="204"/>
      <c r="BP142" s="210"/>
      <c r="BQ142" s="204"/>
      <c r="BR142" s="204"/>
      <c r="BS142" s="204"/>
      <c r="BT142" s="210"/>
      <c r="BU142" s="204"/>
      <c r="BV142" s="210"/>
      <c r="BW142" s="204"/>
      <c r="BX142" s="204"/>
      <c r="BY142" s="204"/>
      <c r="BZ142" s="210"/>
      <c r="CA142" s="204"/>
      <c r="CB142" s="210"/>
      <c r="CC142" s="204"/>
      <c r="CD142" s="204"/>
      <c r="CE142" s="204"/>
      <c r="CF142" s="204"/>
    </row>
    <row r="143" spans="1:84" x14ac:dyDescent="0.5">
      <c r="A143" s="227">
        <v>19096378</v>
      </c>
      <c r="B143" s="22">
        <v>19090916</v>
      </c>
      <c r="C143" s="55"/>
      <c r="D143" s="56"/>
      <c r="E143" s="910"/>
      <c r="F143" s="57"/>
      <c r="G143" s="58"/>
      <c r="H143" s="59"/>
      <c r="I143" s="60"/>
      <c r="J143" s="269"/>
      <c r="K143" s="59"/>
      <c r="L143" s="22" t="s">
        <v>2810</v>
      </c>
      <c r="M143" s="28" t="s">
        <v>2811</v>
      </c>
      <c r="N143" s="22" t="s">
        <v>51</v>
      </c>
      <c r="O143" s="29">
        <v>21400</v>
      </c>
      <c r="P143" s="29">
        <f t="shared" si="32"/>
        <v>1498</v>
      </c>
      <c r="Q143" s="29">
        <f t="shared" si="33"/>
        <v>22898</v>
      </c>
      <c r="R143" s="61"/>
      <c r="S143" s="96"/>
      <c r="T143" s="97"/>
      <c r="U143" s="98"/>
      <c r="V143" s="99"/>
      <c r="W143" s="100"/>
      <c r="X143" s="99"/>
      <c r="Y143" s="99"/>
      <c r="Z143" s="100"/>
      <c r="AA143" s="101"/>
      <c r="AB143" s="40">
        <v>19090382</v>
      </c>
      <c r="AC143" s="41">
        <v>21400</v>
      </c>
      <c r="AD143" s="63">
        <f t="shared" ref="AD143:AD152" si="34">AC143*7/100</f>
        <v>1498</v>
      </c>
      <c r="AE143" s="64">
        <f t="shared" ref="AE143:AE152" si="35">AC143+AD143</f>
        <v>22898</v>
      </c>
      <c r="AF143" s="53">
        <v>43738</v>
      </c>
      <c r="AG143" s="39" t="s">
        <v>869</v>
      </c>
      <c r="AH143" s="39"/>
      <c r="AI143" s="39"/>
      <c r="AJ143" s="21" t="s">
        <v>3047</v>
      </c>
      <c r="AK143" s="1050">
        <v>1</v>
      </c>
      <c r="AL143" s="45" t="s">
        <v>2812</v>
      </c>
      <c r="AM143" s="46"/>
      <c r="AN143" s="46"/>
      <c r="AO143" s="47">
        <v>1</v>
      </c>
      <c r="AP143" s="48" t="s">
        <v>628</v>
      </c>
      <c r="AQ143" s="1050"/>
      <c r="AR143" s="54"/>
      <c r="AS143" s="1050"/>
      <c r="AT143" s="1050"/>
      <c r="AU143" s="1050"/>
      <c r="AV143" s="54"/>
      <c r="AW143" s="1050"/>
      <c r="AX143" s="54"/>
      <c r="AY143" s="1050"/>
      <c r="AZ143" s="1050"/>
      <c r="BA143" s="1050"/>
      <c r="BB143" s="54"/>
      <c r="BC143" s="1050"/>
      <c r="BD143" s="54"/>
      <c r="BE143" s="1050"/>
      <c r="BF143" s="1050"/>
      <c r="BG143" s="1050"/>
      <c r="BH143" s="54"/>
      <c r="BI143" s="1050"/>
      <c r="BJ143" s="54"/>
      <c r="BK143" s="1050"/>
      <c r="BL143" s="1050"/>
      <c r="BM143" s="1050"/>
      <c r="BN143" s="54"/>
      <c r="BO143" s="1050"/>
      <c r="BP143" s="54"/>
      <c r="BQ143" s="1050"/>
      <c r="BR143" s="1050"/>
      <c r="BS143" s="1050"/>
      <c r="BT143" s="54"/>
      <c r="BU143" s="1050"/>
      <c r="BV143" s="54"/>
      <c r="BW143" s="1050"/>
      <c r="BX143" s="1050"/>
      <c r="BY143" s="1050"/>
      <c r="BZ143" s="54"/>
      <c r="CA143" s="1050"/>
      <c r="CB143" s="54"/>
      <c r="CC143" s="1050"/>
      <c r="CD143" s="1050"/>
      <c r="CE143" s="1050"/>
      <c r="CF143" s="1050"/>
    </row>
    <row r="144" spans="1:84" x14ac:dyDescent="0.5">
      <c r="A144" s="227">
        <v>19096377</v>
      </c>
      <c r="B144" s="22">
        <v>19090904</v>
      </c>
      <c r="C144" s="55"/>
      <c r="D144" s="56"/>
      <c r="E144" s="910"/>
      <c r="F144" s="57"/>
      <c r="G144" s="58"/>
      <c r="H144" s="59"/>
      <c r="I144" s="60"/>
      <c r="J144" s="269"/>
      <c r="K144" s="59"/>
      <c r="L144" s="22" t="s">
        <v>2803</v>
      </c>
      <c r="M144" s="28" t="s">
        <v>2807</v>
      </c>
      <c r="N144" s="22" t="s">
        <v>51</v>
      </c>
      <c r="O144" s="29">
        <v>25600</v>
      </c>
      <c r="P144" s="29">
        <f t="shared" si="32"/>
        <v>1792</v>
      </c>
      <c r="Q144" s="29">
        <f t="shared" si="33"/>
        <v>27392</v>
      </c>
      <c r="R144" s="61"/>
      <c r="S144" s="96"/>
      <c r="T144" s="97"/>
      <c r="U144" s="98"/>
      <c r="V144" s="99"/>
      <c r="W144" s="100"/>
      <c r="X144" s="99"/>
      <c r="Y144" s="99"/>
      <c r="Z144" s="100"/>
      <c r="AA144" s="101"/>
      <c r="AB144" s="40">
        <v>19090380</v>
      </c>
      <c r="AC144" s="41">
        <v>25600</v>
      </c>
      <c r="AD144" s="52">
        <f t="shared" si="34"/>
        <v>1792</v>
      </c>
      <c r="AE144" s="52">
        <f t="shared" si="35"/>
        <v>27392</v>
      </c>
      <c r="AF144" s="53">
        <v>43768</v>
      </c>
      <c r="AG144" s="39" t="s">
        <v>869</v>
      </c>
      <c r="AH144" s="39"/>
      <c r="AI144" s="39"/>
      <c r="AJ144" s="21" t="s">
        <v>3613</v>
      </c>
      <c r="AK144" s="1032">
        <v>1</v>
      </c>
      <c r="AL144" s="45" t="s">
        <v>2808</v>
      </c>
      <c r="AM144" s="46"/>
      <c r="AN144" s="46"/>
      <c r="AO144" s="47">
        <v>1</v>
      </c>
      <c r="AP144" s="48" t="s">
        <v>628</v>
      </c>
      <c r="AQ144" s="1032">
        <v>2</v>
      </c>
      <c r="AR144" s="40" t="s">
        <v>2809</v>
      </c>
      <c r="AS144" s="47"/>
      <c r="AT144" s="47"/>
      <c r="AU144" s="47">
        <v>1</v>
      </c>
      <c r="AV144" s="49" t="s">
        <v>628</v>
      </c>
      <c r="AW144" s="1050"/>
      <c r="AX144" s="54"/>
      <c r="AY144" s="1050"/>
      <c r="AZ144" s="1050"/>
      <c r="BA144" s="1050"/>
      <c r="BB144" s="54"/>
      <c r="BC144" s="1050"/>
      <c r="BD144" s="54"/>
      <c r="BE144" s="1050"/>
      <c r="BF144" s="1050"/>
      <c r="BG144" s="1050"/>
      <c r="BH144" s="54"/>
      <c r="BI144" s="1050"/>
      <c r="BJ144" s="54"/>
      <c r="BK144" s="1050"/>
      <c r="BL144" s="1050"/>
      <c r="BM144" s="1050"/>
      <c r="BN144" s="54"/>
      <c r="BO144" s="1050"/>
      <c r="BP144" s="54"/>
      <c r="BQ144" s="1050"/>
      <c r="BR144" s="1050"/>
      <c r="BS144" s="1050"/>
      <c r="BT144" s="54"/>
      <c r="BU144" s="1050"/>
      <c r="BV144" s="54"/>
      <c r="BW144" s="1050"/>
      <c r="BX144" s="1050"/>
      <c r="BY144" s="1050"/>
      <c r="BZ144" s="54"/>
      <c r="CA144" s="1050"/>
      <c r="CB144" s="54"/>
      <c r="CC144" s="1050"/>
      <c r="CD144" s="1050"/>
      <c r="CE144" s="1050"/>
      <c r="CF144" s="1050"/>
    </row>
    <row r="145" spans="1:84" x14ac:dyDescent="0.5">
      <c r="A145" s="227">
        <v>19096376</v>
      </c>
      <c r="B145" s="22">
        <v>19090903</v>
      </c>
      <c r="C145" s="55"/>
      <c r="D145" s="56"/>
      <c r="E145" s="910"/>
      <c r="F145" s="57"/>
      <c r="G145" s="58"/>
      <c r="H145" s="59"/>
      <c r="I145" s="60"/>
      <c r="J145" s="269"/>
      <c r="K145" s="59"/>
      <c r="L145" s="22" t="s">
        <v>2803</v>
      </c>
      <c r="M145" s="28" t="s">
        <v>2804</v>
      </c>
      <c r="N145" s="22" t="s">
        <v>51</v>
      </c>
      <c r="O145" s="29">
        <v>17450</v>
      </c>
      <c r="P145" s="29">
        <f t="shared" si="32"/>
        <v>1221.5</v>
      </c>
      <c r="Q145" s="29">
        <f t="shared" si="33"/>
        <v>18671.5</v>
      </c>
      <c r="R145" s="61"/>
      <c r="S145" s="96"/>
      <c r="T145" s="97"/>
      <c r="U145" s="98"/>
      <c r="V145" s="99"/>
      <c r="W145" s="100"/>
      <c r="X145" s="99"/>
      <c r="Y145" s="99"/>
      <c r="Z145" s="100"/>
      <c r="AA145" s="101"/>
      <c r="AB145" s="40">
        <v>19090381</v>
      </c>
      <c r="AC145" s="41">
        <v>17450</v>
      </c>
      <c r="AD145" s="52">
        <f t="shared" si="34"/>
        <v>1221.5</v>
      </c>
      <c r="AE145" s="52">
        <f t="shared" si="35"/>
        <v>18671.5</v>
      </c>
      <c r="AF145" s="53">
        <v>43768</v>
      </c>
      <c r="AG145" s="39" t="s">
        <v>869</v>
      </c>
      <c r="AH145" s="39"/>
      <c r="AI145" s="39"/>
      <c r="AJ145" s="21" t="s">
        <v>3307</v>
      </c>
      <c r="AK145" s="1032">
        <v>1</v>
      </c>
      <c r="AL145" s="45" t="s">
        <v>2805</v>
      </c>
      <c r="AM145" s="46"/>
      <c r="AN145" s="46"/>
      <c r="AO145" s="47">
        <v>1</v>
      </c>
      <c r="AP145" s="48" t="s">
        <v>628</v>
      </c>
      <c r="AQ145" s="1032">
        <v>2</v>
      </c>
      <c r="AR145" s="40" t="s">
        <v>2806</v>
      </c>
      <c r="AS145" s="47"/>
      <c r="AT145" s="47"/>
      <c r="AU145" s="47">
        <v>1</v>
      </c>
      <c r="AV145" s="49" t="s">
        <v>628</v>
      </c>
      <c r="AW145" s="1050"/>
      <c r="AX145" s="54"/>
      <c r="AY145" s="1050"/>
      <c r="AZ145" s="1050"/>
      <c r="BA145" s="1050"/>
      <c r="BB145" s="54"/>
      <c r="BC145" s="1050"/>
      <c r="BD145" s="54"/>
      <c r="BE145" s="1050"/>
      <c r="BF145" s="1050"/>
      <c r="BG145" s="1050"/>
      <c r="BH145" s="54"/>
      <c r="BI145" s="1050"/>
      <c r="BJ145" s="54"/>
      <c r="BK145" s="1050"/>
      <c r="BL145" s="1050"/>
      <c r="BM145" s="1050"/>
      <c r="BN145" s="54"/>
      <c r="BO145" s="1050"/>
      <c r="BP145" s="54"/>
      <c r="BQ145" s="1050"/>
      <c r="BR145" s="1050"/>
      <c r="BS145" s="1050"/>
      <c r="BT145" s="54"/>
      <c r="BU145" s="1050"/>
      <c r="BV145" s="54"/>
      <c r="BW145" s="1050"/>
      <c r="BX145" s="1050"/>
      <c r="BY145" s="1050"/>
      <c r="BZ145" s="54"/>
      <c r="CA145" s="1050"/>
      <c r="CB145" s="54"/>
      <c r="CC145" s="1050"/>
      <c r="CD145" s="1050"/>
      <c r="CE145" s="1050"/>
      <c r="CF145" s="1050"/>
    </row>
    <row r="146" spans="1:84" x14ac:dyDescent="0.5">
      <c r="A146" s="227">
        <v>19096375</v>
      </c>
      <c r="B146" s="22">
        <v>19090902</v>
      </c>
      <c r="C146" s="55"/>
      <c r="D146" s="56"/>
      <c r="E146" s="910"/>
      <c r="F146" s="57"/>
      <c r="G146" s="58"/>
      <c r="H146" s="59"/>
      <c r="I146" s="60"/>
      <c r="J146" s="269"/>
      <c r="K146" s="59"/>
      <c r="L146" s="22" t="s">
        <v>2798</v>
      </c>
      <c r="M146" s="28" t="s">
        <v>344</v>
      </c>
      <c r="N146" s="22" t="s">
        <v>51</v>
      </c>
      <c r="O146" s="29">
        <v>33500</v>
      </c>
      <c r="P146" s="29">
        <f t="shared" si="32"/>
        <v>2345</v>
      </c>
      <c r="Q146" s="29">
        <f t="shared" si="33"/>
        <v>35845</v>
      </c>
      <c r="R146" s="61"/>
      <c r="S146" s="96"/>
      <c r="T146" s="97"/>
      <c r="U146" s="98"/>
      <c r="V146" s="99"/>
      <c r="W146" s="100"/>
      <c r="X146" s="99"/>
      <c r="Y146" s="99"/>
      <c r="Z146" s="100"/>
      <c r="AA146" s="101"/>
      <c r="AB146" s="40">
        <v>19100388</v>
      </c>
      <c r="AC146" s="41">
        <v>33500</v>
      </c>
      <c r="AD146" s="63">
        <f t="shared" si="34"/>
        <v>2345</v>
      </c>
      <c r="AE146" s="63">
        <f t="shared" si="35"/>
        <v>35845</v>
      </c>
      <c r="AF146" s="53">
        <v>43775</v>
      </c>
      <c r="AG146" s="39" t="s">
        <v>869</v>
      </c>
      <c r="AH146" s="39"/>
      <c r="AI146" s="39"/>
      <c r="AJ146" s="21" t="s">
        <v>3313</v>
      </c>
      <c r="AK146" s="1032">
        <v>1</v>
      </c>
      <c r="AL146" s="45" t="s">
        <v>2801</v>
      </c>
      <c r="AM146" s="46"/>
      <c r="AN146" s="46"/>
      <c r="AO146" s="47">
        <v>1</v>
      </c>
      <c r="AP146" s="48" t="s">
        <v>628</v>
      </c>
      <c r="AQ146" s="1032">
        <v>2</v>
      </c>
      <c r="AR146" s="40" t="s">
        <v>2802</v>
      </c>
      <c r="AS146" s="47"/>
      <c r="AT146" s="47"/>
      <c r="AU146" s="47">
        <v>1</v>
      </c>
      <c r="AV146" s="49" t="s">
        <v>628</v>
      </c>
      <c r="AW146" s="1050"/>
      <c r="AX146" s="54"/>
      <c r="AY146" s="1050"/>
      <c r="AZ146" s="1050"/>
      <c r="BA146" s="1050"/>
      <c r="BB146" s="54"/>
      <c r="BC146" s="1050"/>
      <c r="BD146" s="54"/>
      <c r="BE146" s="1050"/>
      <c r="BF146" s="1050"/>
      <c r="BG146" s="1050"/>
      <c r="BH146" s="54"/>
      <c r="BI146" s="1050"/>
      <c r="BJ146" s="54"/>
      <c r="BK146" s="1050"/>
      <c r="BL146" s="1050"/>
      <c r="BM146" s="1050"/>
      <c r="BN146" s="54"/>
      <c r="BO146" s="1050"/>
      <c r="BP146" s="54"/>
      <c r="BQ146" s="1050"/>
      <c r="BR146" s="1050"/>
      <c r="BS146" s="1050"/>
      <c r="BT146" s="54"/>
      <c r="BU146" s="1050"/>
      <c r="BV146" s="54"/>
      <c r="BW146" s="1050"/>
      <c r="BX146" s="1050"/>
      <c r="BY146" s="1050"/>
      <c r="BZ146" s="54"/>
      <c r="CA146" s="1050"/>
      <c r="CB146" s="54"/>
      <c r="CC146" s="1050"/>
      <c r="CD146" s="1050"/>
      <c r="CE146" s="1050"/>
      <c r="CF146" s="1050"/>
    </row>
    <row r="147" spans="1:84" x14ac:dyDescent="0.5">
      <c r="A147" s="227">
        <v>19096374</v>
      </c>
      <c r="B147" s="22">
        <v>19090901</v>
      </c>
      <c r="C147" s="55"/>
      <c r="D147" s="56"/>
      <c r="E147" s="910"/>
      <c r="F147" s="57"/>
      <c r="G147" s="58"/>
      <c r="H147" s="59"/>
      <c r="I147" s="60"/>
      <c r="J147" s="269"/>
      <c r="K147" s="59"/>
      <c r="L147" s="22" t="s">
        <v>2798</v>
      </c>
      <c r="M147" s="28" t="s">
        <v>344</v>
      </c>
      <c r="N147" s="22" t="s">
        <v>51</v>
      </c>
      <c r="O147" s="29">
        <v>34000</v>
      </c>
      <c r="P147" s="29">
        <f t="shared" si="32"/>
        <v>2380</v>
      </c>
      <c r="Q147" s="29">
        <f t="shared" si="33"/>
        <v>36380</v>
      </c>
      <c r="R147" s="61"/>
      <c r="S147" s="96"/>
      <c r="T147" s="97"/>
      <c r="U147" s="98"/>
      <c r="V147" s="99"/>
      <c r="W147" s="100"/>
      <c r="X147" s="99"/>
      <c r="Y147" s="99"/>
      <c r="Z147" s="100"/>
      <c r="AA147" s="101"/>
      <c r="AB147" s="40">
        <v>19100387</v>
      </c>
      <c r="AC147" s="41">
        <v>34000</v>
      </c>
      <c r="AD147" s="52">
        <f t="shared" si="34"/>
        <v>2380</v>
      </c>
      <c r="AE147" s="52">
        <f t="shared" si="35"/>
        <v>36380</v>
      </c>
      <c r="AF147" s="53">
        <v>43775</v>
      </c>
      <c r="AG147" s="39" t="s">
        <v>869</v>
      </c>
      <c r="AH147" s="39"/>
      <c r="AI147" s="39"/>
      <c r="AJ147" s="21" t="s">
        <v>3313</v>
      </c>
      <c r="AK147" s="1032">
        <v>1</v>
      </c>
      <c r="AL147" s="45" t="s">
        <v>2799</v>
      </c>
      <c r="AM147" s="46"/>
      <c r="AN147" s="46"/>
      <c r="AO147" s="47">
        <v>1</v>
      </c>
      <c r="AP147" s="48" t="s">
        <v>628</v>
      </c>
      <c r="AQ147" s="1032">
        <v>2</v>
      </c>
      <c r="AR147" s="40" t="s">
        <v>2800</v>
      </c>
      <c r="AS147" s="47"/>
      <c r="AT147" s="47"/>
      <c r="AU147" s="47">
        <v>1</v>
      </c>
      <c r="AV147" s="49" t="s">
        <v>628</v>
      </c>
      <c r="AW147" s="1050"/>
      <c r="AX147" s="54"/>
      <c r="AY147" s="1050"/>
      <c r="AZ147" s="1050"/>
      <c r="BA147" s="1050"/>
      <c r="BB147" s="54"/>
      <c r="BC147" s="1050"/>
      <c r="BD147" s="54"/>
      <c r="BE147" s="1050"/>
      <c r="BF147" s="1050"/>
      <c r="BG147" s="1050"/>
      <c r="BH147" s="54"/>
      <c r="BI147" s="1050"/>
      <c r="BJ147" s="54"/>
      <c r="BK147" s="1050"/>
      <c r="BL147" s="1050"/>
      <c r="BM147" s="1050"/>
      <c r="BN147" s="54"/>
      <c r="BO147" s="1050"/>
      <c r="BP147" s="54"/>
      <c r="BQ147" s="1050"/>
      <c r="BR147" s="1050"/>
      <c r="BS147" s="1050"/>
      <c r="BT147" s="54"/>
      <c r="BU147" s="1050"/>
      <c r="BV147" s="54"/>
      <c r="BW147" s="1050"/>
      <c r="BX147" s="1050"/>
      <c r="BY147" s="1050"/>
      <c r="BZ147" s="54"/>
      <c r="CA147" s="1050"/>
      <c r="CB147" s="54"/>
      <c r="CC147" s="1050"/>
      <c r="CD147" s="1050"/>
      <c r="CE147" s="1050"/>
      <c r="CF147" s="1050"/>
    </row>
    <row r="148" spans="1:84" x14ac:dyDescent="0.5">
      <c r="A148" s="259">
        <v>19096373</v>
      </c>
      <c r="B148" s="104">
        <v>19090900</v>
      </c>
      <c r="C148" s="105" t="s">
        <v>2780</v>
      </c>
      <c r="D148" s="106" t="s">
        <v>1323</v>
      </c>
      <c r="E148" s="302">
        <v>43753</v>
      </c>
      <c r="F148" s="936" t="s">
        <v>1324</v>
      </c>
      <c r="G148" s="937" t="s">
        <v>2990</v>
      </c>
      <c r="H148" s="122">
        <v>43778</v>
      </c>
      <c r="I148" s="109">
        <v>19358</v>
      </c>
      <c r="J148" s="960" t="s">
        <v>869</v>
      </c>
      <c r="K148" s="965">
        <v>43780</v>
      </c>
      <c r="L148" s="104" t="s">
        <v>2781</v>
      </c>
      <c r="M148" s="110" t="s">
        <v>2782</v>
      </c>
      <c r="N148" s="104" t="s">
        <v>50</v>
      </c>
      <c r="O148" s="111">
        <v>232979</v>
      </c>
      <c r="P148" s="111">
        <f t="shared" ref="P148:P161" si="36">O148*7/100</f>
        <v>16308.53</v>
      </c>
      <c r="Q148" s="111">
        <f t="shared" ref="Q148:Q161" si="37">O148+P148</f>
        <v>249287.53</v>
      </c>
      <c r="R148" s="311">
        <v>21000</v>
      </c>
      <c r="S148" s="113" t="s">
        <v>2796</v>
      </c>
      <c r="T148" s="114">
        <f>O148-R148</f>
        <v>211979</v>
      </c>
      <c r="U148" s="115">
        <v>5</v>
      </c>
      <c r="V148" s="116">
        <f>T148*U148/100</f>
        <v>10598.95</v>
      </c>
      <c r="W148" s="117">
        <f>T148-V148</f>
        <v>201380.05</v>
      </c>
      <c r="X148" s="118">
        <v>0.37</v>
      </c>
      <c r="Y148" s="118">
        <f>W148*X148/100</f>
        <v>745.10618499999998</v>
      </c>
      <c r="Z148" s="119">
        <v>0.2</v>
      </c>
      <c r="AA148" s="120">
        <f>W148*Z148/100</f>
        <v>402.76010000000002</v>
      </c>
      <c r="AB148" s="229" t="s">
        <v>2797</v>
      </c>
      <c r="AC148" s="230">
        <v>69893.7</v>
      </c>
      <c r="AD148" s="233">
        <f t="shared" si="34"/>
        <v>4892.5589999999993</v>
      </c>
      <c r="AE148" s="234">
        <f t="shared" si="35"/>
        <v>74786.258999999991</v>
      </c>
      <c r="AF148" s="221">
        <v>43734</v>
      </c>
      <c r="AG148" s="121" t="s">
        <v>869</v>
      </c>
      <c r="AH148" s="121"/>
      <c r="AI148" s="121"/>
      <c r="AJ148" s="222" t="s">
        <v>3046</v>
      </c>
      <c r="AK148" s="128">
        <v>1</v>
      </c>
      <c r="AL148" s="129" t="s">
        <v>651</v>
      </c>
      <c r="AM148" s="130"/>
      <c r="AN148" s="130" t="s">
        <v>869</v>
      </c>
      <c r="AO148" s="131">
        <v>1</v>
      </c>
      <c r="AP148" s="132" t="s">
        <v>636</v>
      </c>
      <c r="AQ148" s="128"/>
      <c r="AR148" s="133"/>
      <c r="AS148" s="128"/>
      <c r="AT148" s="128"/>
      <c r="AU148" s="128"/>
      <c r="AV148" s="133"/>
      <c r="AW148" s="128"/>
      <c r="AX148" s="133"/>
      <c r="AY148" s="128"/>
      <c r="AZ148" s="128"/>
      <c r="BA148" s="128"/>
      <c r="BB148" s="133"/>
      <c r="BC148" s="128"/>
      <c r="BD148" s="133"/>
      <c r="BE148" s="128"/>
      <c r="BF148" s="128"/>
      <c r="BG148" s="128"/>
      <c r="BH148" s="133"/>
      <c r="BI148" s="128"/>
      <c r="BJ148" s="133"/>
      <c r="BK148" s="128"/>
      <c r="BL148" s="128"/>
      <c r="BM148" s="128"/>
      <c r="BN148" s="133"/>
      <c r="BO148" s="128"/>
      <c r="BP148" s="133"/>
      <c r="BQ148" s="128"/>
      <c r="BR148" s="128"/>
      <c r="BS148" s="128"/>
      <c r="BT148" s="133"/>
      <c r="BU148" s="128"/>
      <c r="BV148" s="133"/>
      <c r="BW148" s="128"/>
      <c r="BX148" s="128"/>
      <c r="BY148" s="128"/>
      <c r="BZ148" s="133"/>
      <c r="CA148" s="128"/>
      <c r="CB148" s="133"/>
      <c r="CC148" s="128"/>
      <c r="CD148" s="128"/>
      <c r="CE148" s="128"/>
      <c r="CF148" s="128"/>
    </row>
    <row r="149" spans="1:84" x14ac:dyDescent="0.5">
      <c r="A149" s="262"/>
      <c r="B149" s="135"/>
      <c r="C149" s="136"/>
      <c r="D149" s="137"/>
      <c r="E149" s="906"/>
      <c r="F149" s="940"/>
      <c r="G149" s="941"/>
      <c r="H149" s="135"/>
      <c r="I149" s="140"/>
      <c r="J149" s="963"/>
      <c r="K149" s="154"/>
      <c r="L149" s="135"/>
      <c r="M149" s="141"/>
      <c r="N149" s="135"/>
      <c r="O149" s="142"/>
      <c r="P149" s="142"/>
      <c r="Q149" s="142"/>
      <c r="R149" s="143"/>
      <c r="S149" s="144"/>
      <c r="T149" s="145"/>
      <c r="U149" s="146"/>
      <c r="V149" s="147"/>
      <c r="W149" s="148"/>
      <c r="X149" s="149"/>
      <c r="Y149" s="149"/>
      <c r="Z149" s="150"/>
      <c r="AA149" s="151"/>
      <c r="AB149" s="154">
        <v>19100404</v>
      </c>
      <c r="AC149" s="155">
        <v>163085.29999999999</v>
      </c>
      <c r="AD149" s="253">
        <f t="shared" si="34"/>
        <v>11415.970999999998</v>
      </c>
      <c r="AE149" s="263">
        <f t="shared" si="35"/>
        <v>174501.27099999998</v>
      </c>
      <c r="AF149" s="157">
        <v>43755</v>
      </c>
      <c r="AG149" s="152" t="s">
        <v>869</v>
      </c>
      <c r="AH149" s="152"/>
      <c r="AI149" s="152"/>
      <c r="AJ149" s="134" t="s">
        <v>3036</v>
      </c>
      <c r="AK149" s="158"/>
      <c r="AL149" s="159"/>
      <c r="AM149" s="160"/>
      <c r="AN149" s="160"/>
      <c r="AO149" s="161"/>
      <c r="AP149" s="162"/>
      <c r="AQ149" s="158"/>
      <c r="AR149" s="163"/>
      <c r="AS149" s="158"/>
      <c r="AT149" s="158"/>
      <c r="AU149" s="158"/>
      <c r="AV149" s="163"/>
      <c r="AW149" s="158"/>
      <c r="AX149" s="163"/>
      <c r="AY149" s="158"/>
      <c r="AZ149" s="158"/>
      <c r="BA149" s="158"/>
      <c r="BB149" s="163"/>
      <c r="BC149" s="158"/>
      <c r="BD149" s="163"/>
      <c r="BE149" s="158"/>
      <c r="BF149" s="158"/>
      <c r="BG149" s="158"/>
      <c r="BH149" s="163"/>
      <c r="BI149" s="158"/>
      <c r="BJ149" s="163"/>
      <c r="BK149" s="158"/>
      <c r="BL149" s="158"/>
      <c r="BM149" s="158"/>
      <c r="BN149" s="163"/>
      <c r="BO149" s="158"/>
      <c r="BP149" s="163"/>
      <c r="BQ149" s="158"/>
      <c r="BR149" s="158"/>
      <c r="BS149" s="158"/>
      <c r="BT149" s="163"/>
      <c r="BU149" s="158"/>
      <c r="BV149" s="163"/>
      <c r="BW149" s="158"/>
      <c r="BX149" s="158"/>
      <c r="BY149" s="158"/>
      <c r="BZ149" s="163"/>
      <c r="CA149" s="158"/>
      <c r="CB149" s="163"/>
      <c r="CC149" s="158"/>
      <c r="CD149" s="158"/>
      <c r="CE149" s="158"/>
      <c r="CF149" s="158"/>
    </row>
    <row r="150" spans="1:84" x14ac:dyDescent="0.5">
      <c r="A150" s="259">
        <v>19096372</v>
      </c>
      <c r="B150" s="104">
        <v>19090890</v>
      </c>
      <c r="C150" s="105" t="s">
        <v>2788</v>
      </c>
      <c r="D150" s="106" t="s">
        <v>1323</v>
      </c>
      <c r="E150" s="302">
        <v>43748</v>
      </c>
      <c r="F150" s="936" t="s">
        <v>1324</v>
      </c>
      <c r="G150" s="937" t="s">
        <v>2826</v>
      </c>
      <c r="H150" s="122">
        <v>43747</v>
      </c>
      <c r="I150" s="109">
        <v>19312</v>
      </c>
      <c r="J150" s="960" t="s">
        <v>869</v>
      </c>
      <c r="K150" s="965">
        <v>43747</v>
      </c>
      <c r="L150" s="104" t="s">
        <v>2789</v>
      </c>
      <c r="M150" s="110" t="s">
        <v>2790</v>
      </c>
      <c r="N150" s="104" t="s">
        <v>52</v>
      </c>
      <c r="O150" s="111">
        <v>160000</v>
      </c>
      <c r="P150" s="111">
        <f t="shared" si="36"/>
        <v>11200</v>
      </c>
      <c r="Q150" s="111">
        <f t="shared" si="37"/>
        <v>171200</v>
      </c>
      <c r="R150" s="212"/>
      <c r="S150" s="113" t="s">
        <v>2696</v>
      </c>
      <c r="T150" s="114">
        <f>O150</f>
        <v>160000</v>
      </c>
      <c r="U150" s="115">
        <v>5</v>
      </c>
      <c r="V150" s="116">
        <f>T150*U150/100</f>
        <v>8000</v>
      </c>
      <c r="W150" s="117">
        <f>T150-V150</f>
        <v>152000</v>
      </c>
      <c r="X150" s="118">
        <v>0.28000000000000003</v>
      </c>
      <c r="Y150" s="118">
        <f>W150*X150/100</f>
        <v>425.60000000000008</v>
      </c>
      <c r="Z150" s="119">
        <v>0.2</v>
      </c>
      <c r="AA150" s="120">
        <f>W150*Z150/100</f>
        <v>304</v>
      </c>
      <c r="AB150" s="229">
        <v>19090379</v>
      </c>
      <c r="AC150" s="230">
        <v>48000</v>
      </c>
      <c r="AD150" s="233">
        <f t="shared" si="34"/>
        <v>3360</v>
      </c>
      <c r="AE150" s="234">
        <f t="shared" si="35"/>
        <v>51360</v>
      </c>
      <c r="AF150" s="221">
        <v>43736</v>
      </c>
      <c r="AG150" s="121" t="s">
        <v>869</v>
      </c>
      <c r="AH150" s="121"/>
      <c r="AI150" s="121"/>
      <c r="AJ150" s="222" t="s">
        <v>2837</v>
      </c>
      <c r="AK150" s="128">
        <v>1</v>
      </c>
      <c r="AL150" s="129" t="s">
        <v>2791</v>
      </c>
      <c r="AM150" s="130"/>
      <c r="AN150" s="130" t="s">
        <v>869</v>
      </c>
      <c r="AO150" s="131">
        <v>2</v>
      </c>
      <c r="AP150" s="132" t="s">
        <v>634</v>
      </c>
      <c r="AQ150" s="128">
        <v>2</v>
      </c>
      <c r="AR150" s="123" t="s">
        <v>2792</v>
      </c>
      <c r="AS150" s="131"/>
      <c r="AT150" s="131" t="s">
        <v>869</v>
      </c>
      <c r="AU150" s="131">
        <v>1</v>
      </c>
      <c r="AV150" s="169" t="s">
        <v>634</v>
      </c>
      <c r="AW150" s="128">
        <v>3</v>
      </c>
      <c r="AX150" s="123" t="s">
        <v>1226</v>
      </c>
      <c r="AY150" s="131"/>
      <c r="AZ150" s="131" t="s">
        <v>869</v>
      </c>
      <c r="BA150" s="131">
        <v>1</v>
      </c>
      <c r="BB150" s="169" t="s">
        <v>634</v>
      </c>
      <c r="BC150" s="128"/>
      <c r="BD150" s="133"/>
      <c r="BE150" s="128"/>
      <c r="BF150" s="128"/>
      <c r="BG150" s="128"/>
      <c r="BH150" s="133"/>
      <c r="BI150" s="128"/>
      <c r="BJ150" s="133"/>
      <c r="BK150" s="128"/>
      <c r="BL150" s="128"/>
      <c r="BM150" s="128"/>
      <c r="BN150" s="133"/>
      <c r="BO150" s="128"/>
      <c r="BP150" s="133"/>
      <c r="BQ150" s="128"/>
      <c r="BR150" s="128"/>
      <c r="BS150" s="128"/>
      <c r="BT150" s="133"/>
      <c r="BU150" s="128"/>
      <c r="BV150" s="133"/>
      <c r="BW150" s="128"/>
      <c r="BX150" s="128"/>
      <c r="BY150" s="128"/>
      <c r="BZ150" s="133"/>
      <c r="CA150" s="128"/>
      <c r="CB150" s="133"/>
      <c r="CC150" s="128"/>
      <c r="CD150" s="128"/>
      <c r="CE150" s="128"/>
      <c r="CF150" s="128"/>
    </row>
    <row r="151" spans="1:84" x14ac:dyDescent="0.5">
      <c r="A151" s="268"/>
      <c r="B151" s="181"/>
      <c r="C151" s="182"/>
      <c r="D151" s="183"/>
      <c r="E151" s="749"/>
      <c r="F151" s="938"/>
      <c r="G151" s="939"/>
      <c r="H151" s="181"/>
      <c r="I151" s="187"/>
      <c r="J151" s="961"/>
      <c r="K151" s="200"/>
      <c r="L151" s="181"/>
      <c r="M151" s="188"/>
      <c r="N151" s="181"/>
      <c r="O151" s="189"/>
      <c r="P151" s="189"/>
      <c r="Q151" s="189"/>
      <c r="R151" s="214"/>
      <c r="S151" s="215"/>
      <c r="T151" s="216"/>
      <c r="U151" s="217"/>
      <c r="V151" s="218"/>
      <c r="W151" s="195"/>
      <c r="X151" s="196"/>
      <c r="Y151" s="196"/>
      <c r="Z151" s="197"/>
      <c r="AA151" s="198"/>
      <c r="AB151" s="200">
        <v>19100390</v>
      </c>
      <c r="AC151" s="201">
        <v>112000</v>
      </c>
      <c r="AD151" s="237">
        <f t="shared" si="34"/>
        <v>7840</v>
      </c>
      <c r="AE151" s="238">
        <f t="shared" si="35"/>
        <v>119840</v>
      </c>
      <c r="AF151" s="203">
        <v>43745</v>
      </c>
      <c r="AG151" s="199" t="s">
        <v>869</v>
      </c>
      <c r="AH151" s="199"/>
      <c r="AI151" s="199"/>
      <c r="AJ151" s="843" t="s">
        <v>3050</v>
      </c>
      <c r="AK151" s="204"/>
      <c r="AL151" s="205"/>
      <c r="AM151" s="206"/>
      <c r="AN151" s="206"/>
      <c r="AO151" s="207"/>
      <c r="AP151" s="208"/>
      <c r="AQ151" s="204"/>
      <c r="AR151" s="200"/>
      <c r="AS151" s="207"/>
      <c r="AT151" s="207"/>
      <c r="AU151" s="207"/>
      <c r="AV151" s="209"/>
      <c r="AW151" s="204"/>
      <c r="AX151" s="200"/>
      <c r="AY151" s="207"/>
      <c r="AZ151" s="207"/>
      <c r="BA151" s="207"/>
      <c r="BB151" s="209"/>
      <c r="BC151" s="204"/>
      <c r="BD151" s="210"/>
      <c r="BE151" s="204"/>
      <c r="BF151" s="204"/>
      <c r="BG151" s="204"/>
      <c r="BH151" s="210"/>
      <c r="BI151" s="204"/>
      <c r="BJ151" s="210"/>
      <c r="BK151" s="204"/>
      <c r="BL151" s="204"/>
      <c r="BM151" s="204"/>
      <c r="BN151" s="210"/>
      <c r="BO151" s="204"/>
      <c r="BP151" s="210"/>
      <c r="BQ151" s="204"/>
      <c r="BR151" s="204"/>
      <c r="BS151" s="204"/>
      <c r="BT151" s="210"/>
      <c r="BU151" s="204"/>
      <c r="BV151" s="210"/>
      <c r="BW151" s="204"/>
      <c r="BX151" s="204"/>
      <c r="BY151" s="204"/>
      <c r="BZ151" s="210"/>
      <c r="CA151" s="204"/>
      <c r="CB151" s="210"/>
      <c r="CC151" s="204"/>
      <c r="CD151" s="204"/>
      <c r="CE151" s="204"/>
      <c r="CF151" s="204"/>
    </row>
    <row r="152" spans="1:84" x14ac:dyDescent="0.5">
      <c r="A152" s="227">
        <v>19096371</v>
      </c>
      <c r="B152" s="22">
        <v>19090828</v>
      </c>
      <c r="C152" s="23" t="s">
        <v>2793</v>
      </c>
      <c r="D152" s="24" t="s">
        <v>1323</v>
      </c>
      <c r="E152" s="884">
        <v>43738</v>
      </c>
      <c r="F152" s="932" t="s">
        <v>1324</v>
      </c>
      <c r="G152" s="933" t="s">
        <v>2871</v>
      </c>
      <c r="H152" s="62">
        <v>43747</v>
      </c>
      <c r="I152" s="27">
        <v>19315</v>
      </c>
      <c r="J152" s="931" t="s">
        <v>869</v>
      </c>
      <c r="K152" s="957">
        <v>43748</v>
      </c>
      <c r="L152" s="22" t="s">
        <v>1115</v>
      </c>
      <c r="M152" s="28" t="s">
        <v>2794</v>
      </c>
      <c r="N152" s="22" t="s">
        <v>52</v>
      </c>
      <c r="O152" s="29">
        <v>80000</v>
      </c>
      <c r="P152" s="29">
        <f t="shared" si="36"/>
        <v>5600</v>
      </c>
      <c r="Q152" s="29">
        <f t="shared" si="37"/>
        <v>85600</v>
      </c>
      <c r="R152" s="61"/>
      <c r="S152" s="31" t="s">
        <v>2696</v>
      </c>
      <c r="T152" s="32">
        <f>O152</f>
        <v>80000</v>
      </c>
      <c r="U152" s="33">
        <v>5</v>
      </c>
      <c r="V152" s="34">
        <f>T152*U152/100</f>
        <v>4000</v>
      </c>
      <c r="W152" s="35">
        <f>T152-V152</f>
        <v>76000</v>
      </c>
      <c r="X152" s="36">
        <v>0.22</v>
      </c>
      <c r="Y152" s="36">
        <f>W152*X152/100</f>
        <v>167.2</v>
      </c>
      <c r="Z152" s="37">
        <v>0.2</v>
      </c>
      <c r="AA152" s="38">
        <f>W152*Z152/100</f>
        <v>152</v>
      </c>
      <c r="AB152" s="40">
        <v>19100405</v>
      </c>
      <c r="AC152" s="41">
        <v>80000</v>
      </c>
      <c r="AD152" s="63">
        <f t="shared" si="34"/>
        <v>5600</v>
      </c>
      <c r="AE152" s="63">
        <f t="shared" si="35"/>
        <v>85600</v>
      </c>
      <c r="AF152" s="53">
        <v>43755</v>
      </c>
      <c r="AG152" s="39" t="s">
        <v>869</v>
      </c>
      <c r="AH152" s="39"/>
      <c r="AI152" s="39"/>
      <c r="AJ152" s="21" t="s">
        <v>3048</v>
      </c>
      <c r="AK152" s="1032">
        <v>1</v>
      </c>
      <c r="AL152" s="45" t="s">
        <v>658</v>
      </c>
      <c r="AM152" s="46"/>
      <c r="AN152" s="46" t="s">
        <v>869</v>
      </c>
      <c r="AO152" s="47">
        <v>1</v>
      </c>
      <c r="AP152" s="48" t="s">
        <v>634</v>
      </c>
      <c r="AQ152" s="1032">
        <v>2</v>
      </c>
      <c r="AR152" s="40" t="s">
        <v>657</v>
      </c>
      <c r="AS152" s="47"/>
      <c r="AT152" s="47" t="s">
        <v>869</v>
      </c>
      <c r="AU152" s="47">
        <v>1</v>
      </c>
      <c r="AV152" s="49" t="s">
        <v>634</v>
      </c>
      <c r="AW152" s="1049"/>
      <c r="AX152" s="54"/>
      <c r="AY152" s="1049"/>
      <c r="AZ152" s="1049"/>
      <c r="BA152" s="1049"/>
      <c r="BB152" s="54"/>
      <c r="BC152" s="1049"/>
      <c r="BD152" s="54"/>
      <c r="BE152" s="1049"/>
      <c r="BF152" s="1049"/>
      <c r="BG152" s="1049"/>
      <c r="BH152" s="54"/>
      <c r="BI152" s="1049"/>
      <c r="BJ152" s="54"/>
      <c r="BK152" s="1049"/>
      <c r="BL152" s="1049"/>
      <c r="BM152" s="1049"/>
      <c r="BN152" s="54"/>
      <c r="BO152" s="1049"/>
      <c r="BP152" s="54"/>
      <c r="BQ152" s="1049"/>
      <c r="BR152" s="1049"/>
      <c r="BS152" s="1049"/>
      <c r="BT152" s="54"/>
      <c r="BU152" s="1049"/>
      <c r="BV152" s="54"/>
      <c r="BW152" s="1049"/>
      <c r="BX152" s="1049"/>
      <c r="BY152" s="1049"/>
      <c r="BZ152" s="54"/>
      <c r="CA152" s="1049"/>
      <c r="CB152" s="54"/>
      <c r="CC152" s="1049"/>
      <c r="CD152" s="1049"/>
      <c r="CE152" s="1049"/>
      <c r="CF152" s="1049"/>
    </row>
    <row r="153" spans="1:84" x14ac:dyDescent="0.5">
      <c r="A153" s="259">
        <v>19096370</v>
      </c>
      <c r="B153" s="104">
        <v>19090891</v>
      </c>
      <c r="C153" s="105" t="s">
        <v>2783</v>
      </c>
      <c r="D153" s="106" t="s">
        <v>1323</v>
      </c>
      <c r="E153" s="302">
        <v>43763</v>
      </c>
      <c r="F153" s="936"/>
      <c r="G153" s="937"/>
      <c r="H153" s="104"/>
      <c r="I153" s="109"/>
      <c r="J153" s="960"/>
      <c r="K153" s="123"/>
      <c r="L153" s="104" t="s">
        <v>2784</v>
      </c>
      <c r="M153" s="110" t="s">
        <v>2785</v>
      </c>
      <c r="N153" s="104" t="s">
        <v>50</v>
      </c>
      <c r="O153" s="111">
        <v>350000</v>
      </c>
      <c r="P153" s="111">
        <f t="shared" si="36"/>
        <v>24500</v>
      </c>
      <c r="Q153" s="111">
        <f t="shared" si="37"/>
        <v>374500</v>
      </c>
      <c r="R153" s="212"/>
      <c r="S153" s="165"/>
      <c r="T153" s="166"/>
      <c r="U153" s="167"/>
      <c r="V153" s="168"/>
      <c r="W153" s="1014"/>
      <c r="X153" s="1013"/>
      <c r="Y153" s="1013"/>
      <c r="Z153" s="1014"/>
      <c r="AA153" s="1015"/>
      <c r="AB153" s="229">
        <v>19090370</v>
      </c>
      <c r="AC153" s="230">
        <v>105000</v>
      </c>
      <c r="AD153" s="233">
        <f>AC153*7/100</f>
        <v>7350</v>
      </c>
      <c r="AE153" s="234">
        <f>AC153+AD153</f>
        <v>112350</v>
      </c>
      <c r="AF153" s="221">
        <v>43734</v>
      </c>
      <c r="AG153" s="121" t="s">
        <v>869</v>
      </c>
      <c r="AH153" s="121"/>
      <c r="AI153" s="121"/>
      <c r="AJ153" s="222" t="s">
        <v>2835</v>
      </c>
      <c r="AK153" s="128">
        <v>1</v>
      </c>
      <c r="AL153" s="129" t="s">
        <v>2786</v>
      </c>
      <c r="AM153" s="130"/>
      <c r="AN153" s="130"/>
      <c r="AO153" s="131">
        <v>1</v>
      </c>
      <c r="AP153" s="132" t="s">
        <v>1485</v>
      </c>
      <c r="AQ153" s="128"/>
      <c r="AR153" s="133"/>
      <c r="AS153" s="128"/>
      <c r="AT153" s="128"/>
      <c r="AU153" s="128"/>
      <c r="AV153" s="133"/>
      <c r="AW153" s="128"/>
      <c r="AX153" s="133"/>
      <c r="AY153" s="128"/>
      <c r="AZ153" s="128"/>
      <c r="BA153" s="128"/>
      <c r="BB153" s="133"/>
      <c r="BC153" s="128"/>
      <c r="BD153" s="133"/>
      <c r="BE153" s="128"/>
      <c r="BF153" s="128"/>
      <c r="BG153" s="128"/>
      <c r="BH153" s="133"/>
      <c r="BI153" s="128"/>
      <c r="BJ153" s="133"/>
      <c r="BK153" s="128"/>
      <c r="BL153" s="128"/>
      <c r="BM153" s="128"/>
      <c r="BN153" s="133"/>
      <c r="BO153" s="128"/>
      <c r="BP153" s="133"/>
      <c r="BQ153" s="128"/>
      <c r="BR153" s="128"/>
      <c r="BS153" s="128"/>
      <c r="BT153" s="133"/>
      <c r="BU153" s="128"/>
      <c r="BV153" s="133"/>
      <c r="BW153" s="128"/>
      <c r="BX153" s="128"/>
      <c r="BY153" s="128"/>
      <c r="BZ153" s="133"/>
      <c r="CA153" s="128"/>
      <c r="CB153" s="133"/>
      <c r="CC153" s="128"/>
      <c r="CD153" s="128"/>
      <c r="CE153" s="128"/>
      <c r="CF153" s="128"/>
    </row>
    <row r="154" spans="1:84" x14ac:dyDescent="0.5">
      <c r="A154" s="262"/>
      <c r="B154" s="135"/>
      <c r="C154" s="136"/>
      <c r="D154" s="137"/>
      <c r="E154" s="906"/>
      <c r="F154" s="940"/>
      <c r="G154" s="941"/>
      <c r="H154" s="135"/>
      <c r="I154" s="140"/>
      <c r="J154" s="963"/>
      <c r="K154" s="154"/>
      <c r="L154" s="135"/>
      <c r="M154" s="141"/>
      <c r="N154" s="135"/>
      <c r="O154" s="142"/>
      <c r="P154" s="142"/>
      <c r="Q154" s="142"/>
      <c r="R154" s="213"/>
      <c r="S154" s="172"/>
      <c r="T154" s="173"/>
      <c r="U154" s="174"/>
      <c r="V154" s="175"/>
      <c r="W154" s="1117"/>
      <c r="X154" s="1118"/>
      <c r="Y154" s="1118"/>
      <c r="Z154" s="1117"/>
      <c r="AA154" s="1119"/>
      <c r="AB154" s="292" t="s">
        <v>2988</v>
      </c>
      <c r="AC154" s="293">
        <v>140000</v>
      </c>
      <c r="AD154" s="294">
        <f>AC154*7/100</f>
        <v>9800</v>
      </c>
      <c r="AE154" s="532">
        <f>AC154+AD154</f>
        <v>149800</v>
      </c>
      <c r="AF154" s="295">
        <v>43775</v>
      </c>
      <c r="AG154" s="296" t="s">
        <v>869</v>
      </c>
      <c r="AH154" s="296"/>
      <c r="AI154" s="296"/>
      <c r="AJ154" s="308" t="s">
        <v>3350</v>
      </c>
      <c r="AK154" s="158"/>
      <c r="AL154" s="159"/>
      <c r="AM154" s="160"/>
      <c r="AN154" s="160"/>
      <c r="AO154" s="161"/>
      <c r="AP154" s="162"/>
      <c r="AQ154" s="158"/>
      <c r="AR154" s="163"/>
      <c r="AS154" s="158"/>
      <c r="AT154" s="158"/>
      <c r="AU154" s="158"/>
      <c r="AV154" s="163"/>
      <c r="AW154" s="158"/>
      <c r="AX154" s="163"/>
      <c r="AY154" s="158"/>
      <c r="AZ154" s="158"/>
      <c r="BA154" s="158"/>
      <c r="BB154" s="163"/>
      <c r="BC154" s="158"/>
      <c r="BD154" s="163"/>
      <c r="BE154" s="158"/>
      <c r="BF154" s="158"/>
      <c r="BG154" s="158"/>
      <c r="BH154" s="163"/>
      <c r="BI154" s="158"/>
      <c r="BJ154" s="163"/>
      <c r="BK154" s="158"/>
      <c r="BL154" s="158"/>
      <c r="BM154" s="158"/>
      <c r="BN154" s="163"/>
      <c r="BO154" s="158"/>
      <c r="BP154" s="163"/>
      <c r="BQ154" s="158"/>
      <c r="BR154" s="158"/>
      <c r="BS154" s="158"/>
      <c r="BT154" s="163"/>
      <c r="BU154" s="158"/>
      <c r="BV154" s="163"/>
      <c r="BW154" s="158"/>
      <c r="BX154" s="158"/>
      <c r="BY154" s="158"/>
      <c r="BZ154" s="163"/>
      <c r="CA154" s="158"/>
      <c r="CB154" s="163"/>
      <c r="CC154" s="158"/>
      <c r="CD154" s="158"/>
      <c r="CE154" s="158"/>
      <c r="CF154" s="158"/>
    </row>
    <row r="155" spans="1:84" x14ac:dyDescent="0.5">
      <c r="A155" s="268"/>
      <c r="B155" s="181"/>
      <c r="C155" s="182"/>
      <c r="D155" s="183"/>
      <c r="E155" s="749"/>
      <c r="F155" s="938"/>
      <c r="G155" s="939"/>
      <c r="H155" s="181"/>
      <c r="I155" s="187"/>
      <c r="J155" s="961"/>
      <c r="K155" s="200"/>
      <c r="L155" s="181"/>
      <c r="M155" s="188"/>
      <c r="N155" s="181"/>
      <c r="O155" s="189"/>
      <c r="P155" s="189"/>
      <c r="Q155" s="189"/>
      <c r="R155" s="214"/>
      <c r="S155" s="191"/>
      <c r="T155" s="192"/>
      <c r="U155" s="193"/>
      <c r="V155" s="194"/>
      <c r="W155" s="1007"/>
      <c r="X155" s="1006"/>
      <c r="Y155" s="1006"/>
      <c r="Z155" s="1007"/>
      <c r="AA155" s="1008"/>
      <c r="AB155" s="200" t="s">
        <v>3122</v>
      </c>
      <c r="AC155" s="201">
        <v>105000</v>
      </c>
      <c r="AD155" s="237">
        <f>AC155*7/100</f>
        <v>7350</v>
      </c>
      <c r="AE155" s="238">
        <f>AC155+AD155</f>
        <v>112350</v>
      </c>
      <c r="AF155" s="203">
        <v>43790</v>
      </c>
      <c r="AG155" s="199" t="s">
        <v>869</v>
      </c>
      <c r="AH155" s="199"/>
      <c r="AI155" s="199"/>
      <c r="AJ155" s="180" t="s">
        <v>3328</v>
      </c>
      <c r="AK155" s="204"/>
      <c r="AL155" s="205"/>
      <c r="AM155" s="206"/>
      <c r="AN155" s="206"/>
      <c r="AO155" s="207"/>
      <c r="AP155" s="208"/>
      <c r="AQ155" s="204"/>
      <c r="AR155" s="210"/>
      <c r="AS155" s="204"/>
      <c r="AT155" s="204"/>
      <c r="AU155" s="204"/>
      <c r="AV155" s="210"/>
      <c r="AW155" s="204"/>
      <c r="AX155" s="210"/>
      <c r="AY155" s="204"/>
      <c r="AZ155" s="204"/>
      <c r="BA155" s="204"/>
      <c r="BB155" s="210"/>
      <c r="BC155" s="204"/>
      <c r="BD155" s="210"/>
      <c r="BE155" s="204"/>
      <c r="BF155" s="204"/>
      <c r="BG155" s="204"/>
      <c r="BH155" s="210"/>
      <c r="BI155" s="204"/>
      <c r="BJ155" s="210"/>
      <c r="BK155" s="204"/>
      <c r="BL155" s="204"/>
      <c r="BM155" s="204"/>
      <c r="BN155" s="210"/>
      <c r="BO155" s="204"/>
      <c r="BP155" s="210"/>
      <c r="BQ155" s="204"/>
      <c r="BR155" s="204"/>
      <c r="BS155" s="204"/>
      <c r="BT155" s="210"/>
      <c r="BU155" s="204"/>
      <c r="BV155" s="210"/>
      <c r="BW155" s="204"/>
      <c r="BX155" s="204"/>
      <c r="BY155" s="204"/>
      <c r="BZ155" s="210"/>
      <c r="CA155" s="204"/>
      <c r="CB155" s="210"/>
      <c r="CC155" s="204"/>
      <c r="CD155" s="204"/>
      <c r="CE155" s="204"/>
      <c r="CF155" s="204"/>
    </row>
    <row r="156" spans="1:84" x14ac:dyDescent="0.5">
      <c r="A156" s="227">
        <v>19096369</v>
      </c>
      <c r="B156" s="22">
        <v>19090883</v>
      </c>
      <c r="C156" s="23" t="s">
        <v>2779</v>
      </c>
      <c r="D156" s="24" t="s">
        <v>1323</v>
      </c>
      <c r="E156" s="884">
        <v>43755</v>
      </c>
      <c r="F156" s="932" t="s">
        <v>3368</v>
      </c>
      <c r="G156" s="933" t="s">
        <v>1441</v>
      </c>
      <c r="H156" s="62">
        <v>43855</v>
      </c>
      <c r="I156" s="27">
        <v>63025</v>
      </c>
      <c r="J156" s="931" t="s">
        <v>869</v>
      </c>
      <c r="K156" s="957">
        <v>43857</v>
      </c>
      <c r="L156" s="22" t="s">
        <v>9</v>
      </c>
      <c r="M156" s="28" t="s">
        <v>2787</v>
      </c>
      <c r="N156" s="22" t="s">
        <v>50</v>
      </c>
      <c r="O156" s="29">
        <v>60000</v>
      </c>
      <c r="P156" s="29">
        <f t="shared" si="36"/>
        <v>4200</v>
      </c>
      <c r="Q156" s="29">
        <f t="shared" si="37"/>
        <v>64200</v>
      </c>
      <c r="R156" s="61"/>
      <c r="S156" s="96"/>
      <c r="T156" s="97"/>
      <c r="U156" s="98"/>
      <c r="V156" s="99"/>
      <c r="W156" s="35">
        <f>O156</f>
        <v>60000</v>
      </c>
      <c r="X156" s="36">
        <v>0.46</v>
      </c>
      <c r="Y156" s="36">
        <f>W156*X156/100</f>
        <v>276</v>
      </c>
      <c r="Z156" s="37">
        <v>0.2</v>
      </c>
      <c r="AA156" s="38">
        <f>W156*Z156/100</f>
        <v>120</v>
      </c>
      <c r="AB156" s="40">
        <v>20020029</v>
      </c>
      <c r="AC156" s="41">
        <v>60000</v>
      </c>
      <c r="AD156" s="63">
        <f>AC156*7/100</f>
        <v>4200</v>
      </c>
      <c r="AE156" s="63">
        <f>AC156+AD156</f>
        <v>64200</v>
      </c>
      <c r="AF156" s="53">
        <v>43903</v>
      </c>
      <c r="AG156" s="39" t="s">
        <v>869</v>
      </c>
      <c r="AH156" s="39"/>
      <c r="AI156" s="39"/>
      <c r="AJ156" s="21" t="s">
        <v>3812</v>
      </c>
      <c r="AK156" s="1031">
        <v>1</v>
      </c>
      <c r="AL156" s="45" t="s">
        <v>1158</v>
      </c>
      <c r="AM156" s="46"/>
      <c r="AN156" s="46" t="s">
        <v>869</v>
      </c>
      <c r="AO156" s="47">
        <v>1</v>
      </c>
      <c r="AP156" s="48" t="s">
        <v>634</v>
      </c>
      <c r="AQ156" s="1049"/>
      <c r="AR156" s="54"/>
      <c r="AS156" s="1049"/>
      <c r="AT156" s="1049"/>
      <c r="AU156" s="1049"/>
      <c r="AV156" s="54"/>
      <c r="AW156" s="1049"/>
      <c r="AX156" s="54"/>
      <c r="AY156" s="1049"/>
      <c r="AZ156" s="1049"/>
      <c r="BA156" s="1049"/>
      <c r="BB156" s="54"/>
      <c r="BC156" s="1049"/>
      <c r="BD156" s="54"/>
      <c r="BE156" s="1049"/>
      <c r="BF156" s="1049"/>
      <c r="BG156" s="1049"/>
      <c r="BH156" s="54"/>
      <c r="BI156" s="1049"/>
      <c r="BJ156" s="54"/>
      <c r="BK156" s="1049"/>
      <c r="BL156" s="1049"/>
      <c r="BM156" s="1049"/>
      <c r="BN156" s="54"/>
      <c r="BO156" s="1049"/>
      <c r="BP156" s="54"/>
      <c r="BQ156" s="1049"/>
      <c r="BR156" s="1049"/>
      <c r="BS156" s="1049"/>
      <c r="BT156" s="54"/>
      <c r="BU156" s="1049"/>
      <c r="BV156" s="54"/>
      <c r="BW156" s="1049"/>
      <c r="BX156" s="1049"/>
      <c r="BY156" s="1049"/>
      <c r="BZ156" s="54"/>
      <c r="CA156" s="1049"/>
      <c r="CB156" s="54"/>
      <c r="CC156" s="1049"/>
      <c r="CD156" s="1049"/>
      <c r="CE156" s="1049"/>
      <c r="CF156" s="1049"/>
    </row>
    <row r="157" spans="1:84" x14ac:dyDescent="0.5">
      <c r="A157" s="227">
        <v>19096368</v>
      </c>
      <c r="B157" s="22">
        <v>19090872</v>
      </c>
      <c r="C157" s="55"/>
      <c r="D157" s="56"/>
      <c r="E157" s="910"/>
      <c r="F157" s="57"/>
      <c r="G157" s="58"/>
      <c r="H157" s="59"/>
      <c r="I157" s="60"/>
      <c r="J157" s="269"/>
      <c r="K157" s="59"/>
      <c r="L157" s="22" t="s">
        <v>2681</v>
      </c>
      <c r="M157" s="28" t="s">
        <v>2682</v>
      </c>
      <c r="N157" s="22" t="s">
        <v>51</v>
      </c>
      <c r="O157" s="29">
        <v>6500</v>
      </c>
      <c r="P157" s="29">
        <f t="shared" si="36"/>
        <v>455</v>
      </c>
      <c r="Q157" s="29">
        <f t="shared" si="37"/>
        <v>6955</v>
      </c>
      <c r="R157" s="61"/>
      <c r="S157" s="96"/>
      <c r="T157" s="97"/>
      <c r="U157" s="98"/>
      <c r="V157" s="99"/>
      <c r="W157" s="100"/>
      <c r="X157" s="99"/>
      <c r="Y157" s="99"/>
      <c r="Z157" s="100"/>
      <c r="AA157" s="101"/>
      <c r="AB157" s="40">
        <v>19090362</v>
      </c>
      <c r="AC157" s="41">
        <v>6500</v>
      </c>
      <c r="AD157" s="52">
        <f t="shared" ref="AD157:AD168" si="38">AC157*7/100</f>
        <v>455</v>
      </c>
      <c r="AE157" s="52">
        <f t="shared" ref="AE157:AE168" si="39">AC157+AD157</f>
        <v>6955</v>
      </c>
      <c r="AF157" s="53">
        <v>43761</v>
      </c>
      <c r="AG157" s="39" t="s">
        <v>869</v>
      </c>
      <c r="AH157" s="39"/>
      <c r="AI157" s="39"/>
      <c r="AJ157" s="21" t="s">
        <v>3320</v>
      </c>
      <c r="AK157" s="1031">
        <v>1</v>
      </c>
      <c r="AL157" s="45" t="s">
        <v>2683</v>
      </c>
      <c r="AM157" s="46"/>
      <c r="AN157" s="46"/>
      <c r="AO157" s="47">
        <v>1</v>
      </c>
      <c r="AP157" s="48" t="s">
        <v>628</v>
      </c>
      <c r="AQ157" s="1034"/>
      <c r="AR157" s="54"/>
      <c r="AS157" s="1034"/>
      <c r="AT157" s="1034"/>
      <c r="AU157" s="1034"/>
      <c r="AV157" s="54"/>
      <c r="AW157" s="1034"/>
      <c r="AX157" s="54"/>
      <c r="AY157" s="1034"/>
      <c r="AZ157" s="1034"/>
      <c r="BA157" s="1034"/>
      <c r="BB157" s="54"/>
      <c r="BC157" s="1034"/>
      <c r="BD157" s="54"/>
      <c r="BE157" s="1034"/>
      <c r="BF157" s="1034"/>
      <c r="BG157" s="1034"/>
      <c r="BH157" s="54"/>
      <c r="BI157" s="1034"/>
      <c r="BJ157" s="54"/>
      <c r="BK157" s="1034"/>
      <c r="BL157" s="1034"/>
      <c r="BM157" s="1034"/>
      <c r="BN157" s="54"/>
      <c r="BO157" s="1034"/>
      <c r="BP157" s="54"/>
      <c r="BQ157" s="1034"/>
      <c r="BR157" s="1034"/>
      <c r="BS157" s="1034"/>
      <c r="BT157" s="54"/>
      <c r="BU157" s="1034"/>
      <c r="BV157" s="54"/>
      <c r="BW157" s="1034"/>
      <c r="BX157" s="1034"/>
      <c r="BY157" s="1034"/>
      <c r="BZ157" s="54"/>
      <c r="CA157" s="1034"/>
      <c r="CB157" s="54"/>
      <c r="CC157" s="1034"/>
      <c r="CD157" s="1034"/>
      <c r="CE157" s="1034"/>
      <c r="CF157" s="1034"/>
    </row>
    <row r="158" spans="1:84" x14ac:dyDescent="0.5">
      <c r="A158" s="227">
        <v>19096367</v>
      </c>
      <c r="B158" s="22">
        <v>19090859</v>
      </c>
      <c r="C158" s="55"/>
      <c r="D158" s="56"/>
      <c r="E158" s="910"/>
      <c r="F158" s="57"/>
      <c r="G158" s="58"/>
      <c r="H158" s="59"/>
      <c r="I158" s="60"/>
      <c r="J158" s="269"/>
      <c r="K158" s="59"/>
      <c r="L158" s="22" t="s">
        <v>2684</v>
      </c>
      <c r="M158" s="28" t="s">
        <v>344</v>
      </c>
      <c r="N158" s="22" t="s">
        <v>51</v>
      </c>
      <c r="O158" s="29">
        <v>52500</v>
      </c>
      <c r="P158" s="29">
        <f t="shared" si="36"/>
        <v>3675</v>
      </c>
      <c r="Q158" s="29">
        <f t="shared" si="37"/>
        <v>56175</v>
      </c>
      <c r="R158" s="61"/>
      <c r="S158" s="96"/>
      <c r="T158" s="97"/>
      <c r="U158" s="98"/>
      <c r="V158" s="99"/>
      <c r="W158" s="100"/>
      <c r="X158" s="99"/>
      <c r="Y158" s="99"/>
      <c r="Z158" s="100"/>
      <c r="AA158" s="101"/>
      <c r="AB158" s="40">
        <v>19090360</v>
      </c>
      <c r="AC158" s="41">
        <v>52500</v>
      </c>
      <c r="AD158" s="63">
        <f t="shared" si="38"/>
        <v>3675</v>
      </c>
      <c r="AE158" s="64">
        <f t="shared" si="39"/>
        <v>56175</v>
      </c>
      <c r="AF158" s="53">
        <v>43758</v>
      </c>
      <c r="AG158" s="39" t="s">
        <v>869</v>
      </c>
      <c r="AH158" s="39"/>
      <c r="AI158" s="39"/>
      <c r="AJ158" s="21" t="s">
        <v>3358</v>
      </c>
      <c r="AK158" s="1025">
        <v>1</v>
      </c>
      <c r="AL158" s="45" t="s">
        <v>2685</v>
      </c>
      <c r="AM158" s="46"/>
      <c r="AN158" s="46"/>
      <c r="AO158" s="47">
        <v>1</v>
      </c>
      <c r="AP158" s="48" t="s">
        <v>628</v>
      </c>
      <c r="AQ158" s="1025">
        <v>2</v>
      </c>
      <c r="AR158" s="40" t="s">
        <v>2686</v>
      </c>
      <c r="AS158" s="47"/>
      <c r="AT158" s="47"/>
      <c r="AU158" s="47">
        <v>1</v>
      </c>
      <c r="AV158" s="49" t="s">
        <v>628</v>
      </c>
      <c r="AW158" s="1034"/>
      <c r="AX158" s="54"/>
      <c r="AY158" s="1034"/>
      <c r="AZ158" s="1034"/>
      <c r="BA158" s="1034"/>
      <c r="BB158" s="54"/>
      <c r="BC158" s="1034"/>
      <c r="BD158" s="54"/>
      <c r="BE158" s="1034"/>
      <c r="BF158" s="1034"/>
      <c r="BG158" s="1034"/>
      <c r="BH158" s="54"/>
      <c r="BI158" s="1034"/>
      <c r="BJ158" s="54"/>
      <c r="BK158" s="1034"/>
      <c r="BL158" s="1034"/>
      <c r="BM158" s="1034"/>
      <c r="BN158" s="54"/>
      <c r="BO158" s="1034"/>
      <c r="BP158" s="54"/>
      <c r="BQ158" s="1034"/>
      <c r="BR158" s="1034"/>
      <c r="BS158" s="1034"/>
      <c r="BT158" s="54"/>
      <c r="BU158" s="1034"/>
      <c r="BV158" s="54"/>
      <c r="BW158" s="1034"/>
      <c r="BX158" s="1034"/>
      <c r="BY158" s="1034"/>
      <c r="BZ158" s="54"/>
      <c r="CA158" s="1034"/>
      <c r="CB158" s="54"/>
      <c r="CC158" s="1034"/>
      <c r="CD158" s="1034"/>
      <c r="CE158" s="1034"/>
      <c r="CF158" s="1034"/>
    </row>
    <row r="159" spans="1:84" x14ac:dyDescent="0.5">
      <c r="A159" s="227">
        <v>19096366</v>
      </c>
      <c r="B159" s="22">
        <v>19090855</v>
      </c>
      <c r="C159" s="23" t="s">
        <v>2687</v>
      </c>
      <c r="D159" s="24" t="s">
        <v>1323</v>
      </c>
      <c r="E159" s="884">
        <v>43731</v>
      </c>
      <c r="F159" s="932" t="s">
        <v>1324</v>
      </c>
      <c r="G159" s="933" t="s">
        <v>2666</v>
      </c>
      <c r="H159" s="62">
        <v>43731</v>
      </c>
      <c r="I159" s="27">
        <v>19296</v>
      </c>
      <c r="J159" s="931" t="s">
        <v>869</v>
      </c>
      <c r="K159" s="957">
        <v>43731</v>
      </c>
      <c r="L159" s="22" t="s">
        <v>20</v>
      </c>
      <c r="M159" s="28" t="s">
        <v>2688</v>
      </c>
      <c r="N159" s="22" t="s">
        <v>51</v>
      </c>
      <c r="O159" s="29">
        <v>30786</v>
      </c>
      <c r="P159" s="29">
        <f t="shared" si="36"/>
        <v>2155.02</v>
      </c>
      <c r="Q159" s="29">
        <f t="shared" si="37"/>
        <v>32941.019999999997</v>
      </c>
      <c r="R159" s="61"/>
      <c r="S159" s="96"/>
      <c r="T159" s="97"/>
      <c r="U159" s="98"/>
      <c r="V159" s="99"/>
      <c r="W159" s="100"/>
      <c r="X159" s="99"/>
      <c r="Y159" s="99"/>
      <c r="Z159" s="100"/>
      <c r="AA159" s="101"/>
      <c r="AB159" s="40">
        <v>19090372</v>
      </c>
      <c r="AC159" s="41">
        <v>30786</v>
      </c>
      <c r="AD159" s="52">
        <f t="shared" si="38"/>
        <v>2155.02</v>
      </c>
      <c r="AE159" s="52">
        <f t="shared" si="39"/>
        <v>32941.019999999997</v>
      </c>
      <c r="AF159" s="53">
        <v>43766</v>
      </c>
      <c r="AG159" s="39" t="s">
        <v>869</v>
      </c>
      <c r="AH159" s="39"/>
      <c r="AI159" s="39"/>
      <c r="AJ159" s="21" t="s">
        <v>3341</v>
      </c>
      <c r="AK159" s="1025">
        <v>1</v>
      </c>
      <c r="AL159" s="45" t="s">
        <v>2689</v>
      </c>
      <c r="AM159" s="46"/>
      <c r="AN159" s="46" t="s">
        <v>869</v>
      </c>
      <c r="AO159" s="47">
        <v>1</v>
      </c>
      <c r="AP159" s="48" t="s">
        <v>633</v>
      </c>
      <c r="AQ159" s="1034"/>
      <c r="AR159" s="54"/>
      <c r="AS159" s="1034"/>
      <c r="AT159" s="1034"/>
      <c r="AU159" s="1034"/>
      <c r="AV159" s="54"/>
      <c r="AW159" s="1034"/>
      <c r="AX159" s="54"/>
      <c r="AY159" s="1034"/>
      <c r="AZ159" s="1034"/>
      <c r="BA159" s="1034"/>
      <c r="BB159" s="54"/>
      <c r="BC159" s="1034"/>
      <c r="BD159" s="54"/>
      <c r="BE159" s="1034"/>
      <c r="BF159" s="1034"/>
      <c r="BG159" s="1034"/>
      <c r="BH159" s="54"/>
      <c r="BI159" s="1034"/>
      <c r="BJ159" s="54"/>
      <c r="BK159" s="1034"/>
      <c r="BL159" s="1034"/>
      <c r="BM159" s="1034"/>
      <c r="BN159" s="54"/>
      <c r="BO159" s="1034"/>
      <c r="BP159" s="54"/>
      <c r="BQ159" s="1034"/>
      <c r="BR159" s="1034"/>
      <c r="BS159" s="1034"/>
      <c r="BT159" s="54"/>
      <c r="BU159" s="1034"/>
      <c r="BV159" s="54"/>
      <c r="BW159" s="1034"/>
      <c r="BX159" s="1034"/>
      <c r="BY159" s="1034"/>
      <c r="BZ159" s="54"/>
      <c r="CA159" s="1034"/>
      <c r="CB159" s="54"/>
      <c r="CC159" s="1034"/>
      <c r="CD159" s="1034"/>
      <c r="CE159" s="1034"/>
      <c r="CF159" s="1034"/>
    </row>
    <row r="160" spans="1:84" x14ac:dyDescent="0.5">
      <c r="A160" s="227">
        <v>19096365</v>
      </c>
      <c r="B160" s="22">
        <v>19090854</v>
      </c>
      <c r="C160" s="23" t="s">
        <v>2666</v>
      </c>
      <c r="D160" s="24" t="s">
        <v>1323</v>
      </c>
      <c r="E160" s="884">
        <v>43727</v>
      </c>
      <c r="F160" s="932" t="s">
        <v>1324</v>
      </c>
      <c r="G160" s="933" t="s">
        <v>2619</v>
      </c>
      <c r="H160" s="62">
        <v>43726</v>
      </c>
      <c r="I160" s="27">
        <v>19291</v>
      </c>
      <c r="J160" s="931" t="s">
        <v>869</v>
      </c>
      <c r="K160" s="957">
        <v>43727</v>
      </c>
      <c r="L160" s="22" t="s">
        <v>15</v>
      </c>
      <c r="M160" s="28" t="s">
        <v>2560</v>
      </c>
      <c r="N160" s="22" t="s">
        <v>51</v>
      </c>
      <c r="O160" s="29">
        <v>10000</v>
      </c>
      <c r="P160" s="29">
        <f t="shared" si="36"/>
        <v>700</v>
      </c>
      <c r="Q160" s="29">
        <f t="shared" si="37"/>
        <v>10700</v>
      </c>
      <c r="R160" s="61"/>
      <c r="S160" s="96"/>
      <c r="T160" s="97"/>
      <c r="U160" s="98"/>
      <c r="V160" s="99"/>
      <c r="W160" s="100"/>
      <c r="X160" s="99"/>
      <c r="Y160" s="99"/>
      <c r="Z160" s="100"/>
      <c r="AA160" s="101"/>
      <c r="AB160" s="40">
        <v>19090373</v>
      </c>
      <c r="AC160" s="41">
        <v>10000</v>
      </c>
      <c r="AD160" s="52">
        <f t="shared" si="38"/>
        <v>700</v>
      </c>
      <c r="AE160" s="52">
        <f t="shared" si="39"/>
        <v>10700</v>
      </c>
      <c r="AF160" s="53">
        <v>43781</v>
      </c>
      <c r="AG160" s="39" t="s">
        <v>869</v>
      </c>
      <c r="AH160" s="39"/>
      <c r="AI160" s="39"/>
      <c r="AJ160" s="21" t="s">
        <v>3346</v>
      </c>
      <c r="AK160" s="1025">
        <v>1</v>
      </c>
      <c r="AL160" s="45" t="s">
        <v>830</v>
      </c>
      <c r="AM160" s="46"/>
      <c r="AN160" s="46" t="s">
        <v>869</v>
      </c>
      <c r="AO160" s="47">
        <v>2</v>
      </c>
      <c r="AP160" s="48" t="s">
        <v>633</v>
      </c>
      <c r="AQ160" s="1034"/>
      <c r="AR160" s="54"/>
      <c r="AS160" s="1034"/>
      <c r="AT160" s="1034"/>
      <c r="AU160" s="1034"/>
      <c r="AV160" s="54"/>
      <c r="AW160" s="1034"/>
      <c r="AX160" s="54"/>
      <c r="AY160" s="1034"/>
      <c r="AZ160" s="1034"/>
      <c r="BA160" s="1034"/>
      <c r="BB160" s="54"/>
      <c r="BC160" s="1034"/>
      <c r="BD160" s="54"/>
      <c r="BE160" s="1034"/>
      <c r="BF160" s="1034"/>
      <c r="BG160" s="1034"/>
      <c r="BH160" s="54"/>
      <c r="BI160" s="1034"/>
      <c r="BJ160" s="54"/>
      <c r="BK160" s="1034"/>
      <c r="BL160" s="1034"/>
      <c r="BM160" s="1034"/>
      <c r="BN160" s="54"/>
      <c r="BO160" s="1034"/>
      <c r="BP160" s="54"/>
      <c r="BQ160" s="1034"/>
      <c r="BR160" s="1034"/>
      <c r="BS160" s="1034"/>
      <c r="BT160" s="54"/>
      <c r="BU160" s="1034"/>
      <c r="BV160" s="54"/>
      <c r="BW160" s="1034"/>
      <c r="BX160" s="1034"/>
      <c r="BY160" s="1034"/>
      <c r="BZ160" s="54"/>
      <c r="CA160" s="1034"/>
      <c r="CB160" s="54"/>
      <c r="CC160" s="1034"/>
      <c r="CD160" s="1034"/>
      <c r="CE160" s="1034"/>
      <c r="CF160" s="1034"/>
    </row>
    <row r="161" spans="1:86" x14ac:dyDescent="0.5">
      <c r="A161" s="227">
        <v>19096364</v>
      </c>
      <c r="B161" s="22">
        <v>19090851</v>
      </c>
      <c r="C161" s="23" t="s">
        <v>2690</v>
      </c>
      <c r="D161" s="24" t="s">
        <v>2691</v>
      </c>
      <c r="E161" s="884">
        <v>43731</v>
      </c>
      <c r="F161" s="932" t="s">
        <v>1324</v>
      </c>
      <c r="G161" s="933" t="s">
        <v>2690</v>
      </c>
      <c r="H161" s="62">
        <v>43731</v>
      </c>
      <c r="I161" s="27">
        <v>19295</v>
      </c>
      <c r="J161" s="931" t="s">
        <v>869</v>
      </c>
      <c r="K161" s="957">
        <v>43731</v>
      </c>
      <c r="L161" s="22" t="s">
        <v>20</v>
      </c>
      <c r="M161" s="28" t="s">
        <v>2662</v>
      </c>
      <c r="N161" s="22" t="s">
        <v>51</v>
      </c>
      <c r="O161" s="29">
        <v>5250</v>
      </c>
      <c r="P161" s="29">
        <f t="shared" si="36"/>
        <v>367.5</v>
      </c>
      <c r="Q161" s="29">
        <f t="shared" si="37"/>
        <v>5617.5</v>
      </c>
      <c r="R161" s="61"/>
      <c r="S161" s="96"/>
      <c r="T161" s="97"/>
      <c r="U161" s="98"/>
      <c r="V161" s="99"/>
      <c r="W161" s="100"/>
      <c r="X161" s="99"/>
      <c r="Y161" s="99"/>
      <c r="Z161" s="100"/>
      <c r="AA161" s="101"/>
      <c r="AB161" s="40">
        <v>19090371</v>
      </c>
      <c r="AC161" s="41">
        <v>5250</v>
      </c>
      <c r="AD161" s="63">
        <f t="shared" si="38"/>
        <v>367.5</v>
      </c>
      <c r="AE161" s="64">
        <f t="shared" si="39"/>
        <v>5617.5</v>
      </c>
      <c r="AF161" s="53">
        <v>43766</v>
      </c>
      <c r="AG161" s="39" t="s">
        <v>869</v>
      </c>
      <c r="AH161" s="39"/>
      <c r="AI161" s="39"/>
      <c r="AJ161" s="21" t="s">
        <v>3341</v>
      </c>
      <c r="AK161" s="1025">
        <v>1</v>
      </c>
      <c r="AL161" s="45" t="s">
        <v>2663</v>
      </c>
      <c r="AM161" s="46"/>
      <c r="AN161" s="46" t="s">
        <v>869</v>
      </c>
      <c r="AO161" s="47">
        <v>1</v>
      </c>
      <c r="AP161" s="48" t="s">
        <v>633</v>
      </c>
      <c r="AQ161" s="1034"/>
      <c r="AR161" s="54"/>
      <c r="AS161" s="1034"/>
      <c r="AT161" s="1034"/>
      <c r="AU161" s="1034"/>
      <c r="AV161" s="54"/>
      <c r="AW161" s="1034"/>
      <c r="AX161" s="54"/>
      <c r="AY161" s="1034"/>
      <c r="AZ161" s="1034"/>
      <c r="BA161" s="1034"/>
      <c r="BB161" s="54"/>
      <c r="BC161" s="1034"/>
      <c r="BD161" s="54"/>
      <c r="BE161" s="1034"/>
      <c r="BF161" s="1034"/>
      <c r="BG161" s="1034"/>
      <c r="BH161" s="54"/>
      <c r="BI161" s="1034"/>
      <c r="BJ161" s="54"/>
      <c r="BK161" s="1034"/>
      <c r="BL161" s="1034"/>
      <c r="BM161" s="1034"/>
      <c r="BN161" s="54"/>
      <c r="BO161" s="1034"/>
      <c r="BP161" s="54"/>
      <c r="BQ161" s="1034"/>
      <c r="BR161" s="1034"/>
      <c r="BS161" s="1034"/>
      <c r="BT161" s="54"/>
      <c r="BU161" s="1034"/>
      <c r="BV161" s="54"/>
      <c r="BW161" s="1034"/>
      <c r="BX161" s="1034"/>
      <c r="BY161" s="1034"/>
      <c r="BZ161" s="54"/>
      <c r="CA161" s="1034"/>
      <c r="CB161" s="54"/>
      <c r="CC161" s="1034"/>
      <c r="CD161" s="1034"/>
      <c r="CE161" s="1034"/>
      <c r="CF161" s="1034"/>
    </row>
    <row r="162" spans="1:86" x14ac:dyDescent="0.5">
      <c r="A162" s="259">
        <v>19096363</v>
      </c>
      <c r="B162" s="104">
        <v>19090850</v>
      </c>
      <c r="C162" s="105" t="s">
        <v>2630</v>
      </c>
      <c r="D162" s="106" t="s">
        <v>1323</v>
      </c>
      <c r="E162" s="302">
        <v>43769</v>
      </c>
      <c r="F162" s="936" t="s">
        <v>1324</v>
      </c>
      <c r="G162" s="937" t="s">
        <v>2889</v>
      </c>
      <c r="H162" s="211">
        <v>43754</v>
      </c>
      <c r="I162" s="164">
        <v>19325</v>
      </c>
      <c r="J162" s="960" t="s">
        <v>869</v>
      </c>
      <c r="K162" s="965">
        <v>43756</v>
      </c>
      <c r="L162" s="104" t="s">
        <v>1117</v>
      </c>
      <c r="M162" s="110" t="s">
        <v>2631</v>
      </c>
      <c r="N162" s="104" t="s">
        <v>1523</v>
      </c>
      <c r="O162" s="111">
        <v>953908.31</v>
      </c>
      <c r="P162" s="111">
        <f t="shared" ref="P162:P195" si="40">O162*7/100</f>
        <v>66773.581699999995</v>
      </c>
      <c r="Q162" s="111">
        <f t="shared" ref="Q162:Q195" si="41">O162+P162</f>
        <v>1020681.8917</v>
      </c>
      <c r="R162" s="212"/>
      <c r="S162" s="113" t="s">
        <v>1310</v>
      </c>
      <c r="T162" s="114">
        <f>O162</f>
        <v>953908.31</v>
      </c>
      <c r="U162" s="115">
        <v>5</v>
      </c>
      <c r="V162" s="116">
        <f>T162*U162/100</f>
        <v>47695.41550000001</v>
      </c>
      <c r="W162" s="117">
        <f>T162-V162</f>
        <v>906212.89450000005</v>
      </c>
      <c r="X162" s="168"/>
      <c r="Y162" s="168"/>
      <c r="Z162" s="119">
        <v>0.2</v>
      </c>
      <c r="AA162" s="120">
        <f>W162*Z162/100</f>
        <v>1812.4257890000001</v>
      </c>
      <c r="AB162" s="123">
        <v>19090345</v>
      </c>
      <c r="AC162" s="124">
        <v>953908.31</v>
      </c>
      <c r="AD162" s="260">
        <f t="shared" si="38"/>
        <v>66773.581699999995</v>
      </c>
      <c r="AE162" s="261">
        <f t="shared" si="39"/>
        <v>1020681.8917</v>
      </c>
      <c r="AF162" s="126">
        <v>43734</v>
      </c>
      <c r="AG162" s="127" t="s">
        <v>869</v>
      </c>
      <c r="AH162" s="127"/>
      <c r="AI162" s="127"/>
      <c r="AJ162" s="103" t="s">
        <v>3331</v>
      </c>
      <c r="AK162" s="128">
        <v>1</v>
      </c>
      <c r="AL162" s="129" t="s">
        <v>2632</v>
      </c>
      <c r="AM162" s="130"/>
      <c r="AN162" s="130" t="s">
        <v>869</v>
      </c>
      <c r="AO162" s="131">
        <v>1</v>
      </c>
      <c r="AP162" s="132" t="s">
        <v>634</v>
      </c>
      <c r="AQ162" s="128"/>
      <c r="AR162" s="133"/>
      <c r="AS162" s="128"/>
      <c r="AT162" s="128"/>
      <c r="AU162" s="128"/>
      <c r="AV162" s="133"/>
      <c r="AW162" s="128"/>
      <c r="AX162" s="133"/>
      <c r="AY162" s="128"/>
      <c r="AZ162" s="128"/>
      <c r="BA162" s="128"/>
      <c r="BB162" s="133"/>
      <c r="BC162" s="128"/>
      <c r="BD162" s="133"/>
      <c r="BE162" s="128"/>
      <c r="BF162" s="128"/>
      <c r="BG162" s="128"/>
      <c r="BH162" s="133"/>
      <c r="BI162" s="128"/>
      <c r="BJ162" s="133"/>
      <c r="BK162" s="128"/>
      <c r="BL162" s="128"/>
      <c r="BM162" s="128"/>
      <c r="BN162" s="133"/>
      <c r="BO162" s="128"/>
      <c r="BP162" s="133"/>
      <c r="BQ162" s="128"/>
      <c r="BR162" s="128"/>
      <c r="BS162" s="128"/>
      <c r="BT162" s="133"/>
      <c r="BU162" s="128"/>
      <c r="BV162" s="133"/>
      <c r="BW162" s="128"/>
      <c r="BX162" s="128"/>
      <c r="BY162" s="128"/>
      <c r="BZ162" s="133"/>
      <c r="CA162" s="128"/>
      <c r="CB162" s="133"/>
      <c r="CC162" s="128"/>
      <c r="CD162" s="128"/>
      <c r="CE162" s="128"/>
      <c r="CF162" s="128"/>
    </row>
    <row r="163" spans="1:86" x14ac:dyDescent="0.5">
      <c r="A163" s="262"/>
      <c r="B163" s="135"/>
      <c r="C163" s="136"/>
      <c r="D163" s="137"/>
      <c r="E163" s="906"/>
      <c r="F163" s="940"/>
      <c r="G163" s="941"/>
      <c r="H163" s="170">
        <v>43754</v>
      </c>
      <c r="I163" s="251">
        <v>19326</v>
      </c>
      <c r="J163" s="963"/>
      <c r="K163" s="154"/>
      <c r="L163" s="135"/>
      <c r="M163" s="141"/>
      <c r="N163" s="135"/>
      <c r="O163" s="142"/>
      <c r="P163" s="142"/>
      <c r="Q163" s="142"/>
      <c r="R163" s="213"/>
      <c r="S163" s="144"/>
      <c r="T163" s="145"/>
      <c r="U163" s="146"/>
      <c r="V163" s="147"/>
      <c r="W163" s="148"/>
      <c r="X163" s="175"/>
      <c r="Y163" s="175"/>
      <c r="Z163" s="150"/>
      <c r="AA163" s="151"/>
      <c r="AB163" s="154"/>
      <c r="AC163" s="155"/>
      <c r="AD163" s="253"/>
      <c r="AE163" s="263"/>
      <c r="AF163" s="157"/>
      <c r="AG163" s="152"/>
      <c r="AH163" s="152"/>
      <c r="AI163" s="152"/>
      <c r="AJ163" s="134"/>
      <c r="AK163" s="158"/>
      <c r="AL163" s="159"/>
      <c r="AM163" s="160"/>
      <c r="AN163" s="160"/>
      <c r="AO163" s="161"/>
      <c r="AP163" s="162"/>
      <c r="AQ163" s="158"/>
      <c r="AR163" s="163"/>
      <c r="AS163" s="158"/>
      <c r="AT163" s="158"/>
      <c r="AU163" s="158"/>
      <c r="AV163" s="163"/>
      <c r="AW163" s="158"/>
      <c r="AX163" s="163"/>
      <c r="AY163" s="158"/>
      <c r="AZ163" s="158"/>
      <c r="BA163" s="158"/>
      <c r="BB163" s="163"/>
      <c r="BC163" s="158"/>
      <c r="BD163" s="163"/>
      <c r="BE163" s="158"/>
      <c r="BF163" s="158"/>
      <c r="BG163" s="158"/>
      <c r="BH163" s="163"/>
      <c r="BI163" s="158"/>
      <c r="BJ163" s="163"/>
      <c r="BK163" s="158"/>
      <c r="BL163" s="158"/>
      <c r="BM163" s="158"/>
      <c r="BN163" s="163"/>
      <c r="BO163" s="158"/>
      <c r="BP163" s="163"/>
      <c r="BQ163" s="158"/>
      <c r="BR163" s="158"/>
      <c r="BS163" s="158"/>
      <c r="BT163" s="163"/>
      <c r="BU163" s="158"/>
      <c r="BV163" s="163"/>
      <c r="BW163" s="158"/>
      <c r="BX163" s="158"/>
      <c r="BY163" s="158"/>
      <c r="BZ163" s="163"/>
      <c r="CA163" s="158"/>
      <c r="CB163" s="163"/>
      <c r="CC163" s="158"/>
      <c r="CD163" s="158"/>
      <c r="CE163" s="158"/>
      <c r="CF163" s="158"/>
    </row>
    <row r="164" spans="1:86" x14ac:dyDescent="0.5">
      <c r="A164" s="262"/>
      <c r="B164" s="135"/>
      <c r="C164" s="136"/>
      <c r="D164" s="137"/>
      <c r="E164" s="906"/>
      <c r="F164" s="940"/>
      <c r="G164" s="941"/>
      <c r="H164" s="178">
        <v>43754</v>
      </c>
      <c r="I164" s="171">
        <v>19327</v>
      </c>
      <c r="J164" s="963"/>
      <c r="K164" s="154"/>
      <c r="L164" s="135"/>
      <c r="M164" s="141"/>
      <c r="N164" s="135"/>
      <c r="O164" s="142"/>
      <c r="P164" s="142"/>
      <c r="Q164" s="142"/>
      <c r="R164" s="213"/>
      <c r="S164" s="144"/>
      <c r="T164" s="145"/>
      <c r="U164" s="146"/>
      <c r="V164" s="147"/>
      <c r="W164" s="148"/>
      <c r="X164" s="175"/>
      <c r="Y164" s="175"/>
      <c r="Z164" s="150"/>
      <c r="AA164" s="151"/>
      <c r="AB164" s="154"/>
      <c r="AC164" s="155"/>
      <c r="AD164" s="253"/>
      <c r="AE164" s="263"/>
      <c r="AF164" s="157"/>
      <c r="AG164" s="152"/>
      <c r="AH164" s="152"/>
      <c r="AI164" s="152"/>
      <c r="AJ164" s="134"/>
      <c r="AK164" s="158"/>
      <c r="AL164" s="159"/>
      <c r="AM164" s="160"/>
      <c r="AN164" s="160"/>
      <c r="AO164" s="161"/>
      <c r="AP164" s="162"/>
      <c r="AQ164" s="158"/>
      <c r="AR164" s="163"/>
      <c r="AS164" s="158"/>
      <c r="AT164" s="158"/>
      <c r="AU164" s="158"/>
      <c r="AV164" s="163"/>
      <c r="AW164" s="158"/>
      <c r="AX164" s="163"/>
      <c r="AY164" s="158"/>
      <c r="AZ164" s="158"/>
      <c r="BA164" s="158"/>
      <c r="BB164" s="163"/>
      <c r="BC164" s="158"/>
      <c r="BD164" s="163"/>
      <c r="BE164" s="158"/>
      <c r="BF164" s="158"/>
      <c r="BG164" s="158"/>
      <c r="BH164" s="163"/>
      <c r="BI164" s="158"/>
      <c r="BJ164" s="163"/>
      <c r="BK164" s="158"/>
      <c r="BL164" s="158"/>
      <c r="BM164" s="158"/>
      <c r="BN164" s="163"/>
      <c r="BO164" s="158"/>
      <c r="BP164" s="163"/>
      <c r="BQ164" s="158"/>
      <c r="BR164" s="158"/>
      <c r="BS164" s="158"/>
      <c r="BT164" s="163"/>
      <c r="BU164" s="158"/>
      <c r="BV164" s="163"/>
      <c r="BW164" s="158"/>
      <c r="BX164" s="158"/>
      <c r="BY164" s="158"/>
      <c r="BZ164" s="163"/>
      <c r="CA164" s="158"/>
      <c r="CB164" s="163"/>
      <c r="CC164" s="158"/>
      <c r="CD164" s="158"/>
      <c r="CE164" s="158"/>
      <c r="CF164" s="158"/>
    </row>
    <row r="165" spans="1:86" x14ac:dyDescent="0.5">
      <c r="A165" s="268"/>
      <c r="B165" s="181"/>
      <c r="C165" s="182"/>
      <c r="D165" s="183"/>
      <c r="E165" s="749"/>
      <c r="F165" s="938"/>
      <c r="G165" s="939"/>
      <c r="H165" s="186">
        <v>43754</v>
      </c>
      <c r="I165" s="187">
        <v>19328</v>
      </c>
      <c r="J165" s="961"/>
      <c r="K165" s="200"/>
      <c r="L165" s="181"/>
      <c r="M165" s="188"/>
      <c r="N165" s="181"/>
      <c r="O165" s="189"/>
      <c r="P165" s="189"/>
      <c r="Q165" s="189"/>
      <c r="R165" s="214"/>
      <c r="S165" s="215"/>
      <c r="T165" s="216"/>
      <c r="U165" s="217"/>
      <c r="V165" s="218"/>
      <c r="W165" s="195"/>
      <c r="X165" s="194"/>
      <c r="Y165" s="194"/>
      <c r="Z165" s="197"/>
      <c r="AA165" s="198"/>
      <c r="AB165" s="200"/>
      <c r="AC165" s="201"/>
      <c r="AD165" s="237"/>
      <c r="AE165" s="238"/>
      <c r="AF165" s="203"/>
      <c r="AG165" s="199"/>
      <c r="AH165" s="199"/>
      <c r="AI165" s="199"/>
      <c r="AJ165" s="180"/>
      <c r="AK165" s="204"/>
      <c r="AL165" s="205"/>
      <c r="AM165" s="206"/>
      <c r="AN165" s="206"/>
      <c r="AO165" s="207"/>
      <c r="AP165" s="208"/>
      <c r="AQ165" s="204"/>
      <c r="AR165" s="210"/>
      <c r="AS165" s="204"/>
      <c r="AT165" s="204"/>
      <c r="AU165" s="204"/>
      <c r="AV165" s="210"/>
      <c r="AW165" s="204"/>
      <c r="AX165" s="210"/>
      <c r="AY165" s="204"/>
      <c r="AZ165" s="204"/>
      <c r="BA165" s="204"/>
      <c r="BB165" s="210"/>
      <c r="BC165" s="204"/>
      <c r="BD165" s="210"/>
      <c r="BE165" s="204"/>
      <c r="BF165" s="204"/>
      <c r="BG165" s="204"/>
      <c r="BH165" s="210"/>
      <c r="BI165" s="204"/>
      <c r="BJ165" s="210"/>
      <c r="BK165" s="204"/>
      <c r="BL165" s="204"/>
      <c r="BM165" s="204"/>
      <c r="BN165" s="210"/>
      <c r="BO165" s="204"/>
      <c r="BP165" s="210"/>
      <c r="BQ165" s="204"/>
      <c r="BR165" s="204"/>
      <c r="BS165" s="204"/>
      <c r="BT165" s="210"/>
      <c r="BU165" s="204"/>
      <c r="BV165" s="210"/>
      <c r="BW165" s="204"/>
      <c r="BX165" s="204"/>
      <c r="BY165" s="204"/>
      <c r="BZ165" s="210"/>
      <c r="CA165" s="204"/>
      <c r="CB165" s="210"/>
      <c r="CC165" s="204"/>
      <c r="CD165" s="204"/>
      <c r="CE165" s="204"/>
      <c r="CF165" s="204"/>
    </row>
    <row r="166" spans="1:86" x14ac:dyDescent="0.5">
      <c r="A166" s="227">
        <v>19096362</v>
      </c>
      <c r="B166" s="22">
        <v>19090831</v>
      </c>
      <c r="C166" s="23" t="s">
        <v>2633</v>
      </c>
      <c r="D166" s="24" t="s">
        <v>1323</v>
      </c>
      <c r="E166" s="884">
        <v>43729</v>
      </c>
      <c r="F166" s="932" t="s">
        <v>1324</v>
      </c>
      <c r="G166" s="933" t="s">
        <v>2687</v>
      </c>
      <c r="H166" s="62">
        <v>43731</v>
      </c>
      <c r="I166" s="27">
        <v>19297</v>
      </c>
      <c r="J166" s="931" t="s">
        <v>869</v>
      </c>
      <c r="K166" s="957">
        <v>43733</v>
      </c>
      <c r="L166" s="22" t="s">
        <v>167</v>
      </c>
      <c r="M166" s="28" t="s">
        <v>2634</v>
      </c>
      <c r="N166" s="22" t="s">
        <v>1523</v>
      </c>
      <c r="O166" s="29">
        <v>105000</v>
      </c>
      <c r="P166" s="29">
        <f t="shared" si="40"/>
        <v>7350</v>
      </c>
      <c r="Q166" s="29">
        <f t="shared" si="41"/>
        <v>112350</v>
      </c>
      <c r="R166" s="30">
        <v>8300</v>
      </c>
      <c r="S166" s="96"/>
      <c r="T166" s="97"/>
      <c r="U166" s="98"/>
      <c r="V166" s="99"/>
      <c r="W166" s="35">
        <f>O166-R166</f>
        <v>96700</v>
      </c>
      <c r="X166" s="36">
        <v>0.4</v>
      </c>
      <c r="Y166" s="36">
        <f>W166*X166/100</f>
        <v>386.8</v>
      </c>
      <c r="Z166" s="37">
        <v>0.2</v>
      </c>
      <c r="AA166" s="38">
        <f>W166*Z166/100</f>
        <v>193.4</v>
      </c>
      <c r="AB166" s="40">
        <v>19090365</v>
      </c>
      <c r="AC166" s="41">
        <v>105000</v>
      </c>
      <c r="AD166" s="63">
        <f t="shared" si="38"/>
        <v>7350</v>
      </c>
      <c r="AE166" s="64">
        <f t="shared" si="39"/>
        <v>112350</v>
      </c>
      <c r="AF166" s="53">
        <v>43763</v>
      </c>
      <c r="AG166" s="39" t="s">
        <v>869</v>
      </c>
      <c r="AH166" s="39"/>
      <c r="AI166" s="39"/>
      <c r="AJ166" s="21" t="s">
        <v>4324</v>
      </c>
      <c r="AK166" s="1025">
        <v>1</v>
      </c>
      <c r="AL166" s="45" t="s">
        <v>793</v>
      </c>
      <c r="AM166" s="46"/>
      <c r="AN166" s="46" t="s">
        <v>869</v>
      </c>
      <c r="AO166" s="47">
        <v>4</v>
      </c>
      <c r="AP166" s="48" t="s">
        <v>634</v>
      </c>
      <c r="AQ166" s="1025"/>
      <c r="AR166" s="54"/>
      <c r="AS166" s="1025"/>
      <c r="AT166" s="1025"/>
      <c r="AU166" s="1025"/>
      <c r="AV166" s="54"/>
      <c r="AW166" s="1025"/>
      <c r="AX166" s="54"/>
      <c r="AY166" s="1025"/>
      <c r="AZ166" s="1025"/>
      <c r="BA166" s="1025"/>
      <c r="BB166" s="54"/>
      <c r="BC166" s="1025"/>
      <c r="BD166" s="54"/>
      <c r="BE166" s="1025"/>
      <c r="BF166" s="1025"/>
      <c r="BG166" s="1025"/>
      <c r="BH166" s="54"/>
      <c r="BI166" s="1025"/>
      <c r="BJ166" s="54"/>
      <c r="BK166" s="1025"/>
      <c r="BL166" s="1025"/>
      <c r="BM166" s="1025"/>
      <c r="BN166" s="54"/>
      <c r="BO166" s="1025"/>
      <c r="BP166" s="54"/>
      <c r="BQ166" s="1025"/>
      <c r="BR166" s="1025"/>
      <c r="BS166" s="1025"/>
      <c r="BT166" s="54"/>
      <c r="BU166" s="1025"/>
      <c r="BV166" s="54"/>
      <c r="BW166" s="1025"/>
      <c r="BX166" s="1025"/>
      <c r="BY166" s="1025"/>
      <c r="BZ166" s="54"/>
      <c r="CA166" s="1025"/>
      <c r="CB166" s="54"/>
      <c r="CC166" s="1025"/>
      <c r="CD166" s="1025"/>
      <c r="CE166" s="1025"/>
      <c r="CF166" s="1025"/>
    </row>
    <row r="167" spans="1:86" x14ac:dyDescent="0.5">
      <c r="A167" s="259">
        <v>19096361</v>
      </c>
      <c r="B167" s="104" t="s">
        <v>2635</v>
      </c>
      <c r="C167" s="105" t="s">
        <v>2636</v>
      </c>
      <c r="D167" s="106" t="s">
        <v>1323</v>
      </c>
      <c r="E167" s="302">
        <v>43738</v>
      </c>
      <c r="F167" s="936" t="s">
        <v>1324</v>
      </c>
      <c r="G167" s="937" t="s">
        <v>2813</v>
      </c>
      <c r="H167" s="211">
        <v>43740</v>
      </c>
      <c r="I167" s="164">
        <v>19308</v>
      </c>
      <c r="J167" s="960" t="s">
        <v>869</v>
      </c>
      <c r="K167" s="965">
        <v>43741</v>
      </c>
      <c r="L167" s="104" t="s">
        <v>1613</v>
      </c>
      <c r="M167" s="110" t="s">
        <v>2637</v>
      </c>
      <c r="N167" s="104" t="s">
        <v>52</v>
      </c>
      <c r="O167" s="111">
        <v>600000</v>
      </c>
      <c r="P167" s="111">
        <f t="shared" si="40"/>
        <v>42000</v>
      </c>
      <c r="Q167" s="111">
        <f t="shared" si="41"/>
        <v>642000</v>
      </c>
      <c r="R167" s="311">
        <v>28000</v>
      </c>
      <c r="S167" s="113" t="s">
        <v>2695</v>
      </c>
      <c r="T167" s="114">
        <f>O167-R167-CG167</f>
        <v>512000</v>
      </c>
      <c r="U167" s="115">
        <v>5</v>
      </c>
      <c r="V167" s="116">
        <f>T167*U167/100</f>
        <v>25600</v>
      </c>
      <c r="W167" s="117">
        <f>T167-V167</f>
        <v>486400</v>
      </c>
      <c r="X167" s="118">
        <v>0.32</v>
      </c>
      <c r="Y167" s="118">
        <f>W167*X167</f>
        <v>155648</v>
      </c>
      <c r="Z167" s="119">
        <v>0.2</v>
      </c>
      <c r="AA167" s="120">
        <f>W167*Z167/100</f>
        <v>972.8</v>
      </c>
      <c r="AB167" s="229">
        <v>19090343</v>
      </c>
      <c r="AC167" s="230">
        <v>180000</v>
      </c>
      <c r="AD167" s="220">
        <f t="shared" si="38"/>
        <v>12600</v>
      </c>
      <c r="AE167" s="220">
        <f t="shared" si="39"/>
        <v>192600</v>
      </c>
      <c r="AF167" s="221">
        <v>43720</v>
      </c>
      <c r="AG167" s="121" t="s">
        <v>869</v>
      </c>
      <c r="AH167" s="121"/>
      <c r="AI167" s="121"/>
      <c r="AJ167" s="979" t="s">
        <v>3072</v>
      </c>
      <c r="AK167" s="128">
        <v>1</v>
      </c>
      <c r="AL167" s="129" t="s">
        <v>2638</v>
      </c>
      <c r="AM167" s="130" t="s">
        <v>869</v>
      </c>
      <c r="AN167" s="130"/>
      <c r="AO167" s="131">
        <v>4</v>
      </c>
      <c r="AP167" s="132" t="s">
        <v>636</v>
      </c>
      <c r="AQ167" s="128"/>
      <c r="AR167" s="133"/>
      <c r="AS167" s="128"/>
      <c r="AT167" s="128"/>
      <c r="AU167" s="128"/>
      <c r="AV167" s="133"/>
      <c r="AW167" s="128"/>
      <c r="AX167" s="133"/>
      <c r="AY167" s="128"/>
      <c r="AZ167" s="128"/>
      <c r="BA167" s="128"/>
      <c r="BB167" s="133"/>
      <c r="BC167" s="128"/>
      <c r="BD167" s="133"/>
      <c r="BE167" s="128"/>
      <c r="BF167" s="128"/>
      <c r="BG167" s="128"/>
      <c r="BH167" s="133"/>
      <c r="BI167" s="128"/>
      <c r="BJ167" s="133"/>
      <c r="BK167" s="128"/>
      <c r="BL167" s="128"/>
      <c r="BM167" s="128"/>
      <c r="BN167" s="133"/>
      <c r="BO167" s="128"/>
      <c r="BP167" s="133"/>
      <c r="BQ167" s="128"/>
      <c r="BR167" s="128"/>
      <c r="BS167" s="128"/>
      <c r="BT167" s="133"/>
      <c r="BU167" s="128"/>
      <c r="BV167" s="133"/>
      <c r="BW167" s="128"/>
      <c r="BX167" s="128"/>
      <c r="BY167" s="128"/>
      <c r="BZ167" s="133"/>
      <c r="CA167" s="128"/>
      <c r="CB167" s="133"/>
      <c r="CC167" s="128"/>
      <c r="CD167" s="128"/>
      <c r="CE167" s="128"/>
      <c r="CF167" s="128"/>
      <c r="CG167" s="51">
        <v>60000</v>
      </c>
      <c r="CH167" s="51" t="s">
        <v>2694</v>
      </c>
    </row>
    <row r="168" spans="1:86" x14ac:dyDescent="0.5">
      <c r="A168" s="262"/>
      <c r="B168" s="135"/>
      <c r="C168" s="136"/>
      <c r="D168" s="137"/>
      <c r="E168" s="906"/>
      <c r="F168" s="940"/>
      <c r="G168" s="941"/>
      <c r="H168" s="170">
        <v>43740</v>
      </c>
      <c r="I168" s="251">
        <v>19309</v>
      </c>
      <c r="J168" s="963"/>
      <c r="K168" s="154"/>
      <c r="L168" s="135"/>
      <c r="M168" s="141"/>
      <c r="N168" s="135"/>
      <c r="O168" s="142"/>
      <c r="P168" s="142"/>
      <c r="Q168" s="142"/>
      <c r="R168" s="143"/>
      <c r="S168" s="144"/>
      <c r="T168" s="145"/>
      <c r="U168" s="146"/>
      <c r="V168" s="147"/>
      <c r="W168" s="148"/>
      <c r="X168" s="149"/>
      <c r="Y168" s="149"/>
      <c r="Z168" s="150"/>
      <c r="AA168" s="151"/>
      <c r="AB168" s="154">
        <v>19090344</v>
      </c>
      <c r="AC168" s="155">
        <v>420000</v>
      </c>
      <c r="AD168" s="156">
        <f t="shared" si="38"/>
        <v>29400</v>
      </c>
      <c r="AE168" s="156">
        <f t="shared" si="39"/>
        <v>449400</v>
      </c>
      <c r="AF168" s="157">
        <v>43780</v>
      </c>
      <c r="AG168" s="152" t="s">
        <v>869</v>
      </c>
      <c r="AH168" s="152"/>
      <c r="AI168" s="152"/>
      <c r="AJ168" s="842" t="s">
        <v>3306</v>
      </c>
      <c r="AK168" s="158"/>
      <c r="AL168" s="159"/>
      <c r="AM168" s="160"/>
      <c r="AN168" s="160"/>
      <c r="AO168" s="161"/>
      <c r="AP168" s="162"/>
      <c r="AQ168" s="158"/>
      <c r="AR168" s="163"/>
      <c r="AS168" s="158"/>
      <c r="AT168" s="158"/>
      <c r="AU168" s="158"/>
      <c r="AV168" s="163"/>
      <c r="AW168" s="158"/>
      <c r="AX168" s="163"/>
      <c r="AY168" s="158"/>
      <c r="AZ168" s="158"/>
      <c r="BA168" s="158"/>
      <c r="BB168" s="163"/>
      <c r="BC168" s="158"/>
      <c r="BD168" s="163"/>
      <c r="BE168" s="158"/>
      <c r="BF168" s="158"/>
      <c r="BG168" s="158"/>
      <c r="BH168" s="163"/>
      <c r="BI168" s="158"/>
      <c r="BJ168" s="163"/>
      <c r="BK168" s="158"/>
      <c r="BL168" s="158"/>
      <c r="BM168" s="158"/>
      <c r="BN168" s="163"/>
      <c r="BO168" s="158"/>
      <c r="BP168" s="163"/>
      <c r="BQ168" s="158"/>
      <c r="BR168" s="158"/>
      <c r="BS168" s="158"/>
      <c r="BT168" s="163"/>
      <c r="BU168" s="158"/>
      <c r="BV168" s="163"/>
      <c r="BW168" s="158"/>
      <c r="BX168" s="158"/>
      <c r="BY168" s="158"/>
      <c r="BZ168" s="163"/>
      <c r="CA168" s="158"/>
      <c r="CB168" s="163"/>
      <c r="CC168" s="158"/>
      <c r="CD168" s="158"/>
      <c r="CE168" s="158"/>
      <c r="CF168" s="158"/>
    </row>
    <row r="169" spans="1:86" x14ac:dyDescent="0.5">
      <c r="A169" s="262"/>
      <c r="B169" s="135"/>
      <c r="C169" s="136"/>
      <c r="D169" s="137"/>
      <c r="E169" s="906"/>
      <c r="F169" s="940"/>
      <c r="G169" s="941"/>
      <c r="H169" s="170">
        <v>43740</v>
      </c>
      <c r="I169" s="251">
        <v>19310</v>
      </c>
      <c r="J169" s="963"/>
      <c r="K169" s="154"/>
      <c r="L169" s="135"/>
      <c r="M169" s="141"/>
      <c r="N169" s="135"/>
      <c r="O169" s="142"/>
      <c r="P169" s="142"/>
      <c r="Q169" s="142"/>
      <c r="R169" s="143"/>
      <c r="S169" s="144"/>
      <c r="T169" s="145"/>
      <c r="U169" s="146"/>
      <c r="V169" s="147"/>
      <c r="W169" s="148"/>
      <c r="X169" s="149"/>
      <c r="Y169" s="149"/>
      <c r="Z169" s="150"/>
      <c r="AA169" s="151"/>
      <c r="AB169" s="154"/>
      <c r="AC169" s="155"/>
      <c r="AD169" s="156"/>
      <c r="AE169" s="156"/>
      <c r="AF169" s="157"/>
      <c r="AG169" s="152"/>
      <c r="AH169" s="152"/>
      <c r="AI169" s="152"/>
      <c r="AJ169" s="842"/>
      <c r="AK169" s="158"/>
      <c r="AL169" s="159"/>
      <c r="AM169" s="160"/>
      <c r="AN169" s="160"/>
      <c r="AO169" s="161"/>
      <c r="AP169" s="162"/>
      <c r="AQ169" s="158"/>
      <c r="AR169" s="163"/>
      <c r="AS169" s="158"/>
      <c r="AT169" s="158"/>
      <c r="AU169" s="158"/>
      <c r="AV169" s="163"/>
      <c r="AW169" s="158"/>
      <c r="AX169" s="163"/>
      <c r="AY169" s="158"/>
      <c r="AZ169" s="158"/>
      <c r="BA169" s="158"/>
      <c r="BB169" s="163"/>
      <c r="BC169" s="158"/>
      <c r="BD169" s="163"/>
      <c r="BE169" s="158"/>
      <c r="BF169" s="158"/>
      <c r="BG169" s="158"/>
      <c r="BH169" s="163"/>
      <c r="BI169" s="158"/>
      <c r="BJ169" s="163"/>
      <c r="BK169" s="158"/>
      <c r="BL169" s="158"/>
      <c r="BM169" s="158"/>
      <c r="BN169" s="163"/>
      <c r="BO169" s="158"/>
      <c r="BP169" s="163"/>
      <c r="BQ169" s="158"/>
      <c r="BR169" s="158"/>
      <c r="BS169" s="158"/>
      <c r="BT169" s="163"/>
      <c r="BU169" s="158"/>
      <c r="BV169" s="163"/>
      <c r="BW169" s="158"/>
      <c r="BX169" s="158"/>
      <c r="BY169" s="158"/>
      <c r="BZ169" s="163"/>
      <c r="CA169" s="158"/>
      <c r="CB169" s="163"/>
      <c r="CC169" s="158"/>
      <c r="CD169" s="158"/>
      <c r="CE169" s="158"/>
      <c r="CF169" s="158"/>
    </row>
    <row r="170" spans="1:86" x14ac:dyDescent="0.5">
      <c r="A170" s="268"/>
      <c r="B170" s="181"/>
      <c r="C170" s="182"/>
      <c r="D170" s="183"/>
      <c r="E170" s="749"/>
      <c r="F170" s="938"/>
      <c r="G170" s="939"/>
      <c r="H170" s="186">
        <v>43740</v>
      </c>
      <c r="I170" s="187">
        <v>19311</v>
      </c>
      <c r="J170" s="961"/>
      <c r="K170" s="200"/>
      <c r="L170" s="181"/>
      <c r="M170" s="188"/>
      <c r="N170" s="181"/>
      <c r="O170" s="189"/>
      <c r="P170" s="189"/>
      <c r="Q170" s="189"/>
      <c r="R170" s="190"/>
      <c r="S170" s="215"/>
      <c r="T170" s="216"/>
      <c r="U170" s="217"/>
      <c r="V170" s="218"/>
      <c r="W170" s="195"/>
      <c r="X170" s="196"/>
      <c r="Y170" s="196"/>
      <c r="Z170" s="197"/>
      <c r="AA170" s="198"/>
      <c r="AB170" s="200"/>
      <c r="AC170" s="201"/>
      <c r="AD170" s="202"/>
      <c r="AE170" s="202"/>
      <c r="AF170" s="203"/>
      <c r="AG170" s="199"/>
      <c r="AH170" s="199"/>
      <c r="AI170" s="199"/>
      <c r="AJ170" s="843"/>
      <c r="AK170" s="204"/>
      <c r="AL170" s="205"/>
      <c r="AM170" s="206"/>
      <c r="AN170" s="206"/>
      <c r="AO170" s="207"/>
      <c r="AP170" s="208"/>
      <c r="AQ170" s="204"/>
      <c r="AR170" s="210"/>
      <c r="AS170" s="204"/>
      <c r="AT170" s="204"/>
      <c r="AU170" s="204"/>
      <c r="AV170" s="210"/>
      <c r="AW170" s="204"/>
      <c r="AX170" s="210"/>
      <c r="AY170" s="204"/>
      <c r="AZ170" s="204"/>
      <c r="BA170" s="204"/>
      <c r="BB170" s="210"/>
      <c r="BC170" s="204"/>
      <c r="BD170" s="210"/>
      <c r="BE170" s="204"/>
      <c r="BF170" s="204"/>
      <c r="BG170" s="204"/>
      <c r="BH170" s="210"/>
      <c r="BI170" s="204"/>
      <c r="BJ170" s="210"/>
      <c r="BK170" s="204"/>
      <c r="BL170" s="204"/>
      <c r="BM170" s="204"/>
      <c r="BN170" s="210"/>
      <c r="BO170" s="204"/>
      <c r="BP170" s="210"/>
      <c r="BQ170" s="204"/>
      <c r="BR170" s="204"/>
      <c r="BS170" s="204"/>
      <c r="BT170" s="210"/>
      <c r="BU170" s="204"/>
      <c r="BV170" s="210"/>
      <c r="BW170" s="204"/>
      <c r="BX170" s="204"/>
      <c r="BY170" s="204"/>
      <c r="BZ170" s="210"/>
      <c r="CA170" s="204"/>
      <c r="CB170" s="210"/>
      <c r="CC170" s="204"/>
      <c r="CD170" s="204"/>
      <c r="CE170" s="204"/>
      <c r="CF170" s="204"/>
    </row>
    <row r="171" spans="1:86" x14ac:dyDescent="0.5">
      <c r="A171" s="21">
        <v>19096360</v>
      </c>
      <c r="B171" s="22">
        <v>19090826</v>
      </c>
      <c r="C171" s="23" t="s">
        <v>2619</v>
      </c>
      <c r="D171" s="24" t="s">
        <v>1323</v>
      </c>
      <c r="E171" s="884">
        <v>43732</v>
      </c>
      <c r="F171" s="932"/>
      <c r="G171" s="933"/>
      <c r="H171" s="22"/>
      <c r="I171" s="27"/>
      <c r="J171" s="931"/>
      <c r="K171" s="40"/>
      <c r="L171" s="22" t="s">
        <v>15</v>
      </c>
      <c r="M171" s="28" t="s">
        <v>2620</v>
      </c>
      <c r="N171" s="22" t="s">
        <v>51</v>
      </c>
      <c r="O171" s="29">
        <v>289500</v>
      </c>
      <c r="P171" s="29">
        <f t="shared" si="40"/>
        <v>20265</v>
      </c>
      <c r="Q171" s="29">
        <f t="shared" si="41"/>
        <v>309765</v>
      </c>
      <c r="R171" s="61"/>
      <c r="S171" s="96"/>
      <c r="T171" s="97"/>
      <c r="U171" s="98"/>
      <c r="V171" s="99"/>
      <c r="W171" s="100"/>
      <c r="X171" s="99"/>
      <c r="Y171" s="99"/>
      <c r="Z171" s="100"/>
      <c r="AA171" s="101"/>
      <c r="AB171" s="40"/>
      <c r="AC171" s="41"/>
      <c r="AD171" s="42"/>
      <c r="AE171" s="42"/>
      <c r="AF171" s="43"/>
      <c r="AG171" s="39"/>
      <c r="AH171" s="39"/>
      <c r="AI171" s="39"/>
      <c r="AJ171" s="21"/>
      <c r="AK171" s="1025">
        <v>1</v>
      </c>
      <c r="AL171" s="45" t="s">
        <v>2621</v>
      </c>
      <c r="AM171" s="46" t="s">
        <v>869</v>
      </c>
      <c r="AN171" s="46"/>
      <c r="AO171" s="47">
        <v>1</v>
      </c>
      <c r="AP171" s="48" t="s">
        <v>633</v>
      </c>
      <c r="AQ171" s="1025"/>
      <c r="AR171" s="54"/>
      <c r="AS171" s="1025"/>
      <c r="AT171" s="1025"/>
      <c r="AU171" s="1025"/>
      <c r="AV171" s="54"/>
      <c r="AW171" s="1025"/>
      <c r="AX171" s="54"/>
      <c r="AY171" s="1025"/>
      <c r="AZ171" s="1025"/>
      <c r="BA171" s="1025"/>
      <c r="BB171" s="54"/>
      <c r="BC171" s="1025"/>
      <c r="BD171" s="54"/>
      <c r="BE171" s="1025"/>
      <c r="BF171" s="1025"/>
      <c r="BG171" s="1025"/>
      <c r="BH171" s="54"/>
      <c r="BI171" s="1025"/>
      <c r="BJ171" s="54"/>
      <c r="BK171" s="1025"/>
      <c r="BL171" s="1025"/>
      <c r="BM171" s="1025"/>
      <c r="BN171" s="54"/>
      <c r="BO171" s="1025"/>
      <c r="BP171" s="54"/>
      <c r="BQ171" s="1025"/>
      <c r="BR171" s="1025"/>
      <c r="BS171" s="1025"/>
      <c r="BT171" s="54"/>
      <c r="BU171" s="1025"/>
      <c r="BV171" s="54"/>
      <c r="BW171" s="1025"/>
      <c r="BX171" s="1025"/>
      <c r="BY171" s="1025"/>
      <c r="BZ171" s="54"/>
      <c r="CA171" s="1025"/>
      <c r="CB171" s="54"/>
      <c r="CC171" s="1025"/>
      <c r="CD171" s="1025"/>
      <c r="CE171" s="1025"/>
      <c r="CF171" s="1025"/>
    </row>
    <row r="172" spans="1:86" x14ac:dyDescent="0.5">
      <c r="A172" s="259">
        <v>19096359</v>
      </c>
      <c r="B172" s="104">
        <v>19090823</v>
      </c>
      <c r="C172" s="105" t="s">
        <v>2639</v>
      </c>
      <c r="D172" s="106" t="s">
        <v>1323</v>
      </c>
      <c r="E172" s="302">
        <v>43731</v>
      </c>
      <c r="F172" s="936" t="s">
        <v>1324</v>
      </c>
      <c r="G172" s="937" t="s">
        <v>3218</v>
      </c>
      <c r="H172" s="122">
        <v>43820</v>
      </c>
      <c r="I172" s="109">
        <v>19409</v>
      </c>
      <c r="J172" s="960" t="s">
        <v>869</v>
      </c>
      <c r="K172" s="965">
        <v>43822</v>
      </c>
      <c r="L172" s="104" t="s">
        <v>2640</v>
      </c>
      <c r="M172" s="110" t="s">
        <v>2641</v>
      </c>
      <c r="N172" s="104" t="s">
        <v>1523</v>
      </c>
      <c r="O172" s="111">
        <v>88740</v>
      </c>
      <c r="P172" s="111">
        <f t="shared" si="40"/>
        <v>6211.8</v>
      </c>
      <c r="Q172" s="111">
        <f t="shared" si="41"/>
        <v>94951.8</v>
      </c>
      <c r="R172" s="212"/>
      <c r="S172" s="264" t="s">
        <v>2692</v>
      </c>
      <c r="T172" s="265">
        <f>O172</f>
        <v>88740</v>
      </c>
      <c r="U172" s="266">
        <v>5</v>
      </c>
      <c r="V172" s="267">
        <v>2218.5</v>
      </c>
      <c r="W172" s="117">
        <f>O172-V172-V173</f>
        <v>84358.47</v>
      </c>
      <c r="X172" s="118">
        <v>0.32</v>
      </c>
      <c r="Y172" s="118">
        <f>W172*X172/100</f>
        <v>269.94710400000002</v>
      </c>
      <c r="Z172" s="119">
        <v>0.2</v>
      </c>
      <c r="AA172" s="120">
        <f>W172*Z172/100</f>
        <v>168.71693999999999</v>
      </c>
      <c r="AB172" s="123">
        <v>19090337</v>
      </c>
      <c r="AC172" s="124">
        <v>26622</v>
      </c>
      <c r="AD172" s="260">
        <f t="shared" ref="AD172:AD180" si="42">AC172*7/100</f>
        <v>1863.54</v>
      </c>
      <c r="AE172" s="261">
        <f t="shared" ref="AE172:AE180" si="43">AC172+AD172</f>
        <v>28485.54</v>
      </c>
      <c r="AF172" s="126">
        <v>43718</v>
      </c>
      <c r="AG172" s="127" t="s">
        <v>869</v>
      </c>
      <c r="AH172" s="127"/>
      <c r="AI172" s="127"/>
      <c r="AJ172" s="103" t="s">
        <v>2853</v>
      </c>
      <c r="AK172" s="128">
        <v>1</v>
      </c>
      <c r="AL172" s="129" t="s">
        <v>1607</v>
      </c>
      <c r="AM172" s="130"/>
      <c r="AN172" s="130" t="s">
        <v>869</v>
      </c>
      <c r="AO172" s="131">
        <v>1</v>
      </c>
      <c r="AP172" s="132" t="s">
        <v>636</v>
      </c>
      <c r="AQ172" s="128"/>
      <c r="AR172" s="133"/>
      <c r="AS172" s="128"/>
      <c r="AT172" s="128"/>
      <c r="AU172" s="128"/>
      <c r="AV172" s="133"/>
      <c r="AW172" s="128"/>
      <c r="AX172" s="133"/>
      <c r="AY172" s="128"/>
      <c r="AZ172" s="128"/>
      <c r="BA172" s="128"/>
      <c r="BB172" s="133"/>
      <c r="BC172" s="128"/>
      <c r="BD172" s="133"/>
      <c r="BE172" s="128"/>
      <c r="BF172" s="128"/>
      <c r="BG172" s="128"/>
      <c r="BH172" s="133"/>
      <c r="BI172" s="128"/>
      <c r="BJ172" s="133"/>
      <c r="BK172" s="128"/>
      <c r="BL172" s="128"/>
      <c r="BM172" s="128"/>
      <c r="BN172" s="133"/>
      <c r="BO172" s="128"/>
      <c r="BP172" s="133"/>
      <c r="BQ172" s="128"/>
      <c r="BR172" s="128"/>
      <c r="BS172" s="128"/>
      <c r="BT172" s="133"/>
      <c r="BU172" s="128"/>
      <c r="BV172" s="133"/>
      <c r="BW172" s="128"/>
      <c r="BX172" s="128"/>
      <c r="BY172" s="128"/>
      <c r="BZ172" s="133"/>
      <c r="CA172" s="128"/>
      <c r="CB172" s="133"/>
      <c r="CC172" s="128"/>
      <c r="CD172" s="128"/>
      <c r="CE172" s="128"/>
      <c r="CF172" s="128"/>
    </row>
    <row r="173" spans="1:86" x14ac:dyDescent="0.5">
      <c r="A173" s="268"/>
      <c r="B173" s="181"/>
      <c r="C173" s="182"/>
      <c r="D173" s="183"/>
      <c r="E173" s="749"/>
      <c r="F173" s="938"/>
      <c r="G173" s="939"/>
      <c r="H173" s="181"/>
      <c r="I173" s="187"/>
      <c r="J173" s="961"/>
      <c r="K173" s="200"/>
      <c r="L173" s="181"/>
      <c r="M173" s="188"/>
      <c r="N173" s="181"/>
      <c r="O173" s="189"/>
      <c r="P173" s="189"/>
      <c r="Q173" s="189"/>
      <c r="R173" s="214"/>
      <c r="S173" s="215" t="s">
        <v>2693</v>
      </c>
      <c r="T173" s="216">
        <f>T172</f>
        <v>88740</v>
      </c>
      <c r="U173" s="217">
        <v>5</v>
      </c>
      <c r="V173" s="218">
        <v>2163.0300000000002</v>
      </c>
      <c r="W173" s="195"/>
      <c r="X173" s="196"/>
      <c r="Y173" s="196"/>
      <c r="Z173" s="197"/>
      <c r="AA173" s="198"/>
      <c r="AB173" s="200">
        <v>19090342</v>
      </c>
      <c r="AC173" s="201">
        <v>62118</v>
      </c>
      <c r="AD173" s="237">
        <f t="shared" si="42"/>
        <v>4348.26</v>
      </c>
      <c r="AE173" s="238">
        <f t="shared" si="43"/>
        <v>66466.259999999995</v>
      </c>
      <c r="AF173" s="203">
        <v>43750</v>
      </c>
      <c r="AG173" s="199" t="s">
        <v>869</v>
      </c>
      <c r="AH173" s="199"/>
      <c r="AI173" s="199"/>
      <c r="AJ173" s="180" t="s">
        <v>3460</v>
      </c>
      <c r="AK173" s="204"/>
      <c r="AL173" s="205"/>
      <c r="AM173" s="206"/>
      <c r="AN173" s="206"/>
      <c r="AO173" s="207"/>
      <c r="AP173" s="208"/>
      <c r="AQ173" s="204"/>
      <c r="AR173" s="210"/>
      <c r="AS173" s="204"/>
      <c r="AT173" s="204"/>
      <c r="AU173" s="204"/>
      <c r="AV173" s="210"/>
      <c r="AW173" s="204"/>
      <c r="AX173" s="210"/>
      <c r="AY173" s="204"/>
      <c r="AZ173" s="204"/>
      <c r="BA173" s="204"/>
      <c r="BB173" s="210"/>
      <c r="BC173" s="204"/>
      <c r="BD173" s="210"/>
      <c r="BE173" s="204"/>
      <c r="BF173" s="204"/>
      <c r="BG173" s="204"/>
      <c r="BH173" s="210"/>
      <c r="BI173" s="204"/>
      <c r="BJ173" s="210"/>
      <c r="BK173" s="204"/>
      <c r="BL173" s="204"/>
      <c r="BM173" s="204"/>
      <c r="BN173" s="210"/>
      <c r="BO173" s="204"/>
      <c r="BP173" s="210"/>
      <c r="BQ173" s="204"/>
      <c r="BR173" s="204"/>
      <c r="BS173" s="204"/>
      <c r="BT173" s="210"/>
      <c r="BU173" s="204"/>
      <c r="BV173" s="210"/>
      <c r="BW173" s="204"/>
      <c r="BX173" s="204"/>
      <c r="BY173" s="204"/>
      <c r="BZ173" s="210"/>
      <c r="CA173" s="204"/>
      <c r="CB173" s="210"/>
      <c r="CC173" s="204"/>
      <c r="CD173" s="204"/>
      <c r="CE173" s="204"/>
      <c r="CF173" s="204"/>
    </row>
    <row r="174" spans="1:86" x14ac:dyDescent="0.5">
      <c r="A174" s="259">
        <v>19096358</v>
      </c>
      <c r="B174" s="104">
        <v>19090817</v>
      </c>
      <c r="C174" s="105" t="s">
        <v>2642</v>
      </c>
      <c r="D174" s="106" t="s">
        <v>1323</v>
      </c>
      <c r="E174" s="302">
        <v>43733</v>
      </c>
      <c r="F174" s="936" t="s">
        <v>3368</v>
      </c>
      <c r="G174" s="937" t="s">
        <v>1401</v>
      </c>
      <c r="H174" s="211">
        <v>43917</v>
      </c>
      <c r="I174" s="164">
        <v>63086</v>
      </c>
      <c r="J174" s="960" t="s">
        <v>3644</v>
      </c>
      <c r="K174" s="965">
        <v>43920</v>
      </c>
      <c r="L174" s="104" t="s">
        <v>2643</v>
      </c>
      <c r="M174" s="110" t="s">
        <v>2644</v>
      </c>
      <c r="N174" s="104" t="s">
        <v>2645</v>
      </c>
      <c r="O174" s="111">
        <v>117861.75</v>
      </c>
      <c r="P174" s="111">
        <f t="shared" si="40"/>
        <v>8250.3225000000002</v>
      </c>
      <c r="Q174" s="111">
        <f t="shared" si="41"/>
        <v>126112.07249999999</v>
      </c>
      <c r="R174" s="311">
        <v>8800</v>
      </c>
      <c r="S174" s="165"/>
      <c r="T174" s="166"/>
      <c r="U174" s="167"/>
      <c r="V174" s="168"/>
      <c r="W174" s="117">
        <f>O174-R174</f>
        <v>109061.75</v>
      </c>
      <c r="X174" s="118">
        <v>0.24</v>
      </c>
      <c r="Y174" s="118">
        <f>W174*X174/100</f>
        <v>261.7482</v>
      </c>
      <c r="Z174" s="119">
        <v>0.2</v>
      </c>
      <c r="AA174" s="120">
        <f>W174*Z174/100</f>
        <v>218.12350000000004</v>
      </c>
      <c r="AB174" s="123">
        <v>19090331</v>
      </c>
      <c r="AC174" s="124">
        <v>23572.35</v>
      </c>
      <c r="AD174" s="125">
        <f t="shared" si="42"/>
        <v>1650.0644999999997</v>
      </c>
      <c r="AE174" s="125">
        <f t="shared" si="43"/>
        <v>25222.414499999999</v>
      </c>
      <c r="AF174" s="126">
        <v>43717</v>
      </c>
      <c r="AG174" s="127" t="s">
        <v>869</v>
      </c>
      <c r="AH174" s="127"/>
      <c r="AI174" s="127"/>
      <c r="AJ174" s="1305" t="s">
        <v>2848</v>
      </c>
      <c r="AK174" s="128">
        <v>1</v>
      </c>
      <c r="AL174" s="129" t="s">
        <v>716</v>
      </c>
      <c r="AM174" s="130"/>
      <c r="AN174" s="130" t="s">
        <v>869</v>
      </c>
      <c r="AO174" s="131">
        <v>1</v>
      </c>
      <c r="AP174" s="132" t="s">
        <v>634</v>
      </c>
      <c r="AQ174" s="128">
        <v>2</v>
      </c>
      <c r="AR174" s="123" t="s">
        <v>2646</v>
      </c>
      <c r="AS174" s="131"/>
      <c r="AT174" s="131" t="s">
        <v>869</v>
      </c>
      <c r="AU174" s="131">
        <v>1</v>
      </c>
      <c r="AV174" s="169" t="s">
        <v>634</v>
      </c>
      <c r="AW174" s="128">
        <v>3</v>
      </c>
      <c r="AX174" s="123" t="s">
        <v>2647</v>
      </c>
      <c r="AY174" s="131"/>
      <c r="AZ174" s="131" t="s">
        <v>869</v>
      </c>
      <c r="BA174" s="131">
        <v>1</v>
      </c>
      <c r="BB174" s="169" t="s">
        <v>634</v>
      </c>
      <c r="BC174" s="128"/>
      <c r="BD174" s="133"/>
      <c r="BE174" s="128"/>
      <c r="BF174" s="128"/>
      <c r="BG174" s="128"/>
      <c r="BH174" s="133"/>
      <c r="BI174" s="128"/>
      <c r="BJ174" s="133"/>
      <c r="BK174" s="128"/>
      <c r="BL174" s="128"/>
      <c r="BM174" s="128"/>
      <c r="BN174" s="133"/>
      <c r="BO174" s="128"/>
      <c r="BP174" s="133"/>
      <c r="BQ174" s="128"/>
      <c r="BR174" s="128"/>
      <c r="BS174" s="128"/>
      <c r="BT174" s="133"/>
      <c r="BU174" s="128"/>
      <c r="BV174" s="133"/>
      <c r="BW174" s="128"/>
      <c r="BX174" s="128"/>
      <c r="BY174" s="128"/>
      <c r="BZ174" s="133"/>
      <c r="CA174" s="128"/>
      <c r="CB174" s="133"/>
      <c r="CC174" s="128"/>
      <c r="CD174" s="128"/>
      <c r="CE174" s="128"/>
      <c r="CF174" s="128"/>
    </row>
    <row r="175" spans="1:86" x14ac:dyDescent="0.5">
      <c r="A175" s="262"/>
      <c r="B175" s="135"/>
      <c r="C175" s="136"/>
      <c r="D175" s="137"/>
      <c r="E175" s="906"/>
      <c r="F175" s="940"/>
      <c r="G175" s="941"/>
      <c r="H175" s="179">
        <v>43917</v>
      </c>
      <c r="I175" s="140">
        <v>63087</v>
      </c>
      <c r="J175" s="963"/>
      <c r="K175" s="964"/>
      <c r="L175" s="135"/>
      <c r="M175" s="141"/>
      <c r="N175" s="135"/>
      <c r="O175" s="142"/>
      <c r="P175" s="142"/>
      <c r="Q175" s="142"/>
      <c r="R175" s="143"/>
      <c r="S175" s="172"/>
      <c r="T175" s="173"/>
      <c r="U175" s="174"/>
      <c r="V175" s="175"/>
      <c r="W175" s="148"/>
      <c r="X175" s="149"/>
      <c r="Y175" s="149"/>
      <c r="Z175" s="150"/>
      <c r="AA175" s="151"/>
      <c r="AB175" s="154">
        <v>20040092</v>
      </c>
      <c r="AC175" s="155">
        <v>94289.4</v>
      </c>
      <c r="AD175" s="156">
        <f>AC175*7/100</f>
        <v>6600.2579999999989</v>
      </c>
      <c r="AE175" s="156">
        <f>AC175+AD175</f>
        <v>100889.658</v>
      </c>
      <c r="AF175" s="157">
        <v>43959</v>
      </c>
      <c r="AG175" s="152" t="s">
        <v>869</v>
      </c>
      <c r="AH175" s="152"/>
      <c r="AI175" s="152"/>
      <c r="AJ175" s="842" t="s">
        <v>4005</v>
      </c>
      <c r="AK175" s="158"/>
      <c r="AL175" s="159"/>
      <c r="AM175" s="160"/>
      <c r="AN175" s="160"/>
      <c r="AO175" s="161"/>
      <c r="AP175" s="162"/>
      <c r="AQ175" s="158"/>
      <c r="AR175" s="154"/>
      <c r="AS175" s="161"/>
      <c r="AT175" s="161"/>
      <c r="AU175" s="161"/>
      <c r="AV175" s="177"/>
      <c r="AW175" s="158"/>
      <c r="AX175" s="154"/>
      <c r="AY175" s="161"/>
      <c r="AZ175" s="161"/>
      <c r="BA175" s="161"/>
      <c r="BB175" s="177"/>
      <c r="BC175" s="158"/>
      <c r="BD175" s="163"/>
      <c r="BE175" s="158"/>
      <c r="BF175" s="158"/>
      <c r="BG175" s="158"/>
      <c r="BH175" s="163"/>
      <c r="BI175" s="158"/>
      <c r="BJ175" s="163"/>
      <c r="BK175" s="158"/>
      <c r="BL175" s="158"/>
      <c r="BM175" s="158"/>
      <c r="BN175" s="163"/>
      <c r="BO175" s="158"/>
      <c r="BP175" s="163"/>
      <c r="BQ175" s="158"/>
      <c r="BR175" s="158"/>
      <c r="BS175" s="158"/>
      <c r="BT175" s="163"/>
      <c r="BU175" s="158"/>
      <c r="BV175" s="163"/>
      <c r="BW175" s="158"/>
      <c r="BX175" s="158"/>
      <c r="BY175" s="158"/>
      <c r="BZ175" s="163"/>
      <c r="CA175" s="158"/>
      <c r="CB175" s="163"/>
      <c r="CC175" s="158"/>
      <c r="CD175" s="158"/>
      <c r="CE175" s="158"/>
      <c r="CF175" s="158"/>
    </row>
    <row r="176" spans="1:86" x14ac:dyDescent="0.5">
      <c r="A176" s="259">
        <v>19096357</v>
      </c>
      <c r="B176" s="104">
        <v>19090816</v>
      </c>
      <c r="C176" s="105" t="s">
        <v>2648</v>
      </c>
      <c r="D176" s="106" t="s">
        <v>1323</v>
      </c>
      <c r="E176" s="302">
        <v>43725</v>
      </c>
      <c r="F176" s="936" t="s">
        <v>1324</v>
      </c>
      <c r="G176" s="937" t="s">
        <v>2639</v>
      </c>
      <c r="H176" s="122">
        <v>43725</v>
      </c>
      <c r="I176" s="109">
        <v>19290</v>
      </c>
      <c r="J176" s="960" t="s">
        <v>869</v>
      </c>
      <c r="K176" s="965">
        <v>43726</v>
      </c>
      <c r="L176" s="104" t="s">
        <v>1123</v>
      </c>
      <c r="M176" s="110" t="s">
        <v>2649</v>
      </c>
      <c r="N176" s="104" t="s">
        <v>52</v>
      </c>
      <c r="O176" s="111">
        <v>26250</v>
      </c>
      <c r="P176" s="111">
        <f t="shared" si="40"/>
        <v>1837.5</v>
      </c>
      <c r="Q176" s="111">
        <f t="shared" si="41"/>
        <v>28087.5</v>
      </c>
      <c r="R176" s="311">
        <v>4200</v>
      </c>
      <c r="S176" s="113" t="s">
        <v>2696</v>
      </c>
      <c r="T176" s="114">
        <f>O176-R176</f>
        <v>22050</v>
      </c>
      <c r="U176" s="115">
        <v>5</v>
      </c>
      <c r="V176" s="116">
        <f>T176*U176/100</f>
        <v>1102.5</v>
      </c>
      <c r="W176" s="117">
        <f>T176-V176</f>
        <v>20947.5</v>
      </c>
      <c r="X176" s="118">
        <v>0.25</v>
      </c>
      <c r="Y176" s="118">
        <f>W176*X176/100</f>
        <v>52.368749999999999</v>
      </c>
      <c r="Z176" s="119">
        <v>0.2</v>
      </c>
      <c r="AA176" s="120">
        <f>W176*Z176/100</f>
        <v>41.895000000000003</v>
      </c>
      <c r="AB176" s="229">
        <v>19090356</v>
      </c>
      <c r="AC176" s="230">
        <v>7875</v>
      </c>
      <c r="AD176" s="275">
        <f t="shared" si="42"/>
        <v>551.25</v>
      </c>
      <c r="AE176" s="234">
        <f t="shared" si="43"/>
        <v>8426.25</v>
      </c>
      <c r="AF176" s="221">
        <v>43725</v>
      </c>
      <c r="AG176" s="121" t="s">
        <v>869</v>
      </c>
      <c r="AH176" s="121"/>
      <c r="AI176" s="121"/>
      <c r="AJ176" s="222" t="s">
        <v>2855</v>
      </c>
      <c r="AK176" s="128">
        <v>1</v>
      </c>
      <c r="AL176" s="129" t="s">
        <v>712</v>
      </c>
      <c r="AM176" s="130" t="s">
        <v>869</v>
      </c>
      <c r="AN176" s="130"/>
      <c r="AO176" s="131">
        <v>3</v>
      </c>
      <c r="AP176" s="132" t="s">
        <v>636</v>
      </c>
      <c r="AQ176" s="128"/>
      <c r="AR176" s="133"/>
      <c r="AS176" s="128"/>
      <c r="AT176" s="128"/>
      <c r="AU176" s="128"/>
      <c r="AV176" s="133"/>
      <c r="AW176" s="128"/>
      <c r="AX176" s="133"/>
      <c r="AY176" s="128"/>
      <c r="AZ176" s="128"/>
      <c r="BA176" s="128"/>
      <c r="BB176" s="133"/>
      <c r="BC176" s="128"/>
      <c r="BD176" s="133"/>
      <c r="BE176" s="128"/>
      <c r="BF176" s="128"/>
      <c r="BG176" s="128"/>
      <c r="BH176" s="133"/>
      <c r="BI176" s="128"/>
      <c r="BJ176" s="133"/>
      <c r="BK176" s="128"/>
      <c r="BL176" s="128"/>
      <c r="BM176" s="128"/>
      <c r="BN176" s="133"/>
      <c r="BO176" s="128"/>
      <c r="BP176" s="133"/>
      <c r="BQ176" s="128"/>
      <c r="BR176" s="128"/>
      <c r="BS176" s="128"/>
      <c r="BT176" s="133"/>
      <c r="BU176" s="128"/>
      <c r="BV176" s="133"/>
      <c r="BW176" s="128"/>
      <c r="BX176" s="128"/>
      <c r="BY176" s="128"/>
      <c r="BZ176" s="133"/>
      <c r="CA176" s="128"/>
      <c r="CB176" s="133"/>
      <c r="CC176" s="128"/>
      <c r="CD176" s="128"/>
      <c r="CE176" s="128"/>
      <c r="CF176" s="128"/>
    </row>
    <row r="177" spans="1:84" x14ac:dyDescent="0.5">
      <c r="A177" s="268"/>
      <c r="B177" s="181"/>
      <c r="C177" s="182"/>
      <c r="D177" s="183"/>
      <c r="E177" s="749"/>
      <c r="F177" s="938"/>
      <c r="G177" s="939"/>
      <c r="H177" s="181"/>
      <c r="I177" s="187"/>
      <c r="J177" s="961"/>
      <c r="K177" s="200"/>
      <c r="L177" s="181"/>
      <c r="M177" s="188"/>
      <c r="N177" s="181"/>
      <c r="O177" s="189"/>
      <c r="P177" s="189"/>
      <c r="Q177" s="189"/>
      <c r="R177" s="190"/>
      <c r="S177" s="215"/>
      <c r="T177" s="216"/>
      <c r="U177" s="217"/>
      <c r="V177" s="218"/>
      <c r="W177" s="195"/>
      <c r="X177" s="196"/>
      <c r="Y177" s="196"/>
      <c r="Z177" s="197"/>
      <c r="AA177" s="198"/>
      <c r="AB177" s="200">
        <v>19090357</v>
      </c>
      <c r="AC177" s="201">
        <v>18375</v>
      </c>
      <c r="AD177" s="202">
        <f t="shared" si="42"/>
        <v>1286.25</v>
      </c>
      <c r="AE177" s="238">
        <f t="shared" si="43"/>
        <v>19661.25</v>
      </c>
      <c r="AF177" s="203">
        <v>43725</v>
      </c>
      <c r="AG177" s="199" t="s">
        <v>869</v>
      </c>
      <c r="AH177" s="199"/>
      <c r="AI177" s="199"/>
      <c r="AJ177" s="180" t="s">
        <v>2844</v>
      </c>
      <c r="AK177" s="204"/>
      <c r="AL177" s="205"/>
      <c r="AM177" s="206"/>
      <c r="AN177" s="206"/>
      <c r="AO177" s="207"/>
      <c r="AP177" s="208"/>
      <c r="AQ177" s="204"/>
      <c r="AR177" s="210"/>
      <c r="AS177" s="204"/>
      <c r="AT177" s="204"/>
      <c r="AU177" s="204"/>
      <c r="AV177" s="210"/>
      <c r="AW177" s="204"/>
      <c r="AX177" s="210"/>
      <c r="AY177" s="204"/>
      <c r="AZ177" s="204"/>
      <c r="BA177" s="204"/>
      <c r="BB177" s="210"/>
      <c r="BC177" s="204"/>
      <c r="BD177" s="210"/>
      <c r="BE177" s="204"/>
      <c r="BF177" s="204"/>
      <c r="BG177" s="204"/>
      <c r="BH177" s="210"/>
      <c r="BI177" s="204"/>
      <c r="BJ177" s="210"/>
      <c r="BK177" s="204"/>
      <c r="BL177" s="204"/>
      <c r="BM177" s="204"/>
      <c r="BN177" s="210"/>
      <c r="BO177" s="204"/>
      <c r="BP177" s="210"/>
      <c r="BQ177" s="204"/>
      <c r="BR177" s="204"/>
      <c r="BS177" s="204"/>
      <c r="BT177" s="210"/>
      <c r="BU177" s="204"/>
      <c r="BV177" s="210"/>
      <c r="BW177" s="204"/>
      <c r="BX177" s="204"/>
      <c r="BY177" s="204"/>
      <c r="BZ177" s="210"/>
      <c r="CA177" s="204"/>
      <c r="CB177" s="210"/>
      <c r="CC177" s="204"/>
      <c r="CD177" s="204"/>
      <c r="CE177" s="204"/>
      <c r="CF177" s="204"/>
    </row>
    <row r="178" spans="1:84" x14ac:dyDescent="0.5">
      <c r="A178" s="227">
        <v>19096356</v>
      </c>
      <c r="B178" s="22">
        <v>19090818</v>
      </c>
      <c r="C178" s="23" t="s">
        <v>2622</v>
      </c>
      <c r="D178" s="24" t="s">
        <v>1323</v>
      </c>
      <c r="E178" s="884">
        <v>43737</v>
      </c>
      <c r="F178" s="932" t="s">
        <v>1324</v>
      </c>
      <c r="G178" s="933" t="s">
        <v>2788</v>
      </c>
      <c r="H178" s="62">
        <v>43738</v>
      </c>
      <c r="I178" s="27">
        <v>19307</v>
      </c>
      <c r="J178" s="931" t="s">
        <v>869</v>
      </c>
      <c r="K178" s="957">
        <v>43738</v>
      </c>
      <c r="L178" s="22" t="s">
        <v>15</v>
      </c>
      <c r="M178" s="28" t="s">
        <v>2</v>
      </c>
      <c r="N178" s="22" t="s">
        <v>51</v>
      </c>
      <c r="O178" s="29">
        <v>52364</v>
      </c>
      <c r="P178" s="29">
        <f t="shared" si="40"/>
        <v>3665.48</v>
      </c>
      <c r="Q178" s="29">
        <f t="shared" si="41"/>
        <v>56029.48</v>
      </c>
      <c r="R178" s="61"/>
      <c r="S178" s="96"/>
      <c r="T178" s="97"/>
      <c r="U178" s="98"/>
      <c r="V178" s="99"/>
      <c r="W178" s="100"/>
      <c r="X178" s="99"/>
      <c r="Y178" s="99"/>
      <c r="Z178" s="100"/>
      <c r="AA178" s="101"/>
      <c r="AB178" s="40">
        <v>19100383</v>
      </c>
      <c r="AC178" s="41">
        <v>52364</v>
      </c>
      <c r="AD178" s="52">
        <f t="shared" si="42"/>
        <v>3665.48</v>
      </c>
      <c r="AE178" s="52">
        <f t="shared" si="43"/>
        <v>56029.48</v>
      </c>
      <c r="AF178" s="53">
        <v>43784</v>
      </c>
      <c r="AG178" s="39" t="s">
        <v>869</v>
      </c>
      <c r="AH178" s="39"/>
      <c r="AI178" s="39"/>
      <c r="AJ178" s="21" t="s">
        <v>3346</v>
      </c>
      <c r="AK178" s="1024">
        <v>1</v>
      </c>
      <c r="AL178" s="45" t="s">
        <v>2623</v>
      </c>
      <c r="AM178" s="46" t="s">
        <v>869</v>
      </c>
      <c r="AN178" s="46"/>
      <c r="AO178" s="47">
        <v>1</v>
      </c>
      <c r="AP178" s="48" t="s">
        <v>633</v>
      </c>
      <c r="AQ178" s="1025"/>
      <c r="AR178" s="54"/>
      <c r="AS178" s="1025"/>
      <c r="AT178" s="1025"/>
      <c r="AU178" s="1025"/>
      <c r="AV178" s="54"/>
      <c r="AW178" s="1025"/>
      <c r="AX178" s="54"/>
      <c r="AY178" s="1025"/>
      <c r="AZ178" s="1025"/>
      <c r="BA178" s="1025"/>
      <c r="BB178" s="54"/>
      <c r="BC178" s="1025"/>
      <c r="BD178" s="54"/>
      <c r="BE178" s="1025"/>
      <c r="BF178" s="1025"/>
      <c r="BG178" s="1025"/>
      <c r="BH178" s="54"/>
      <c r="BI178" s="1025"/>
      <c r="BJ178" s="54"/>
      <c r="BK178" s="1025"/>
      <c r="BL178" s="1025"/>
      <c r="BM178" s="1025"/>
      <c r="BN178" s="54"/>
      <c r="BO178" s="1025"/>
      <c r="BP178" s="54"/>
      <c r="BQ178" s="1025"/>
      <c r="BR178" s="1025"/>
      <c r="BS178" s="1025"/>
      <c r="BT178" s="54"/>
      <c r="BU178" s="1025"/>
      <c r="BV178" s="54"/>
      <c r="BW178" s="1025"/>
      <c r="BX178" s="1025"/>
      <c r="BY178" s="1025"/>
      <c r="BZ178" s="54"/>
      <c r="CA178" s="1025"/>
      <c r="CB178" s="54"/>
      <c r="CC178" s="1025"/>
      <c r="CD178" s="1025"/>
      <c r="CE178" s="1025"/>
      <c r="CF178" s="1025"/>
    </row>
    <row r="179" spans="1:84" x14ac:dyDescent="0.5">
      <c r="A179" s="227">
        <v>19096355</v>
      </c>
      <c r="B179" s="22">
        <v>19090799</v>
      </c>
      <c r="C179" s="55"/>
      <c r="D179" s="56"/>
      <c r="E179" s="910"/>
      <c r="F179" s="57"/>
      <c r="G179" s="58"/>
      <c r="H179" s="59"/>
      <c r="I179" s="60"/>
      <c r="J179" s="269"/>
      <c r="K179" s="59"/>
      <c r="L179" s="22" t="s">
        <v>395</v>
      </c>
      <c r="M179" s="28" t="s">
        <v>2652</v>
      </c>
      <c r="N179" s="22" t="s">
        <v>50</v>
      </c>
      <c r="O179" s="29">
        <v>9800</v>
      </c>
      <c r="P179" s="29">
        <f t="shared" si="40"/>
        <v>686</v>
      </c>
      <c r="Q179" s="29">
        <f t="shared" si="41"/>
        <v>10486</v>
      </c>
      <c r="R179" s="61"/>
      <c r="S179" s="96"/>
      <c r="T179" s="97"/>
      <c r="U179" s="98"/>
      <c r="V179" s="99"/>
      <c r="W179" s="35">
        <f>O179</f>
        <v>9800</v>
      </c>
      <c r="X179" s="36">
        <v>1</v>
      </c>
      <c r="Y179" s="36">
        <f>W179*X179/100</f>
        <v>98</v>
      </c>
      <c r="Z179" s="100"/>
      <c r="AA179" s="101"/>
      <c r="AB179" s="40">
        <v>19090332</v>
      </c>
      <c r="AC179" s="41">
        <v>9800</v>
      </c>
      <c r="AD179" s="52">
        <f t="shared" si="42"/>
        <v>686</v>
      </c>
      <c r="AE179" s="52">
        <f t="shared" si="43"/>
        <v>10486</v>
      </c>
      <c r="AF179" s="53">
        <v>43717</v>
      </c>
      <c r="AG179" s="39" t="s">
        <v>869</v>
      </c>
      <c r="AH179" s="39"/>
      <c r="AI179" s="39"/>
      <c r="AJ179" s="21" t="s">
        <v>2862</v>
      </c>
      <c r="AK179" s="1024">
        <v>1</v>
      </c>
      <c r="AL179" s="45" t="s">
        <v>677</v>
      </c>
      <c r="AM179" s="46"/>
      <c r="AN179" s="46"/>
      <c r="AO179" s="47">
        <v>1</v>
      </c>
      <c r="AP179" s="48" t="s">
        <v>628</v>
      </c>
      <c r="AQ179" s="1024">
        <v>2</v>
      </c>
      <c r="AR179" s="40" t="s">
        <v>597</v>
      </c>
      <c r="AS179" s="47"/>
      <c r="AT179" s="47"/>
      <c r="AU179" s="47">
        <v>7</v>
      </c>
      <c r="AV179" s="49" t="s">
        <v>628</v>
      </c>
      <c r="AW179" s="1025"/>
      <c r="AX179" s="54"/>
      <c r="AY179" s="1025"/>
      <c r="AZ179" s="1025"/>
      <c r="BA179" s="1025"/>
      <c r="BB179" s="54"/>
      <c r="BC179" s="1025"/>
      <c r="BD179" s="54"/>
      <c r="BE179" s="1025"/>
      <c r="BF179" s="1025"/>
      <c r="BG179" s="1025"/>
      <c r="BH179" s="54"/>
      <c r="BI179" s="1025"/>
      <c r="BJ179" s="54"/>
      <c r="BK179" s="1025"/>
      <c r="BL179" s="1025"/>
      <c r="BM179" s="1025"/>
      <c r="BN179" s="54"/>
      <c r="BO179" s="1025"/>
      <c r="BP179" s="54"/>
      <c r="BQ179" s="1025"/>
      <c r="BR179" s="1025"/>
      <c r="BS179" s="1025"/>
      <c r="BT179" s="54"/>
      <c r="BU179" s="1025"/>
      <c r="BV179" s="54"/>
      <c r="BW179" s="1025"/>
      <c r="BX179" s="1025"/>
      <c r="BY179" s="1025"/>
      <c r="BZ179" s="54"/>
      <c r="CA179" s="1025"/>
      <c r="CB179" s="54"/>
      <c r="CC179" s="1025"/>
      <c r="CD179" s="1025"/>
      <c r="CE179" s="1025"/>
      <c r="CF179" s="1025"/>
    </row>
    <row r="180" spans="1:84" x14ac:dyDescent="0.5">
      <c r="A180" s="227">
        <v>19096354</v>
      </c>
      <c r="B180" s="22">
        <v>19090807</v>
      </c>
      <c r="C180" s="55"/>
      <c r="D180" s="56"/>
      <c r="E180" s="910"/>
      <c r="F180" s="57"/>
      <c r="G180" s="58"/>
      <c r="H180" s="59"/>
      <c r="I180" s="60"/>
      <c r="J180" s="269"/>
      <c r="K180" s="59"/>
      <c r="L180" s="22" t="s">
        <v>435</v>
      </c>
      <c r="M180" s="28" t="s">
        <v>2602</v>
      </c>
      <c r="N180" s="22" t="s">
        <v>51</v>
      </c>
      <c r="O180" s="29">
        <v>16500</v>
      </c>
      <c r="P180" s="29">
        <f t="shared" si="40"/>
        <v>1155</v>
      </c>
      <c r="Q180" s="29">
        <f t="shared" si="41"/>
        <v>17655</v>
      </c>
      <c r="R180" s="61"/>
      <c r="S180" s="96"/>
      <c r="T180" s="97"/>
      <c r="U180" s="98"/>
      <c r="V180" s="99"/>
      <c r="W180" s="100"/>
      <c r="X180" s="99"/>
      <c r="Y180" s="99"/>
      <c r="Z180" s="100"/>
      <c r="AA180" s="101"/>
      <c r="AB180" s="40">
        <v>19100411</v>
      </c>
      <c r="AC180" s="41">
        <v>16500</v>
      </c>
      <c r="AD180" s="63">
        <f t="shared" si="42"/>
        <v>1155</v>
      </c>
      <c r="AE180" s="63">
        <f t="shared" si="43"/>
        <v>17655</v>
      </c>
      <c r="AF180" s="53">
        <v>43815</v>
      </c>
      <c r="AG180" s="39" t="s">
        <v>869</v>
      </c>
      <c r="AH180" s="39"/>
      <c r="AI180" s="39"/>
      <c r="AJ180" s="21" t="s">
        <v>3471</v>
      </c>
      <c r="AK180" s="1024">
        <v>1</v>
      </c>
      <c r="AL180" s="45" t="s">
        <v>2603</v>
      </c>
      <c r="AM180" s="46"/>
      <c r="AN180" s="46"/>
      <c r="AO180" s="47">
        <v>1</v>
      </c>
      <c r="AP180" s="102"/>
      <c r="AQ180" s="1024"/>
      <c r="AR180" s="54"/>
      <c r="AS180" s="1024"/>
      <c r="AT180" s="1024"/>
      <c r="AU180" s="1024"/>
      <c r="AV180" s="54"/>
      <c r="AW180" s="1024"/>
      <c r="AX180" s="54"/>
      <c r="AY180" s="1024"/>
      <c r="AZ180" s="1024"/>
      <c r="BA180" s="1024"/>
      <c r="BB180" s="54"/>
      <c r="BC180" s="1024"/>
      <c r="BD180" s="54"/>
      <c r="BE180" s="1024"/>
      <c r="BF180" s="1024"/>
      <c r="BG180" s="1024"/>
      <c r="BH180" s="54"/>
      <c r="BI180" s="1024"/>
      <c r="BJ180" s="54"/>
      <c r="BK180" s="1024"/>
      <c r="BL180" s="1024"/>
      <c r="BM180" s="1024"/>
      <c r="BN180" s="54"/>
      <c r="BO180" s="1024"/>
      <c r="BP180" s="54"/>
      <c r="BQ180" s="1024"/>
      <c r="BR180" s="1024"/>
      <c r="BS180" s="1024"/>
      <c r="BT180" s="54"/>
      <c r="BU180" s="1024"/>
      <c r="BV180" s="54"/>
      <c r="BW180" s="1024"/>
      <c r="BX180" s="1024"/>
      <c r="BY180" s="1024"/>
      <c r="BZ180" s="54"/>
      <c r="CA180" s="1024"/>
      <c r="CB180" s="54"/>
      <c r="CC180" s="1024"/>
      <c r="CD180" s="1024"/>
      <c r="CE180" s="1024"/>
      <c r="CF180" s="1024"/>
    </row>
    <row r="181" spans="1:84" x14ac:dyDescent="0.5">
      <c r="A181" s="227">
        <v>19096353</v>
      </c>
      <c r="B181" s="22">
        <v>19090806</v>
      </c>
      <c r="C181" s="23" t="s">
        <v>2604</v>
      </c>
      <c r="D181" s="24" t="s">
        <v>1323</v>
      </c>
      <c r="E181" s="884">
        <v>43719</v>
      </c>
      <c r="F181" s="932" t="s">
        <v>1324</v>
      </c>
      <c r="G181" s="933" t="s">
        <v>2654</v>
      </c>
      <c r="H181" s="62">
        <v>43718</v>
      </c>
      <c r="I181" s="27">
        <v>19281</v>
      </c>
      <c r="J181" s="931" t="s">
        <v>869</v>
      </c>
      <c r="K181" s="957">
        <v>43719</v>
      </c>
      <c r="L181" s="22" t="s">
        <v>435</v>
      </c>
      <c r="M181" s="28" t="s">
        <v>2605</v>
      </c>
      <c r="N181" s="22" t="s">
        <v>51</v>
      </c>
      <c r="O181" s="29">
        <v>50414.400000000001</v>
      </c>
      <c r="P181" s="29">
        <f t="shared" si="40"/>
        <v>3529.0079999999998</v>
      </c>
      <c r="Q181" s="29">
        <f t="shared" si="41"/>
        <v>53943.408000000003</v>
      </c>
      <c r="R181" s="61"/>
      <c r="S181" s="31" t="s">
        <v>2276</v>
      </c>
      <c r="T181" s="32">
        <f>O181</f>
        <v>50414.400000000001</v>
      </c>
      <c r="U181" s="33">
        <v>5</v>
      </c>
      <c r="V181" s="34">
        <f>T181*U181/100</f>
        <v>2520.7199999999998</v>
      </c>
      <c r="W181" s="35">
        <f>T181-V181</f>
        <v>47893.68</v>
      </c>
      <c r="X181" s="99"/>
      <c r="Y181" s="99"/>
      <c r="Z181" s="100"/>
      <c r="AA181" s="101"/>
      <c r="AB181" s="40">
        <v>19090359</v>
      </c>
      <c r="AC181" s="41">
        <v>50414.400000000001</v>
      </c>
      <c r="AD181" s="63">
        <f>AC181*7/100</f>
        <v>3529.0079999999998</v>
      </c>
      <c r="AE181" s="64">
        <f>AC181+AD181</f>
        <v>53943.408000000003</v>
      </c>
      <c r="AF181" s="53">
        <v>43787</v>
      </c>
      <c r="AG181" s="39" t="s">
        <v>869</v>
      </c>
      <c r="AH181" s="39"/>
      <c r="AI181" s="39"/>
      <c r="AJ181" s="21" t="s">
        <v>3324</v>
      </c>
      <c r="AK181" s="1024">
        <v>1</v>
      </c>
      <c r="AL181" s="45" t="s">
        <v>836</v>
      </c>
      <c r="AM181" s="46"/>
      <c r="AN181" s="46" t="s">
        <v>869</v>
      </c>
      <c r="AO181" s="47">
        <v>1</v>
      </c>
      <c r="AP181" s="48" t="s">
        <v>634</v>
      </c>
      <c r="AQ181" s="1024"/>
      <c r="AR181" s="54"/>
      <c r="AS181" s="1024"/>
      <c r="AT181" s="1024"/>
      <c r="AU181" s="1024"/>
      <c r="AV181" s="54"/>
      <c r="AW181" s="1024"/>
      <c r="AX181" s="54"/>
      <c r="AY181" s="1024"/>
      <c r="AZ181" s="1024"/>
      <c r="BA181" s="1024"/>
      <c r="BB181" s="54"/>
      <c r="BC181" s="1024"/>
      <c r="BD181" s="54"/>
      <c r="BE181" s="1024"/>
      <c r="BF181" s="1024"/>
      <c r="BG181" s="1024"/>
      <c r="BH181" s="54"/>
      <c r="BI181" s="1024"/>
      <c r="BJ181" s="54"/>
      <c r="BK181" s="1024"/>
      <c r="BL181" s="1024"/>
      <c r="BM181" s="1024"/>
      <c r="BN181" s="54"/>
      <c r="BO181" s="1024"/>
      <c r="BP181" s="54"/>
      <c r="BQ181" s="1024"/>
      <c r="BR181" s="1024"/>
      <c r="BS181" s="1024"/>
      <c r="BT181" s="54"/>
      <c r="BU181" s="1024"/>
      <c r="BV181" s="54"/>
      <c r="BW181" s="1024"/>
      <c r="BX181" s="1024"/>
      <c r="BY181" s="1024"/>
      <c r="BZ181" s="54"/>
      <c r="CA181" s="1024"/>
      <c r="CB181" s="54"/>
      <c r="CC181" s="1024"/>
      <c r="CD181" s="1024"/>
      <c r="CE181" s="1024"/>
      <c r="CF181" s="1024"/>
    </row>
    <row r="182" spans="1:84" x14ac:dyDescent="0.5">
      <c r="A182" s="259">
        <v>19096352</v>
      </c>
      <c r="B182" s="104">
        <v>19090805</v>
      </c>
      <c r="C182" s="105" t="s">
        <v>2606</v>
      </c>
      <c r="D182" s="106" t="s">
        <v>1323</v>
      </c>
      <c r="E182" s="302">
        <v>43753</v>
      </c>
      <c r="F182" s="936" t="s">
        <v>2017</v>
      </c>
      <c r="G182" s="937" t="s">
        <v>2891</v>
      </c>
      <c r="H182" s="211">
        <v>43750</v>
      </c>
      <c r="I182" s="164">
        <v>19316</v>
      </c>
      <c r="J182" s="960" t="s">
        <v>869</v>
      </c>
      <c r="K182" s="965">
        <v>43753</v>
      </c>
      <c r="L182" s="104" t="s">
        <v>435</v>
      </c>
      <c r="M182" s="110" t="s">
        <v>2605</v>
      </c>
      <c r="N182" s="104" t="s">
        <v>51</v>
      </c>
      <c r="O182" s="111">
        <v>3299585.61</v>
      </c>
      <c r="P182" s="111">
        <f t="shared" si="40"/>
        <v>230970.9927</v>
      </c>
      <c r="Q182" s="111">
        <f t="shared" si="41"/>
        <v>3530556.6026999997</v>
      </c>
      <c r="R182" s="212"/>
      <c r="S182" s="113" t="s">
        <v>2276</v>
      </c>
      <c r="T182" s="114">
        <f>O182</f>
        <v>3299585.61</v>
      </c>
      <c r="U182" s="115">
        <v>5</v>
      </c>
      <c r="V182" s="116">
        <f>T182*U182/100</f>
        <v>164979.28049999999</v>
      </c>
      <c r="W182" s="117">
        <f>T182-V182</f>
        <v>3134606.3295</v>
      </c>
      <c r="X182" s="168"/>
      <c r="Y182" s="168"/>
      <c r="Z182" s="231"/>
      <c r="AA182" s="232"/>
      <c r="AB182" s="123">
        <v>19100410</v>
      </c>
      <c r="AC182" s="124">
        <v>3299585.61</v>
      </c>
      <c r="AD182" s="260">
        <f>AC182*7/100</f>
        <v>230970.9927</v>
      </c>
      <c r="AE182" s="125">
        <f>AC182+AD182</f>
        <v>3530556.6026999997</v>
      </c>
      <c r="AF182" s="126">
        <v>43815</v>
      </c>
      <c r="AG182" s="127" t="s">
        <v>869</v>
      </c>
      <c r="AH182" s="127"/>
      <c r="AI182" s="127"/>
      <c r="AJ182" s="103" t="s">
        <v>3471</v>
      </c>
      <c r="AK182" s="128">
        <v>1</v>
      </c>
      <c r="AL182" s="129" t="s">
        <v>2607</v>
      </c>
      <c r="AM182" s="130" t="s">
        <v>869</v>
      </c>
      <c r="AN182" s="130"/>
      <c r="AO182" s="131">
        <v>1</v>
      </c>
      <c r="AP182" s="132" t="s">
        <v>634</v>
      </c>
      <c r="AQ182" s="128">
        <v>2</v>
      </c>
      <c r="AR182" s="123" t="s">
        <v>2608</v>
      </c>
      <c r="AS182" s="131" t="s">
        <v>869</v>
      </c>
      <c r="AT182" s="131"/>
      <c r="AU182" s="131">
        <v>1</v>
      </c>
      <c r="AV182" s="169" t="s">
        <v>636</v>
      </c>
      <c r="AW182" s="128">
        <v>3</v>
      </c>
      <c r="AX182" s="123" t="s">
        <v>2609</v>
      </c>
      <c r="AY182" s="131" t="s">
        <v>869</v>
      </c>
      <c r="AZ182" s="131"/>
      <c r="BA182" s="131">
        <v>3</v>
      </c>
      <c r="BB182" s="169" t="s">
        <v>636</v>
      </c>
      <c r="BC182" s="128"/>
      <c r="BD182" s="133"/>
      <c r="BE182" s="128"/>
      <c r="BF182" s="128"/>
      <c r="BG182" s="128"/>
      <c r="BH182" s="133"/>
      <c r="BI182" s="128"/>
      <c r="BJ182" s="133"/>
      <c r="BK182" s="128"/>
      <c r="BL182" s="128"/>
      <c r="BM182" s="128"/>
      <c r="BN182" s="133"/>
      <c r="BO182" s="128"/>
      <c r="BP182" s="133"/>
      <c r="BQ182" s="128"/>
      <c r="BR182" s="128"/>
      <c r="BS182" s="128"/>
      <c r="BT182" s="133"/>
      <c r="BU182" s="128"/>
      <c r="BV182" s="133"/>
      <c r="BW182" s="128"/>
      <c r="BX182" s="128"/>
      <c r="BY182" s="128"/>
      <c r="BZ182" s="133"/>
      <c r="CA182" s="128"/>
      <c r="CB182" s="133"/>
      <c r="CC182" s="128"/>
      <c r="CD182" s="128"/>
      <c r="CE182" s="128"/>
      <c r="CF182" s="128"/>
    </row>
    <row r="183" spans="1:84" x14ac:dyDescent="0.5">
      <c r="A183" s="262"/>
      <c r="B183" s="135"/>
      <c r="C183" s="136"/>
      <c r="D183" s="137"/>
      <c r="E183" s="906"/>
      <c r="F183" s="940"/>
      <c r="G183" s="941"/>
      <c r="H183" s="170">
        <v>43750</v>
      </c>
      <c r="I183" s="251">
        <v>19317</v>
      </c>
      <c r="J183" s="963"/>
      <c r="K183" s="964"/>
      <c r="L183" s="135"/>
      <c r="M183" s="141"/>
      <c r="N183" s="135"/>
      <c r="O183" s="142"/>
      <c r="P183" s="142"/>
      <c r="Q183" s="142"/>
      <c r="R183" s="213"/>
      <c r="S183" s="144"/>
      <c r="T183" s="145"/>
      <c r="U183" s="146"/>
      <c r="V183" s="147"/>
      <c r="W183" s="148"/>
      <c r="X183" s="175"/>
      <c r="Y183" s="175"/>
      <c r="Z183" s="282"/>
      <c r="AA183" s="283"/>
      <c r="AB183" s="154"/>
      <c r="AC183" s="155"/>
      <c r="AD183" s="253"/>
      <c r="AE183" s="156"/>
      <c r="AF183" s="157"/>
      <c r="AG183" s="152"/>
      <c r="AH183" s="152"/>
      <c r="AI183" s="152"/>
      <c r="AJ183" s="134"/>
      <c r="AK183" s="158"/>
      <c r="AL183" s="159"/>
      <c r="AM183" s="160"/>
      <c r="AN183" s="160"/>
      <c r="AO183" s="161"/>
      <c r="AP183" s="162"/>
      <c r="AQ183" s="158"/>
      <c r="AR183" s="154"/>
      <c r="AS183" s="161"/>
      <c r="AT183" s="161"/>
      <c r="AU183" s="161"/>
      <c r="AV183" s="177"/>
      <c r="AW183" s="158"/>
      <c r="AX183" s="154"/>
      <c r="AY183" s="161"/>
      <c r="AZ183" s="161"/>
      <c r="BA183" s="161"/>
      <c r="BB183" s="177"/>
      <c r="BC183" s="158"/>
      <c r="BD183" s="163"/>
      <c r="BE183" s="158"/>
      <c r="BF183" s="158"/>
      <c r="BG183" s="158"/>
      <c r="BH183" s="163"/>
      <c r="BI183" s="158"/>
      <c r="BJ183" s="163"/>
      <c r="BK183" s="158"/>
      <c r="BL183" s="158"/>
      <c r="BM183" s="158"/>
      <c r="BN183" s="163"/>
      <c r="BO183" s="158"/>
      <c r="BP183" s="163"/>
      <c r="BQ183" s="158"/>
      <c r="BR183" s="158"/>
      <c r="BS183" s="158"/>
      <c r="BT183" s="163"/>
      <c r="BU183" s="158"/>
      <c r="BV183" s="163"/>
      <c r="BW183" s="158"/>
      <c r="BX183" s="158"/>
      <c r="BY183" s="158"/>
      <c r="BZ183" s="163"/>
      <c r="CA183" s="158"/>
      <c r="CB183" s="163"/>
      <c r="CC183" s="158"/>
      <c r="CD183" s="158"/>
      <c r="CE183" s="158"/>
      <c r="CF183" s="158"/>
    </row>
    <row r="184" spans="1:84" x14ac:dyDescent="0.5">
      <c r="A184" s="262"/>
      <c r="B184" s="135"/>
      <c r="C184" s="136"/>
      <c r="D184" s="137"/>
      <c r="E184" s="906"/>
      <c r="F184" s="940"/>
      <c r="G184" s="941"/>
      <c r="H184" s="170">
        <v>43750</v>
      </c>
      <c r="I184" s="251">
        <v>19318</v>
      </c>
      <c r="J184" s="963"/>
      <c r="K184" s="964"/>
      <c r="L184" s="135"/>
      <c r="M184" s="141"/>
      <c r="N184" s="135"/>
      <c r="O184" s="142"/>
      <c r="P184" s="142"/>
      <c r="Q184" s="142"/>
      <c r="R184" s="213"/>
      <c r="S184" s="144"/>
      <c r="T184" s="145"/>
      <c r="U184" s="146"/>
      <c r="V184" s="147"/>
      <c r="W184" s="148"/>
      <c r="X184" s="175"/>
      <c r="Y184" s="175"/>
      <c r="Z184" s="282"/>
      <c r="AA184" s="283"/>
      <c r="AB184" s="154"/>
      <c r="AC184" s="155"/>
      <c r="AD184" s="253"/>
      <c r="AE184" s="156"/>
      <c r="AF184" s="157"/>
      <c r="AG184" s="152"/>
      <c r="AH184" s="152"/>
      <c r="AI184" s="152"/>
      <c r="AJ184" s="134"/>
      <c r="AK184" s="158"/>
      <c r="AL184" s="159"/>
      <c r="AM184" s="160"/>
      <c r="AN184" s="160"/>
      <c r="AO184" s="161"/>
      <c r="AP184" s="162"/>
      <c r="AQ184" s="158"/>
      <c r="AR184" s="154"/>
      <c r="AS184" s="161"/>
      <c r="AT184" s="161"/>
      <c r="AU184" s="161"/>
      <c r="AV184" s="177"/>
      <c r="AW184" s="158"/>
      <c r="AX184" s="154"/>
      <c r="AY184" s="161"/>
      <c r="AZ184" s="161"/>
      <c r="BA184" s="161"/>
      <c r="BB184" s="177"/>
      <c r="BC184" s="158"/>
      <c r="BD184" s="163"/>
      <c r="BE184" s="158"/>
      <c r="BF184" s="158"/>
      <c r="BG184" s="158"/>
      <c r="BH184" s="163"/>
      <c r="BI184" s="158"/>
      <c r="BJ184" s="163"/>
      <c r="BK184" s="158"/>
      <c r="BL184" s="158"/>
      <c r="BM184" s="158"/>
      <c r="BN184" s="163"/>
      <c r="BO184" s="158"/>
      <c r="BP184" s="163"/>
      <c r="BQ184" s="158"/>
      <c r="BR184" s="158"/>
      <c r="BS184" s="158"/>
      <c r="BT184" s="163"/>
      <c r="BU184" s="158"/>
      <c r="BV184" s="163"/>
      <c r="BW184" s="158"/>
      <c r="BX184" s="158"/>
      <c r="BY184" s="158"/>
      <c r="BZ184" s="163"/>
      <c r="CA184" s="158"/>
      <c r="CB184" s="163"/>
      <c r="CC184" s="158"/>
      <c r="CD184" s="158"/>
      <c r="CE184" s="158"/>
      <c r="CF184" s="158"/>
    </row>
    <row r="185" spans="1:84" x14ac:dyDescent="0.5">
      <c r="A185" s="262"/>
      <c r="B185" s="135"/>
      <c r="C185" s="136"/>
      <c r="D185" s="137"/>
      <c r="E185" s="906"/>
      <c r="F185" s="940"/>
      <c r="G185" s="941"/>
      <c r="H185" s="170">
        <v>43750</v>
      </c>
      <c r="I185" s="251">
        <v>19319</v>
      </c>
      <c r="J185" s="963"/>
      <c r="K185" s="964"/>
      <c r="L185" s="135"/>
      <c r="M185" s="141"/>
      <c r="N185" s="135"/>
      <c r="O185" s="142"/>
      <c r="P185" s="142"/>
      <c r="Q185" s="142"/>
      <c r="R185" s="213"/>
      <c r="S185" s="144"/>
      <c r="T185" s="145"/>
      <c r="U185" s="146"/>
      <c r="V185" s="147"/>
      <c r="W185" s="148"/>
      <c r="X185" s="175"/>
      <c r="Y185" s="175"/>
      <c r="Z185" s="282"/>
      <c r="AA185" s="283"/>
      <c r="AB185" s="154"/>
      <c r="AC185" s="155"/>
      <c r="AD185" s="253"/>
      <c r="AE185" s="156"/>
      <c r="AF185" s="157"/>
      <c r="AG185" s="152"/>
      <c r="AH185" s="152"/>
      <c r="AI185" s="152"/>
      <c r="AJ185" s="134"/>
      <c r="AK185" s="158"/>
      <c r="AL185" s="159"/>
      <c r="AM185" s="160"/>
      <c r="AN185" s="160"/>
      <c r="AO185" s="161"/>
      <c r="AP185" s="162"/>
      <c r="AQ185" s="158"/>
      <c r="AR185" s="154"/>
      <c r="AS185" s="161"/>
      <c r="AT185" s="161"/>
      <c r="AU185" s="161"/>
      <c r="AV185" s="177"/>
      <c r="AW185" s="158"/>
      <c r="AX185" s="154"/>
      <c r="AY185" s="161"/>
      <c r="AZ185" s="161"/>
      <c r="BA185" s="161"/>
      <c r="BB185" s="177"/>
      <c r="BC185" s="158"/>
      <c r="BD185" s="163"/>
      <c r="BE185" s="158"/>
      <c r="BF185" s="158"/>
      <c r="BG185" s="158"/>
      <c r="BH185" s="163"/>
      <c r="BI185" s="158"/>
      <c r="BJ185" s="163"/>
      <c r="BK185" s="158"/>
      <c r="BL185" s="158"/>
      <c r="BM185" s="158"/>
      <c r="BN185" s="163"/>
      <c r="BO185" s="158"/>
      <c r="BP185" s="163"/>
      <c r="BQ185" s="158"/>
      <c r="BR185" s="158"/>
      <c r="BS185" s="158"/>
      <c r="BT185" s="163"/>
      <c r="BU185" s="158"/>
      <c r="BV185" s="163"/>
      <c r="BW185" s="158"/>
      <c r="BX185" s="158"/>
      <c r="BY185" s="158"/>
      <c r="BZ185" s="163"/>
      <c r="CA185" s="158"/>
      <c r="CB185" s="163"/>
      <c r="CC185" s="158"/>
      <c r="CD185" s="158"/>
      <c r="CE185" s="158"/>
      <c r="CF185" s="158"/>
    </row>
    <row r="186" spans="1:84" x14ac:dyDescent="0.5">
      <c r="A186" s="262"/>
      <c r="B186" s="135"/>
      <c r="C186" s="136"/>
      <c r="D186" s="137"/>
      <c r="E186" s="906"/>
      <c r="F186" s="940"/>
      <c r="G186" s="941"/>
      <c r="H186" s="170">
        <v>43750</v>
      </c>
      <c r="I186" s="251">
        <v>19320</v>
      </c>
      <c r="J186" s="963"/>
      <c r="K186" s="964"/>
      <c r="L186" s="135"/>
      <c r="M186" s="141"/>
      <c r="N186" s="135"/>
      <c r="O186" s="142"/>
      <c r="P186" s="142"/>
      <c r="Q186" s="142"/>
      <c r="R186" s="213"/>
      <c r="S186" s="144"/>
      <c r="T186" s="145"/>
      <c r="U186" s="146"/>
      <c r="V186" s="147"/>
      <c r="W186" s="148"/>
      <c r="X186" s="175"/>
      <c r="Y186" s="175"/>
      <c r="Z186" s="282"/>
      <c r="AA186" s="283"/>
      <c r="AB186" s="154"/>
      <c r="AC186" s="155"/>
      <c r="AD186" s="253"/>
      <c r="AE186" s="156"/>
      <c r="AF186" s="157"/>
      <c r="AG186" s="152"/>
      <c r="AH186" s="152"/>
      <c r="AI186" s="152"/>
      <c r="AJ186" s="134"/>
      <c r="AK186" s="158"/>
      <c r="AL186" s="159"/>
      <c r="AM186" s="160"/>
      <c r="AN186" s="160"/>
      <c r="AO186" s="161"/>
      <c r="AP186" s="162"/>
      <c r="AQ186" s="158"/>
      <c r="AR186" s="154"/>
      <c r="AS186" s="161"/>
      <c r="AT186" s="161"/>
      <c r="AU186" s="161"/>
      <c r="AV186" s="177"/>
      <c r="AW186" s="158"/>
      <c r="AX186" s="154"/>
      <c r="AY186" s="161"/>
      <c r="AZ186" s="161"/>
      <c r="BA186" s="161"/>
      <c r="BB186" s="177"/>
      <c r="BC186" s="158"/>
      <c r="BD186" s="163"/>
      <c r="BE186" s="158"/>
      <c r="BF186" s="158"/>
      <c r="BG186" s="158"/>
      <c r="BH186" s="163"/>
      <c r="BI186" s="158"/>
      <c r="BJ186" s="163"/>
      <c r="BK186" s="158"/>
      <c r="BL186" s="158"/>
      <c r="BM186" s="158"/>
      <c r="BN186" s="163"/>
      <c r="BO186" s="158"/>
      <c r="BP186" s="163"/>
      <c r="BQ186" s="158"/>
      <c r="BR186" s="158"/>
      <c r="BS186" s="158"/>
      <c r="BT186" s="163"/>
      <c r="BU186" s="158"/>
      <c r="BV186" s="163"/>
      <c r="BW186" s="158"/>
      <c r="BX186" s="158"/>
      <c r="BY186" s="158"/>
      <c r="BZ186" s="163"/>
      <c r="CA186" s="158"/>
      <c r="CB186" s="163"/>
      <c r="CC186" s="158"/>
      <c r="CD186" s="158"/>
      <c r="CE186" s="158"/>
      <c r="CF186" s="158"/>
    </row>
    <row r="187" spans="1:84" x14ac:dyDescent="0.5">
      <c r="A187" s="262"/>
      <c r="B187" s="135"/>
      <c r="C187" s="136"/>
      <c r="D187" s="137"/>
      <c r="E187" s="906"/>
      <c r="F187" s="940"/>
      <c r="G187" s="941"/>
      <c r="H187" s="170">
        <v>43750</v>
      </c>
      <c r="I187" s="251">
        <v>19321</v>
      </c>
      <c r="J187" s="963"/>
      <c r="K187" s="964"/>
      <c r="L187" s="135"/>
      <c r="M187" s="141"/>
      <c r="N187" s="135"/>
      <c r="O187" s="142"/>
      <c r="P187" s="142"/>
      <c r="Q187" s="142"/>
      <c r="R187" s="213"/>
      <c r="S187" s="144"/>
      <c r="T187" s="145"/>
      <c r="U187" s="146"/>
      <c r="V187" s="147"/>
      <c r="W187" s="148"/>
      <c r="X187" s="175"/>
      <c r="Y187" s="175"/>
      <c r="Z187" s="282"/>
      <c r="AA187" s="283"/>
      <c r="AB187" s="154"/>
      <c r="AC187" s="155"/>
      <c r="AD187" s="253"/>
      <c r="AE187" s="156"/>
      <c r="AF187" s="157"/>
      <c r="AG187" s="152"/>
      <c r="AH187" s="152"/>
      <c r="AI187" s="152"/>
      <c r="AJ187" s="134"/>
      <c r="AK187" s="158"/>
      <c r="AL187" s="159"/>
      <c r="AM187" s="160"/>
      <c r="AN187" s="160"/>
      <c r="AO187" s="161"/>
      <c r="AP187" s="162"/>
      <c r="AQ187" s="158"/>
      <c r="AR187" s="154"/>
      <c r="AS187" s="161"/>
      <c r="AT187" s="161"/>
      <c r="AU187" s="161"/>
      <c r="AV187" s="177"/>
      <c r="AW187" s="158"/>
      <c r="AX187" s="154"/>
      <c r="AY187" s="161"/>
      <c r="AZ187" s="161"/>
      <c r="BA187" s="161"/>
      <c r="BB187" s="177"/>
      <c r="BC187" s="158"/>
      <c r="BD187" s="163"/>
      <c r="BE187" s="158"/>
      <c r="BF187" s="158"/>
      <c r="BG187" s="158"/>
      <c r="BH187" s="163"/>
      <c r="BI187" s="158"/>
      <c r="BJ187" s="163"/>
      <c r="BK187" s="158"/>
      <c r="BL187" s="158"/>
      <c r="BM187" s="158"/>
      <c r="BN187" s="163"/>
      <c r="BO187" s="158"/>
      <c r="BP187" s="163"/>
      <c r="BQ187" s="158"/>
      <c r="BR187" s="158"/>
      <c r="BS187" s="158"/>
      <c r="BT187" s="163"/>
      <c r="BU187" s="158"/>
      <c r="BV187" s="163"/>
      <c r="BW187" s="158"/>
      <c r="BX187" s="158"/>
      <c r="BY187" s="158"/>
      <c r="BZ187" s="163"/>
      <c r="CA187" s="158"/>
      <c r="CB187" s="163"/>
      <c r="CC187" s="158"/>
      <c r="CD187" s="158"/>
      <c r="CE187" s="158"/>
      <c r="CF187" s="158"/>
    </row>
    <row r="188" spans="1:84" x14ac:dyDescent="0.5">
      <c r="A188" s="268"/>
      <c r="B188" s="181"/>
      <c r="C188" s="182"/>
      <c r="D188" s="183"/>
      <c r="E188" s="749"/>
      <c r="F188" s="938"/>
      <c r="G188" s="939"/>
      <c r="H188" s="186">
        <v>43753</v>
      </c>
      <c r="I188" s="187">
        <v>19322</v>
      </c>
      <c r="J188" s="961"/>
      <c r="K188" s="966"/>
      <c r="L188" s="181"/>
      <c r="M188" s="188"/>
      <c r="N188" s="181"/>
      <c r="O188" s="189"/>
      <c r="P188" s="189"/>
      <c r="Q188" s="189"/>
      <c r="R188" s="214"/>
      <c r="S188" s="215"/>
      <c r="T188" s="216"/>
      <c r="U188" s="217"/>
      <c r="V188" s="218"/>
      <c r="W188" s="195"/>
      <c r="X188" s="194"/>
      <c r="Y188" s="194"/>
      <c r="Z188" s="235"/>
      <c r="AA188" s="236"/>
      <c r="AB188" s="200"/>
      <c r="AC188" s="201"/>
      <c r="AD188" s="237"/>
      <c r="AE188" s="202"/>
      <c r="AF188" s="203"/>
      <c r="AG188" s="199"/>
      <c r="AH188" s="199"/>
      <c r="AI188" s="199"/>
      <c r="AJ188" s="180"/>
      <c r="AK188" s="204"/>
      <c r="AL188" s="205"/>
      <c r="AM188" s="206"/>
      <c r="AN188" s="206"/>
      <c r="AO188" s="207"/>
      <c r="AP188" s="208"/>
      <c r="AQ188" s="204"/>
      <c r="AR188" s="200"/>
      <c r="AS188" s="207"/>
      <c r="AT188" s="207"/>
      <c r="AU188" s="207"/>
      <c r="AV188" s="209"/>
      <c r="AW188" s="204"/>
      <c r="AX188" s="200"/>
      <c r="AY188" s="207"/>
      <c r="AZ188" s="207"/>
      <c r="BA188" s="207"/>
      <c r="BB188" s="209"/>
      <c r="BC188" s="204"/>
      <c r="BD188" s="210"/>
      <c r="BE188" s="204"/>
      <c r="BF188" s="204"/>
      <c r="BG188" s="204"/>
      <c r="BH188" s="210"/>
      <c r="BI188" s="204"/>
      <c r="BJ188" s="210"/>
      <c r="BK188" s="204"/>
      <c r="BL188" s="204"/>
      <c r="BM188" s="204"/>
      <c r="BN188" s="210"/>
      <c r="BO188" s="204"/>
      <c r="BP188" s="210"/>
      <c r="BQ188" s="204"/>
      <c r="BR188" s="204"/>
      <c r="BS188" s="204"/>
      <c r="BT188" s="210"/>
      <c r="BU188" s="204"/>
      <c r="BV188" s="210"/>
      <c r="BW188" s="204"/>
      <c r="BX188" s="204"/>
      <c r="BY188" s="204"/>
      <c r="BZ188" s="210"/>
      <c r="CA188" s="204"/>
      <c r="CB188" s="210"/>
      <c r="CC188" s="204"/>
      <c r="CD188" s="204"/>
      <c r="CE188" s="204"/>
      <c r="CF188" s="204"/>
    </row>
    <row r="189" spans="1:84" x14ac:dyDescent="0.5">
      <c r="A189" s="227">
        <v>19096351</v>
      </c>
      <c r="B189" s="22">
        <v>19090796</v>
      </c>
      <c r="C189" s="55"/>
      <c r="D189" s="56"/>
      <c r="E189" s="910"/>
      <c r="F189" s="57"/>
      <c r="G189" s="58"/>
      <c r="H189" s="59"/>
      <c r="I189" s="60"/>
      <c r="J189" s="269"/>
      <c r="K189" s="59"/>
      <c r="L189" s="22" t="s">
        <v>2610</v>
      </c>
      <c r="M189" s="28" t="s">
        <v>1903</v>
      </c>
      <c r="N189" s="22" t="s">
        <v>51</v>
      </c>
      <c r="O189" s="29">
        <v>8400</v>
      </c>
      <c r="P189" s="29">
        <f t="shared" si="40"/>
        <v>588</v>
      </c>
      <c r="Q189" s="29">
        <f t="shared" si="41"/>
        <v>8988</v>
      </c>
      <c r="R189" s="61"/>
      <c r="S189" s="96"/>
      <c r="T189" s="97"/>
      <c r="U189" s="98"/>
      <c r="V189" s="99"/>
      <c r="W189" s="100"/>
      <c r="X189" s="99"/>
      <c r="Y189" s="99"/>
      <c r="Z189" s="100"/>
      <c r="AA189" s="101"/>
      <c r="AB189" s="40">
        <v>19090327</v>
      </c>
      <c r="AC189" s="41">
        <v>8400</v>
      </c>
      <c r="AD189" s="52">
        <f>AC189*7/100</f>
        <v>588</v>
      </c>
      <c r="AE189" s="52">
        <f>AC189+AD189</f>
        <v>8988</v>
      </c>
      <c r="AF189" s="53">
        <v>43712</v>
      </c>
      <c r="AG189" s="39" t="s">
        <v>869</v>
      </c>
      <c r="AH189" s="39"/>
      <c r="AI189" s="39"/>
      <c r="AJ189" s="21" t="s">
        <v>3031</v>
      </c>
      <c r="AK189" s="1024">
        <v>1</v>
      </c>
      <c r="AL189" s="45" t="s">
        <v>2611</v>
      </c>
      <c r="AM189" s="46"/>
      <c r="AN189" s="46"/>
      <c r="AO189" s="47">
        <v>3</v>
      </c>
      <c r="AP189" s="48" t="s">
        <v>628</v>
      </c>
      <c r="AQ189" s="1024"/>
      <c r="AR189" s="54"/>
      <c r="AS189" s="1024"/>
      <c r="AT189" s="1024"/>
      <c r="AU189" s="1024"/>
      <c r="AV189" s="54"/>
      <c r="AW189" s="1024"/>
      <c r="AX189" s="54"/>
      <c r="AY189" s="1024"/>
      <c r="AZ189" s="1024"/>
      <c r="BA189" s="1024"/>
      <c r="BB189" s="54"/>
      <c r="BC189" s="1024"/>
      <c r="BD189" s="54"/>
      <c r="BE189" s="1024"/>
      <c r="BF189" s="1024"/>
      <c r="BG189" s="1024"/>
      <c r="BH189" s="54"/>
      <c r="BI189" s="1024"/>
      <c r="BJ189" s="54"/>
      <c r="BK189" s="1024"/>
      <c r="BL189" s="1024"/>
      <c r="BM189" s="1024"/>
      <c r="BN189" s="54"/>
      <c r="BO189" s="1024"/>
      <c r="BP189" s="54"/>
      <c r="BQ189" s="1024"/>
      <c r="BR189" s="1024"/>
      <c r="BS189" s="1024"/>
      <c r="BT189" s="54"/>
      <c r="BU189" s="1024"/>
      <c r="BV189" s="54"/>
      <c r="BW189" s="1024"/>
      <c r="BX189" s="1024"/>
      <c r="BY189" s="1024"/>
      <c r="BZ189" s="54"/>
      <c r="CA189" s="1024"/>
      <c r="CB189" s="54"/>
      <c r="CC189" s="1024"/>
      <c r="CD189" s="1024"/>
      <c r="CE189" s="1024"/>
      <c r="CF189" s="1024"/>
    </row>
    <row r="190" spans="1:84" x14ac:dyDescent="0.5">
      <c r="A190" s="227">
        <v>19096350</v>
      </c>
      <c r="B190" s="22">
        <v>19090795</v>
      </c>
      <c r="C190" s="55"/>
      <c r="D190" s="56"/>
      <c r="E190" s="910"/>
      <c r="F190" s="57"/>
      <c r="G190" s="58"/>
      <c r="H190" s="59"/>
      <c r="I190" s="60"/>
      <c r="J190" s="269"/>
      <c r="K190" s="59"/>
      <c r="L190" s="22" t="s">
        <v>2518</v>
      </c>
      <c r="M190" s="28" t="s">
        <v>2612</v>
      </c>
      <c r="N190" s="22" t="s">
        <v>51</v>
      </c>
      <c r="O190" s="29">
        <v>14500</v>
      </c>
      <c r="P190" s="29">
        <f t="shared" si="40"/>
        <v>1015</v>
      </c>
      <c r="Q190" s="29">
        <f t="shared" si="41"/>
        <v>15515</v>
      </c>
      <c r="R190" s="61"/>
      <c r="S190" s="96"/>
      <c r="T190" s="97"/>
      <c r="U190" s="98"/>
      <c r="V190" s="99"/>
      <c r="W190" s="100"/>
      <c r="X190" s="99"/>
      <c r="Y190" s="99"/>
      <c r="Z190" s="100"/>
      <c r="AA190" s="101"/>
      <c r="AB190" s="40">
        <v>19090340</v>
      </c>
      <c r="AC190" s="41">
        <v>14500</v>
      </c>
      <c r="AD190" s="52">
        <f>AC190*7/100</f>
        <v>1015</v>
      </c>
      <c r="AE190" s="52">
        <f>AC190+AD190</f>
        <v>15515</v>
      </c>
      <c r="AF190" s="53">
        <v>43750</v>
      </c>
      <c r="AG190" s="39" t="s">
        <v>869</v>
      </c>
      <c r="AH190" s="39"/>
      <c r="AI190" s="39"/>
      <c r="AJ190" s="21" t="s">
        <v>3355</v>
      </c>
      <c r="AK190" s="1024">
        <v>1</v>
      </c>
      <c r="AL190" s="45" t="s">
        <v>2613</v>
      </c>
      <c r="AM190" s="46"/>
      <c r="AN190" s="46"/>
      <c r="AO190" s="47">
        <v>1</v>
      </c>
      <c r="AP190" s="48" t="s">
        <v>628</v>
      </c>
      <c r="AQ190" s="1024">
        <v>2</v>
      </c>
      <c r="AR190" s="40" t="s">
        <v>2614</v>
      </c>
      <c r="AS190" s="47"/>
      <c r="AT190" s="47"/>
      <c r="AU190" s="47">
        <v>1</v>
      </c>
      <c r="AV190" s="49" t="s">
        <v>628</v>
      </c>
      <c r="AW190" s="1024">
        <v>3</v>
      </c>
      <c r="AX190" s="40" t="s">
        <v>2615</v>
      </c>
      <c r="AY190" s="47"/>
      <c r="AZ190" s="47"/>
      <c r="BA190" s="47">
        <v>1</v>
      </c>
      <c r="BB190" s="49" t="s">
        <v>628</v>
      </c>
      <c r="BC190" s="1024"/>
      <c r="BD190" s="54"/>
      <c r="BE190" s="1024"/>
      <c r="BF190" s="1024"/>
      <c r="BG190" s="1024"/>
      <c r="BH190" s="54"/>
      <c r="BI190" s="1024"/>
      <c r="BJ190" s="54"/>
      <c r="BK190" s="1024"/>
      <c r="BL190" s="1024"/>
      <c r="BM190" s="1024"/>
      <c r="BN190" s="54"/>
      <c r="BO190" s="1024"/>
      <c r="BP190" s="54"/>
      <c r="BQ190" s="1024"/>
      <c r="BR190" s="1024"/>
      <c r="BS190" s="1024"/>
      <c r="BT190" s="54"/>
      <c r="BU190" s="1024"/>
      <c r="BV190" s="54"/>
      <c r="BW190" s="1024"/>
      <c r="BX190" s="1024"/>
      <c r="BY190" s="1024"/>
      <c r="BZ190" s="54"/>
      <c r="CA190" s="1024"/>
      <c r="CB190" s="54"/>
      <c r="CC190" s="1024"/>
      <c r="CD190" s="1024"/>
      <c r="CE190" s="1024"/>
      <c r="CF190" s="1024"/>
    </row>
    <row r="191" spans="1:84" s="95" customFormat="1" x14ac:dyDescent="0.5">
      <c r="A191" s="65">
        <v>19096349</v>
      </c>
      <c r="B191" s="66">
        <v>19090794</v>
      </c>
      <c r="C191" s="67" t="s">
        <v>2650</v>
      </c>
      <c r="D191" s="68" t="s">
        <v>1323</v>
      </c>
      <c r="E191" s="905">
        <v>43800</v>
      </c>
      <c r="F191" s="934"/>
      <c r="G191" s="935"/>
      <c r="H191" s="66"/>
      <c r="I191" s="71"/>
      <c r="J191" s="958"/>
      <c r="K191" s="84"/>
      <c r="L191" s="66" t="s">
        <v>1976</v>
      </c>
      <c r="M191" s="72" t="s">
        <v>2651</v>
      </c>
      <c r="N191" s="66" t="s">
        <v>2645</v>
      </c>
      <c r="O191" s="73">
        <v>149200</v>
      </c>
      <c r="P191" s="73">
        <f t="shared" si="40"/>
        <v>10444</v>
      </c>
      <c r="Q191" s="73">
        <f t="shared" si="41"/>
        <v>159644</v>
      </c>
      <c r="R191" s="318"/>
      <c r="S191" s="319"/>
      <c r="T191" s="320"/>
      <c r="U191" s="321"/>
      <c r="V191" s="322"/>
      <c r="W191" s="79">
        <f>O191</f>
        <v>149200</v>
      </c>
      <c r="X191" s="80">
        <v>0.53</v>
      </c>
      <c r="Y191" s="80">
        <f>W191*X191/100</f>
        <v>790.76</v>
      </c>
      <c r="Z191" s="81">
        <v>0.2</v>
      </c>
      <c r="AA191" s="82">
        <f>W191*Z191/100</f>
        <v>298.39999999999998</v>
      </c>
      <c r="AB191" s="84"/>
      <c r="AC191" s="85"/>
      <c r="AD191" s="86"/>
      <c r="AE191" s="86"/>
      <c r="AF191" s="87"/>
      <c r="AG191" s="83"/>
      <c r="AH191" s="83"/>
      <c r="AI191" s="83"/>
      <c r="AJ191" s="65"/>
      <c r="AK191" s="88">
        <v>1</v>
      </c>
      <c r="AL191" s="89" t="s">
        <v>1978</v>
      </c>
      <c r="AM191" s="90"/>
      <c r="AN191" s="90" t="s">
        <v>869</v>
      </c>
      <c r="AO191" s="91">
        <v>4</v>
      </c>
      <c r="AP191" s="92" t="s">
        <v>634</v>
      </c>
      <c r="AQ191" s="88">
        <v>2</v>
      </c>
      <c r="AR191" s="84" t="s">
        <v>1162</v>
      </c>
      <c r="AS191" s="91"/>
      <c r="AT191" s="91" t="s">
        <v>869</v>
      </c>
      <c r="AU191" s="91">
        <v>4</v>
      </c>
      <c r="AV191" s="93" t="s">
        <v>634</v>
      </c>
      <c r="AW191" s="88"/>
      <c r="AX191" s="94"/>
      <c r="AY191" s="88"/>
      <c r="AZ191" s="88"/>
      <c r="BA191" s="88"/>
      <c r="BB191" s="94"/>
      <c r="BC191" s="88"/>
      <c r="BD191" s="94"/>
      <c r="BE191" s="88"/>
      <c r="BF191" s="88"/>
      <c r="BG191" s="88"/>
      <c r="BH191" s="94"/>
      <c r="BI191" s="88"/>
      <c r="BJ191" s="94"/>
      <c r="BK191" s="88"/>
      <c r="BL191" s="88"/>
      <c r="BM191" s="88"/>
      <c r="BN191" s="94"/>
      <c r="BO191" s="88"/>
      <c r="BP191" s="94"/>
      <c r="BQ191" s="88"/>
      <c r="BR191" s="88"/>
      <c r="BS191" s="88"/>
      <c r="BT191" s="94"/>
      <c r="BU191" s="88"/>
      <c r="BV191" s="94"/>
      <c r="BW191" s="88"/>
      <c r="BX191" s="88"/>
      <c r="BY191" s="88"/>
      <c r="BZ191" s="94"/>
      <c r="CA191" s="88"/>
      <c r="CB191" s="94"/>
      <c r="CC191" s="88"/>
      <c r="CD191" s="88"/>
      <c r="CE191" s="88"/>
      <c r="CF191" s="88"/>
    </row>
    <row r="192" spans="1:84" x14ac:dyDescent="0.5">
      <c r="A192" s="227">
        <v>19096348</v>
      </c>
      <c r="B192" s="22">
        <v>19090791</v>
      </c>
      <c r="C192" s="55"/>
      <c r="D192" s="56"/>
      <c r="E192" s="910"/>
      <c r="F192" s="57"/>
      <c r="G192" s="58"/>
      <c r="H192" s="59"/>
      <c r="I192" s="60"/>
      <c r="J192" s="269"/>
      <c r="K192" s="59"/>
      <c r="L192" s="22" t="s">
        <v>2531</v>
      </c>
      <c r="M192" s="28" t="s">
        <v>2653</v>
      </c>
      <c r="N192" s="22" t="s">
        <v>50</v>
      </c>
      <c r="O192" s="29">
        <v>23700</v>
      </c>
      <c r="P192" s="29">
        <f t="shared" si="40"/>
        <v>1659</v>
      </c>
      <c r="Q192" s="29">
        <f t="shared" si="41"/>
        <v>25359</v>
      </c>
      <c r="R192" s="61"/>
      <c r="S192" s="96"/>
      <c r="T192" s="97"/>
      <c r="U192" s="98"/>
      <c r="V192" s="99"/>
      <c r="W192" s="100"/>
      <c r="X192" s="99"/>
      <c r="Y192" s="99"/>
      <c r="Z192" s="100"/>
      <c r="AA192" s="101"/>
      <c r="AB192" s="40">
        <v>19090329</v>
      </c>
      <c r="AC192" s="41">
        <v>23700</v>
      </c>
      <c r="AD192" s="52">
        <f>AC192*7/100</f>
        <v>1659</v>
      </c>
      <c r="AE192" s="52">
        <f>AC192+AD192</f>
        <v>25359</v>
      </c>
      <c r="AF192" s="53">
        <v>43712</v>
      </c>
      <c r="AG192" s="39" t="s">
        <v>869</v>
      </c>
      <c r="AH192" s="39"/>
      <c r="AI192" s="39"/>
      <c r="AJ192" s="21" t="s">
        <v>2860</v>
      </c>
      <c r="AK192" s="1024">
        <v>1</v>
      </c>
      <c r="AL192" s="45" t="s">
        <v>404</v>
      </c>
      <c r="AM192" s="46"/>
      <c r="AN192" s="46"/>
      <c r="AO192" s="47">
        <v>1</v>
      </c>
      <c r="AP192" s="102"/>
      <c r="AQ192" s="1025"/>
      <c r="AR192" s="54"/>
      <c r="AS192" s="1025"/>
      <c r="AT192" s="1025"/>
      <c r="AU192" s="1025"/>
      <c r="AV192" s="54"/>
      <c r="AW192" s="1025"/>
      <c r="AX192" s="54"/>
      <c r="AY192" s="1025"/>
      <c r="AZ192" s="1025"/>
      <c r="BA192" s="1025"/>
      <c r="BB192" s="54"/>
      <c r="BC192" s="1025"/>
      <c r="BD192" s="54"/>
      <c r="BE192" s="1025"/>
      <c r="BF192" s="1025"/>
      <c r="BG192" s="1025"/>
      <c r="BH192" s="54"/>
      <c r="BI192" s="1025"/>
      <c r="BJ192" s="54"/>
      <c r="BK192" s="1025"/>
      <c r="BL192" s="1025"/>
      <c r="BM192" s="1025"/>
      <c r="BN192" s="54"/>
      <c r="BO192" s="1025"/>
      <c r="BP192" s="54"/>
      <c r="BQ192" s="1025"/>
      <c r="BR192" s="1025"/>
      <c r="BS192" s="1025"/>
      <c r="BT192" s="54"/>
      <c r="BU192" s="1025"/>
      <c r="BV192" s="54"/>
      <c r="BW192" s="1025"/>
      <c r="BX192" s="1025"/>
      <c r="BY192" s="1025"/>
      <c r="BZ192" s="54"/>
      <c r="CA192" s="1025"/>
      <c r="CB192" s="54"/>
      <c r="CC192" s="1025"/>
      <c r="CD192" s="1025"/>
      <c r="CE192" s="1025"/>
      <c r="CF192" s="1025"/>
    </row>
    <row r="193" spans="1:84" x14ac:dyDescent="0.5">
      <c r="A193" s="227">
        <v>19086347</v>
      </c>
      <c r="B193" s="22">
        <v>19080781</v>
      </c>
      <c r="C193" s="23" t="s">
        <v>2616</v>
      </c>
      <c r="D193" s="24" t="s">
        <v>1323</v>
      </c>
      <c r="E193" s="884">
        <v>43724</v>
      </c>
      <c r="F193" s="932" t="s">
        <v>1324</v>
      </c>
      <c r="G193" s="933" t="s">
        <v>2604</v>
      </c>
      <c r="H193" s="62">
        <v>43724</v>
      </c>
      <c r="I193" s="27">
        <v>19285</v>
      </c>
      <c r="J193" s="931" t="s">
        <v>869</v>
      </c>
      <c r="K193" s="957">
        <v>43724</v>
      </c>
      <c r="L193" s="22" t="s">
        <v>2278</v>
      </c>
      <c r="M193" s="28" t="s">
        <v>2617</v>
      </c>
      <c r="N193" s="22" t="s">
        <v>51</v>
      </c>
      <c r="O193" s="29">
        <v>252000</v>
      </c>
      <c r="P193" s="29">
        <f t="shared" si="40"/>
        <v>17640</v>
      </c>
      <c r="Q193" s="29">
        <f t="shared" si="41"/>
        <v>269640</v>
      </c>
      <c r="R193" s="61"/>
      <c r="S193" s="96"/>
      <c r="T193" s="97"/>
      <c r="U193" s="98"/>
      <c r="V193" s="99"/>
      <c r="W193" s="100"/>
      <c r="X193" s="99"/>
      <c r="Y193" s="99"/>
      <c r="Z193" s="100"/>
      <c r="AA193" s="101"/>
      <c r="AB193" s="40">
        <v>19090358</v>
      </c>
      <c r="AC193" s="41">
        <v>252000</v>
      </c>
      <c r="AD193" s="63">
        <f t="shared" ref="AD193:AD199" si="44">AC193*7/100</f>
        <v>17640</v>
      </c>
      <c r="AE193" s="64">
        <f t="shared" ref="AE193:AE199" si="45">AC193+AD193</f>
        <v>269640</v>
      </c>
      <c r="AF193" s="53">
        <v>43757</v>
      </c>
      <c r="AG193" s="39" t="s">
        <v>869</v>
      </c>
      <c r="AH193" s="39"/>
      <c r="AI193" s="39"/>
      <c r="AJ193" s="21" t="s">
        <v>3340</v>
      </c>
      <c r="AK193" s="1024">
        <v>1</v>
      </c>
      <c r="AL193" s="45" t="s">
        <v>2618</v>
      </c>
      <c r="AM193" s="46"/>
      <c r="AN193" s="46" t="s">
        <v>869</v>
      </c>
      <c r="AO193" s="47">
        <v>6</v>
      </c>
      <c r="AP193" s="48" t="s">
        <v>633</v>
      </c>
      <c r="AQ193" s="1024"/>
      <c r="AR193" s="54"/>
      <c r="AS193" s="1024"/>
      <c r="AT193" s="1024"/>
      <c r="AU193" s="1024"/>
      <c r="AV193" s="54"/>
      <c r="AW193" s="1024"/>
      <c r="AX193" s="54"/>
      <c r="AY193" s="1024"/>
      <c r="AZ193" s="1024"/>
      <c r="BA193" s="1024"/>
      <c r="BB193" s="54"/>
      <c r="BC193" s="1024"/>
      <c r="BD193" s="54"/>
      <c r="BE193" s="1024"/>
      <c r="BF193" s="1024"/>
      <c r="BG193" s="1024"/>
      <c r="BH193" s="54"/>
      <c r="BI193" s="1024"/>
      <c r="BJ193" s="54"/>
      <c r="BK193" s="1024"/>
      <c r="BL193" s="1024"/>
      <c r="BM193" s="1024"/>
      <c r="BN193" s="54"/>
      <c r="BO193" s="1024"/>
      <c r="BP193" s="54"/>
      <c r="BQ193" s="1024"/>
      <c r="BR193" s="1024"/>
      <c r="BS193" s="1024"/>
      <c r="BT193" s="54"/>
      <c r="BU193" s="1024"/>
      <c r="BV193" s="54"/>
      <c r="BW193" s="1024"/>
      <c r="BX193" s="1024"/>
      <c r="BY193" s="1024"/>
      <c r="BZ193" s="54"/>
      <c r="CA193" s="1024"/>
      <c r="CB193" s="54"/>
      <c r="CC193" s="1024"/>
      <c r="CD193" s="1024"/>
      <c r="CE193" s="1024"/>
      <c r="CF193" s="1024"/>
    </row>
    <row r="194" spans="1:84" x14ac:dyDescent="0.5">
      <c r="A194" s="227">
        <v>19086346</v>
      </c>
      <c r="B194" s="22">
        <v>19080780</v>
      </c>
      <c r="C194" s="23" t="s">
        <v>2654</v>
      </c>
      <c r="D194" s="24" t="s">
        <v>1323</v>
      </c>
      <c r="E194" s="884">
        <v>43718</v>
      </c>
      <c r="F194" s="932" t="s">
        <v>1324</v>
      </c>
      <c r="G194" s="933" t="s">
        <v>2616</v>
      </c>
      <c r="H194" s="62">
        <v>43718</v>
      </c>
      <c r="I194" s="27">
        <v>19280</v>
      </c>
      <c r="J194" s="931" t="s">
        <v>869</v>
      </c>
      <c r="K194" s="957">
        <v>43719</v>
      </c>
      <c r="L194" s="22" t="s">
        <v>1221</v>
      </c>
      <c r="M194" s="28" t="s">
        <v>2655</v>
      </c>
      <c r="N194" s="22" t="s">
        <v>51</v>
      </c>
      <c r="O194" s="29">
        <v>63000</v>
      </c>
      <c r="P194" s="29">
        <f t="shared" si="40"/>
        <v>4410</v>
      </c>
      <c r="Q194" s="29">
        <f t="shared" si="41"/>
        <v>67410</v>
      </c>
      <c r="R194" s="61"/>
      <c r="S194" s="96"/>
      <c r="T194" s="97"/>
      <c r="U194" s="98"/>
      <c r="V194" s="99"/>
      <c r="W194" s="100"/>
      <c r="X194" s="99"/>
      <c r="Y194" s="99"/>
      <c r="Z194" s="100"/>
      <c r="AA194" s="101"/>
      <c r="AB194" s="40">
        <v>19090351</v>
      </c>
      <c r="AC194" s="41">
        <v>63000</v>
      </c>
      <c r="AD194" s="52">
        <f t="shared" si="44"/>
        <v>4410</v>
      </c>
      <c r="AE194" s="52">
        <f t="shared" si="45"/>
        <v>67410</v>
      </c>
      <c r="AF194" s="53">
        <v>43770</v>
      </c>
      <c r="AG194" s="39" t="s">
        <v>869</v>
      </c>
      <c r="AH194" s="39"/>
      <c r="AI194" s="39"/>
      <c r="AJ194" s="21" t="s">
        <v>3366</v>
      </c>
      <c r="AK194" s="1024">
        <v>1</v>
      </c>
      <c r="AL194" s="45" t="s">
        <v>1908</v>
      </c>
      <c r="AM194" s="46" t="s">
        <v>869</v>
      </c>
      <c r="AN194" s="46"/>
      <c r="AO194" s="47">
        <v>1</v>
      </c>
      <c r="AP194" s="48" t="s">
        <v>635</v>
      </c>
      <c r="AQ194" s="1027"/>
      <c r="AR194" s="54"/>
      <c r="AS194" s="1027"/>
      <c r="AT194" s="1027"/>
      <c r="AU194" s="1027"/>
      <c r="AV194" s="54"/>
      <c r="AW194" s="1027"/>
      <c r="AX194" s="54"/>
      <c r="AY194" s="1027"/>
      <c r="AZ194" s="1027"/>
      <c r="BA194" s="1027"/>
      <c r="BB194" s="54"/>
      <c r="BC194" s="1027"/>
      <c r="BD194" s="54"/>
      <c r="BE194" s="1027"/>
      <c r="BF194" s="1027"/>
      <c r="BG194" s="1027"/>
      <c r="BH194" s="54"/>
      <c r="BI194" s="1027"/>
      <c r="BJ194" s="54"/>
      <c r="BK194" s="1027"/>
      <c r="BL194" s="1027"/>
      <c r="BM194" s="1027"/>
      <c r="BN194" s="54"/>
      <c r="BO194" s="1027"/>
      <c r="BP194" s="54"/>
      <c r="BQ194" s="1027"/>
      <c r="BR194" s="1027"/>
      <c r="BS194" s="1027"/>
      <c r="BT194" s="54"/>
      <c r="BU194" s="1027"/>
      <c r="BV194" s="54"/>
      <c r="BW194" s="1027"/>
      <c r="BX194" s="1027"/>
      <c r="BY194" s="1027"/>
      <c r="BZ194" s="54"/>
      <c r="CA194" s="1027"/>
      <c r="CB194" s="54"/>
      <c r="CC194" s="1027"/>
      <c r="CD194" s="1027"/>
      <c r="CE194" s="1027"/>
      <c r="CF194" s="1027"/>
    </row>
    <row r="195" spans="1:84" x14ac:dyDescent="0.5">
      <c r="A195" s="227">
        <v>19086345</v>
      </c>
      <c r="B195" s="22">
        <v>19080771</v>
      </c>
      <c r="C195" s="23" t="s">
        <v>2656</v>
      </c>
      <c r="D195" s="24" t="s">
        <v>1323</v>
      </c>
      <c r="E195" s="884">
        <v>43712</v>
      </c>
      <c r="F195" s="932" t="s">
        <v>1324</v>
      </c>
      <c r="G195" s="933" t="s">
        <v>2582</v>
      </c>
      <c r="H195" s="62">
        <v>43712</v>
      </c>
      <c r="I195" s="27">
        <v>19269</v>
      </c>
      <c r="J195" s="931" t="s">
        <v>869</v>
      </c>
      <c r="K195" s="957">
        <v>43712</v>
      </c>
      <c r="L195" s="22" t="s">
        <v>388</v>
      </c>
      <c r="M195" s="28" t="s">
        <v>2665</v>
      </c>
      <c r="N195" s="22" t="s">
        <v>52</v>
      </c>
      <c r="O195" s="29">
        <v>83177.600000000006</v>
      </c>
      <c r="P195" s="29">
        <f t="shared" si="40"/>
        <v>5822.4320000000007</v>
      </c>
      <c r="Q195" s="29">
        <f t="shared" si="41"/>
        <v>89000.032000000007</v>
      </c>
      <c r="R195" s="61"/>
      <c r="S195" s="31" t="s">
        <v>2696</v>
      </c>
      <c r="T195" s="32">
        <f>O195</f>
        <v>83177.600000000006</v>
      </c>
      <c r="U195" s="33">
        <v>5</v>
      </c>
      <c r="V195" s="34">
        <f>T195*U195/100</f>
        <v>4158.88</v>
      </c>
      <c r="W195" s="35">
        <f>T195-V195</f>
        <v>79018.720000000001</v>
      </c>
      <c r="X195" s="36">
        <v>0.24</v>
      </c>
      <c r="Y195" s="36">
        <f>W195*X195/100</f>
        <v>189.64492799999999</v>
      </c>
      <c r="Z195" s="37">
        <v>0.2</v>
      </c>
      <c r="AA195" s="38">
        <f>W195*Z195/100</f>
        <v>158.03744</v>
      </c>
      <c r="AB195" s="40">
        <v>19090354</v>
      </c>
      <c r="AC195" s="41">
        <v>83177.600000000006</v>
      </c>
      <c r="AD195" s="63">
        <f t="shared" si="44"/>
        <v>5822.4320000000007</v>
      </c>
      <c r="AE195" s="64">
        <f t="shared" si="45"/>
        <v>89000.032000000007</v>
      </c>
      <c r="AF195" s="53">
        <v>43740</v>
      </c>
      <c r="AG195" s="39" t="s">
        <v>869</v>
      </c>
      <c r="AH195" s="39"/>
      <c r="AI195" s="39"/>
      <c r="AJ195" s="21" t="s">
        <v>2841</v>
      </c>
      <c r="AK195" s="1017">
        <v>1</v>
      </c>
      <c r="AL195" s="45" t="s">
        <v>2122</v>
      </c>
      <c r="AM195" s="46"/>
      <c r="AN195" s="46" t="s">
        <v>869</v>
      </c>
      <c r="AO195" s="47">
        <v>4</v>
      </c>
      <c r="AP195" s="48" t="s">
        <v>634</v>
      </c>
      <c r="AQ195" s="1028"/>
      <c r="AR195" s="54"/>
      <c r="AS195" s="1028"/>
      <c r="AT195" s="1028"/>
      <c r="AU195" s="1028"/>
      <c r="AV195" s="54"/>
      <c r="AW195" s="1028"/>
      <c r="AX195" s="54"/>
      <c r="AY195" s="1028"/>
      <c r="AZ195" s="1028"/>
      <c r="BA195" s="1028"/>
      <c r="BB195" s="54"/>
      <c r="BC195" s="1028"/>
      <c r="BD195" s="54"/>
      <c r="BE195" s="1028"/>
      <c r="BF195" s="1028"/>
      <c r="BG195" s="1028"/>
      <c r="BH195" s="54"/>
      <c r="BI195" s="1028"/>
      <c r="BJ195" s="54"/>
      <c r="BK195" s="1028"/>
      <c r="BL195" s="1028"/>
      <c r="BM195" s="1028"/>
      <c r="BN195" s="54"/>
      <c r="BO195" s="1028"/>
      <c r="BP195" s="54"/>
      <c r="BQ195" s="1028"/>
      <c r="BR195" s="1028"/>
      <c r="BS195" s="1028"/>
      <c r="BT195" s="54"/>
      <c r="BU195" s="1028"/>
      <c r="BV195" s="54"/>
      <c r="BW195" s="1028"/>
      <c r="BX195" s="1028"/>
      <c r="BY195" s="1028"/>
      <c r="BZ195" s="54"/>
      <c r="CA195" s="1028"/>
      <c r="CB195" s="54"/>
      <c r="CC195" s="1028"/>
      <c r="CD195" s="1028"/>
      <c r="CE195" s="1028"/>
      <c r="CF195" s="1028"/>
    </row>
    <row r="196" spans="1:84" x14ac:dyDescent="0.5">
      <c r="A196" s="227">
        <v>19086344</v>
      </c>
      <c r="B196" s="22">
        <v>19080770</v>
      </c>
      <c r="C196" s="23" t="s">
        <v>2657</v>
      </c>
      <c r="D196" s="24" t="s">
        <v>1323</v>
      </c>
      <c r="E196" s="884">
        <v>43712</v>
      </c>
      <c r="F196" s="932" t="s">
        <v>1324</v>
      </c>
      <c r="G196" s="933" t="s">
        <v>2578</v>
      </c>
      <c r="H196" s="62">
        <v>43712</v>
      </c>
      <c r="I196" s="27">
        <v>19270</v>
      </c>
      <c r="J196" s="931" t="s">
        <v>869</v>
      </c>
      <c r="K196" s="957">
        <v>43712</v>
      </c>
      <c r="L196" s="22" t="s">
        <v>388</v>
      </c>
      <c r="M196" s="28" t="s">
        <v>2664</v>
      </c>
      <c r="N196" s="22" t="s">
        <v>52</v>
      </c>
      <c r="O196" s="29">
        <v>83177.600000000006</v>
      </c>
      <c r="P196" s="29">
        <f t="shared" ref="P196:P201" si="46">O196*7/100</f>
        <v>5822.4320000000007</v>
      </c>
      <c r="Q196" s="29">
        <f t="shared" ref="Q196:Q201" si="47">O196+P196</f>
        <v>89000.032000000007</v>
      </c>
      <c r="R196" s="61"/>
      <c r="S196" s="587" t="s">
        <v>2696</v>
      </c>
      <c r="T196" s="32">
        <f>O196</f>
        <v>83177.600000000006</v>
      </c>
      <c r="U196" s="33">
        <v>5</v>
      </c>
      <c r="V196" s="34">
        <f>T196*U196/100</f>
        <v>4158.88</v>
      </c>
      <c r="W196" s="35">
        <f>T196-V196</f>
        <v>79018.720000000001</v>
      </c>
      <c r="X196" s="36">
        <v>0.24</v>
      </c>
      <c r="Y196" s="36">
        <f>W196*X196/100</f>
        <v>189.64492799999999</v>
      </c>
      <c r="Z196" s="37">
        <v>0.2</v>
      </c>
      <c r="AA196" s="38">
        <f>W196*Z196/100</f>
        <v>158.03744</v>
      </c>
      <c r="AB196" s="40">
        <v>19090355</v>
      </c>
      <c r="AC196" s="41">
        <v>83177.600000000006</v>
      </c>
      <c r="AD196" s="63">
        <f t="shared" si="44"/>
        <v>5822.4320000000007</v>
      </c>
      <c r="AE196" s="64">
        <f t="shared" si="45"/>
        <v>89000.032000000007</v>
      </c>
      <c r="AF196" s="53">
        <v>43740</v>
      </c>
      <c r="AG196" s="39" t="s">
        <v>869</v>
      </c>
      <c r="AH196" s="39"/>
      <c r="AI196" s="39"/>
      <c r="AJ196" s="21" t="s">
        <v>2841</v>
      </c>
      <c r="AK196" s="1018">
        <v>1</v>
      </c>
      <c r="AL196" s="45" t="s">
        <v>2122</v>
      </c>
      <c r="AM196" s="46"/>
      <c r="AN196" s="46" t="s">
        <v>869</v>
      </c>
      <c r="AO196" s="47">
        <v>4</v>
      </c>
      <c r="AP196" s="48" t="s">
        <v>634</v>
      </c>
      <c r="AQ196" s="1028"/>
      <c r="AR196" s="54"/>
      <c r="AS196" s="1028"/>
      <c r="AT196" s="1028"/>
      <c r="AU196" s="1028"/>
      <c r="AV196" s="54"/>
      <c r="AW196" s="1028"/>
      <c r="AX196" s="54"/>
      <c r="AY196" s="1028"/>
      <c r="AZ196" s="1028"/>
      <c r="BA196" s="1028"/>
      <c r="BB196" s="54"/>
      <c r="BC196" s="1028"/>
      <c r="BD196" s="54"/>
      <c r="BE196" s="1028"/>
      <c r="BF196" s="1028"/>
      <c r="BG196" s="1028"/>
      <c r="BH196" s="54"/>
      <c r="BI196" s="1028"/>
      <c r="BJ196" s="54"/>
      <c r="BK196" s="1028"/>
      <c r="BL196" s="1028"/>
      <c r="BM196" s="1028"/>
      <c r="BN196" s="54"/>
      <c r="BO196" s="1028"/>
      <c r="BP196" s="54"/>
      <c r="BQ196" s="1028"/>
      <c r="BR196" s="1028"/>
      <c r="BS196" s="1028"/>
      <c r="BT196" s="54"/>
      <c r="BU196" s="1028"/>
      <c r="BV196" s="54"/>
      <c r="BW196" s="1028"/>
      <c r="BX196" s="1028"/>
      <c r="BY196" s="1028"/>
      <c r="BZ196" s="54"/>
      <c r="CA196" s="1028"/>
      <c r="CB196" s="54"/>
      <c r="CC196" s="1028"/>
      <c r="CD196" s="1028"/>
      <c r="CE196" s="1028"/>
      <c r="CF196" s="1028"/>
    </row>
    <row r="197" spans="1:84" x14ac:dyDescent="0.5">
      <c r="A197" s="227">
        <v>19086343</v>
      </c>
      <c r="B197" s="22">
        <v>19080761</v>
      </c>
      <c r="C197" s="23" t="s">
        <v>2658</v>
      </c>
      <c r="D197" s="24" t="s">
        <v>1323</v>
      </c>
      <c r="E197" s="884">
        <v>43721</v>
      </c>
      <c r="F197" s="932" t="s">
        <v>1324</v>
      </c>
      <c r="G197" s="933" t="s">
        <v>2576</v>
      </c>
      <c r="H197" s="62">
        <v>43712</v>
      </c>
      <c r="I197" s="27">
        <v>19267</v>
      </c>
      <c r="J197" s="931" t="s">
        <v>869</v>
      </c>
      <c r="K197" s="957">
        <v>43712</v>
      </c>
      <c r="L197" s="22" t="s">
        <v>20</v>
      </c>
      <c r="M197" s="28" t="s">
        <v>2662</v>
      </c>
      <c r="N197" s="22" t="s">
        <v>51</v>
      </c>
      <c r="O197" s="29">
        <v>5250</v>
      </c>
      <c r="P197" s="29">
        <f t="shared" si="46"/>
        <v>367.5</v>
      </c>
      <c r="Q197" s="29">
        <f t="shared" si="47"/>
        <v>5617.5</v>
      </c>
      <c r="R197" s="61"/>
      <c r="S197" s="96"/>
      <c r="T197" s="97"/>
      <c r="U197" s="98"/>
      <c r="V197" s="99"/>
      <c r="W197" s="100"/>
      <c r="X197" s="99"/>
      <c r="Y197" s="99"/>
      <c r="Z197" s="100"/>
      <c r="AA197" s="101"/>
      <c r="AB197" s="40">
        <v>19090352</v>
      </c>
      <c r="AC197" s="41">
        <v>5250</v>
      </c>
      <c r="AD197" s="52">
        <f t="shared" si="44"/>
        <v>367.5</v>
      </c>
      <c r="AE197" s="52">
        <f t="shared" si="45"/>
        <v>5617.5</v>
      </c>
      <c r="AF197" s="53">
        <v>43755</v>
      </c>
      <c r="AG197" s="39" t="s">
        <v>869</v>
      </c>
      <c r="AH197" s="39"/>
      <c r="AI197" s="39"/>
      <c r="AJ197" s="21" t="s">
        <v>3339</v>
      </c>
      <c r="AK197" s="1018">
        <v>1</v>
      </c>
      <c r="AL197" s="45" t="s">
        <v>2663</v>
      </c>
      <c r="AM197" s="46"/>
      <c r="AN197" s="46" t="s">
        <v>869</v>
      </c>
      <c r="AO197" s="47">
        <v>1</v>
      </c>
      <c r="AP197" s="48" t="s">
        <v>633</v>
      </c>
      <c r="AQ197" s="1028"/>
      <c r="AR197" s="54"/>
      <c r="AS197" s="1028"/>
      <c r="AT197" s="1028"/>
      <c r="AU197" s="1028"/>
      <c r="AV197" s="54"/>
      <c r="AW197" s="1028"/>
      <c r="AX197" s="54"/>
      <c r="AY197" s="1028"/>
      <c r="AZ197" s="1028"/>
      <c r="BA197" s="1028"/>
      <c r="BB197" s="54"/>
      <c r="BC197" s="1028"/>
      <c r="BD197" s="54"/>
      <c r="BE197" s="1028"/>
      <c r="BF197" s="1028"/>
      <c r="BG197" s="1028"/>
      <c r="BH197" s="54"/>
      <c r="BI197" s="1028"/>
      <c r="BJ197" s="54"/>
      <c r="BK197" s="1028"/>
      <c r="BL197" s="1028"/>
      <c r="BM197" s="1028"/>
      <c r="BN197" s="54"/>
      <c r="BO197" s="1028"/>
      <c r="BP197" s="54"/>
      <c r="BQ197" s="1028"/>
      <c r="BR197" s="1028"/>
      <c r="BS197" s="1028"/>
      <c r="BT197" s="54"/>
      <c r="BU197" s="1028"/>
      <c r="BV197" s="54"/>
      <c r="BW197" s="1028"/>
      <c r="BX197" s="1028"/>
      <c r="BY197" s="1028"/>
      <c r="BZ197" s="54"/>
      <c r="CA197" s="1028"/>
      <c r="CB197" s="54"/>
      <c r="CC197" s="1028"/>
      <c r="CD197" s="1028"/>
      <c r="CE197" s="1028"/>
      <c r="CF197" s="1028"/>
    </row>
    <row r="198" spans="1:84" x14ac:dyDescent="0.5">
      <c r="A198" s="227">
        <v>19086342</v>
      </c>
      <c r="B198" s="22">
        <v>19080760</v>
      </c>
      <c r="C198" s="23" t="s">
        <v>2660</v>
      </c>
      <c r="D198" s="24" t="s">
        <v>1323</v>
      </c>
      <c r="E198" s="884">
        <v>43721</v>
      </c>
      <c r="F198" s="932" t="s">
        <v>1324</v>
      </c>
      <c r="G198" s="933" t="s">
        <v>2589</v>
      </c>
      <c r="H198" s="62">
        <v>43712</v>
      </c>
      <c r="I198" s="27">
        <v>19266</v>
      </c>
      <c r="J198" s="931" t="s">
        <v>869</v>
      </c>
      <c r="K198" s="957">
        <v>43712</v>
      </c>
      <c r="L198" s="22" t="s">
        <v>20</v>
      </c>
      <c r="M198" s="28" t="s">
        <v>1950</v>
      </c>
      <c r="N198" s="22" t="s">
        <v>51</v>
      </c>
      <c r="O198" s="29">
        <v>44544</v>
      </c>
      <c r="P198" s="29">
        <f t="shared" si="46"/>
        <v>3118.08</v>
      </c>
      <c r="Q198" s="29">
        <f t="shared" si="47"/>
        <v>47662.080000000002</v>
      </c>
      <c r="R198" s="61"/>
      <c r="S198" s="96"/>
      <c r="T198" s="97"/>
      <c r="U198" s="98"/>
      <c r="V198" s="99"/>
      <c r="W198" s="100"/>
      <c r="X198" s="99"/>
      <c r="Y198" s="99"/>
      <c r="Z198" s="100"/>
      <c r="AA198" s="101"/>
      <c r="AB198" s="40">
        <v>19090353</v>
      </c>
      <c r="AC198" s="41">
        <v>44544</v>
      </c>
      <c r="AD198" s="52">
        <f t="shared" si="44"/>
        <v>3118.08</v>
      </c>
      <c r="AE198" s="52">
        <f t="shared" si="45"/>
        <v>47662.080000000002</v>
      </c>
      <c r="AF198" s="53">
        <v>43755</v>
      </c>
      <c r="AG198" s="39" t="s">
        <v>869</v>
      </c>
      <c r="AH198" s="39"/>
      <c r="AI198" s="39"/>
      <c r="AJ198" s="21" t="s">
        <v>3339</v>
      </c>
      <c r="AK198" s="1018">
        <v>1</v>
      </c>
      <c r="AL198" s="45" t="s">
        <v>1951</v>
      </c>
      <c r="AM198" s="46"/>
      <c r="AN198" s="46" t="s">
        <v>869</v>
      </c>
      <c r="AO198" s="47">
        <v>2</v>
      </c>
      <c r="AP198" s="48" t="s">
        <v>633</v>
      </c>
      <c r="AQ198" s="1028"/>
      <c r="AR198" s="54"/>
      <c r="AS198" s="1028"/>
      <c r="AT198" s="1028"/>
      <c r="AU198" s="1028"/>
      <c r="AV198" s="54"/>
      <c r="AW198" s="1028"/>
      <c r="AX198" s="54"/>
      <c r="AY198" s="1028"/>
      <c r="AZ198" s="1028"/>
      <c r="BA198" s="1028"/>
      <c r="BB198" s="54"/>
      <c r="BC198" s="1028"/>
      <c r="BD198" s="54"/>
      <c r="BE198" s="1028"/>
      <c r="BF198" s="1028"/>
      <c r="BG198" s="1028"/>
      <c r="BH198" s="54"/>
      <c r="BI198" s="1028"/>
      <c r="BJ198" s="54"/>
      <c r="BK198" s="1028"/>
      <c r="BL198" s="1028"/>
      <c r="BM198" s="1028"/>
      <c r="BN198" s="54"/>
      <c r="BO198" s="1028"/>
      <c r="BP198" s="54"/>
      <c r="BQ198" s="1028"/>
      <c r="BR198" s="1028"/>
      <c r="BS198" s="1028"/>
      <c r="BT198" s="54"/>
      <c r="BU198" s="1028"/>
      <c r="BV198" s="54"/>
      <c r="BW198" s="1028"/>
      <c r="BX198" s="1028"/>
      <c r="BY198" s="1028"/>
      <c r="BZ198" s="54"/>
      <c r="CA198" s="1028"/>
      <c r="CB198" s="54"/>
      <c r="CC198" s="1028"/>
      <c r="CD198" s="1028"/>
      <c r="CE198" s="1028"/>
      <c r="CF198" s="1028"/>
    </row>
    <row r="199" spans="1:84" x14ac:dyDescent="0.5">
      <c r="A199" s="227">
        <v>19086341</v>
      </c>
      <c r="B199" s="22">
        <v>19080759</v>
      </c>
      <c r="C199" s="55"/>
      <c r="D199" s="56"/>
      <c r="E199" s="910"/>
      <c r="F199" s="57"/>
      <c r="G199" s="58"/>
      <c r="H199" s="59"/>
      <c r="I199" s="60"/>
      <c r="J199" s="269"/>
      <c r="K199" s="59"/>
      <c r="L199" s="22" t="s">
        <v>2624</v>
      </c>
      <c r="M199" s="28" t="s">
        <v>344</v>
      </c>
      <c r="N199" s="22" t="s">
        <v>51</v>
      </c>
      <c r="O199" s="29">
        <v>38000</v>
      </c>
      <c r="P199" s="29">
        <f t="shared" si="46"/>
        <v>2660</v>
      </c>
      <c r="Q199" s="29">
        <f t="shared" si="47"/>
        <v>40660</v>
      </c>
      <c r="R199" s="61"/>
      <c r="S199" s="96"/>
      <c r="T199" s="97"/>
      <c r="U199" s="98"/>
      <c r="V199" s="99"/>
      <c r="W199" s="100"/>
      <c r="X199" s="99"/>
      <c r="Y199" s="99"/>
      <c r="Z199" s="100"/>
      <c r="AA199" s="101"/>
      <c r="AB199" s="40">
        <v>19090338</v>
      </c>
      <c r="AC199" s="41">
        <v>38000</v>
      </c>
      <c r="AD199" s="63">
        <f t="shared" si="44"/>
        <v>2660</v>
      </c>
      <c r="AE199" s="63">
        <f t="shared" si="45"/>
        <v>40660</v>
      </c>
      <c r="AF199" s="53">
        <v>43750</v>
      </c>
      <c r="AG199" s="39" t="s">
        <v>869</v>
      </c>
      <c r="AH199" s="39"/>
      <c r="AI199" s="39"/>
      <c r="AJ199" s="21" t="s">
        <v>3311</v>
      </c>
      <c r="AK199" s="1018">
        <v>1</v>
      </c>
      <c r="AL199" s="45" t="s">
        <v>2625</v>
      </c>
      <c r="AM199" s="46"/>
      <c r="AN199" s="46"/>
      <c r="AO199" s="47">
        <v>1</v>
      </c>
      <c r="AP199" s="48" t="s">
        <v>628</v>
      </c>
      <c r="AQ199" s="1018">
        <v>2</v>
      </c>
      <c r="AR199" s="40" t="s">
        <v>2626</v>
      </c>
      <c r="AS199" s="47"/>
      <c r="AT199" s="47"/>
      <c r="AU199" s="47">
        <v>1</v>
      </c>
      <c r="AV199" s="49" t="s">
        <v>628</v>
      </c>
      <c r="AW199" s="1025"/>
      <c r="AX199" s="54"/>
      <c r="AY199" s="1025"/>
      <c r="AZ199" s="1025"/>
      <c r="BA199" s="1025"/>
      <c r="BB199" s="54"/>
      <c r="BC199" s="1025"/>
      <c r="BD199" s="54"/>
      <c r="BE199" s="1025"/>
      <c r="BF199" s="1025"/>
      <c r="BG199" s="1025"/>
      <c r="BH199" s="54"/>
      <c r="BI199" s="1025"/>
      <c r="BJ199" s="54"/>
      <c r="BK199" s="1025"/>
      <c r="BL199" s="1025"/>
      <c r="BM199" s="1025"/>
      <c r="BN199" s="54"/>
      <c r="BO199" s="1025"/>
      <c r="BP199" s="54"/>
      <c r="BQ199" s="1025"/>
      <c r="BR199" s="1025"/>
      <c r="BS199" s="1025"/>
      <c r="BT199" s="54"/>
      <c r="BU199" s="1025"/>
      <c r="BV199" s="54"/>
      <c r="BW199" s="1025"/>
      <c r="BX199" s="1025"/>
      <c r="BY199" s="1025"/>
      <c r="BZ199" s="54"/>
      <c r="CA199" s="1025"/>
      <c r="CB199" s="54"/>
      <c r="CC199" s="1025"/>
      <c r="CD199" s="1025"/>
      <c r="CE199" s="1025"/>
      <c r="CF199" s="1025"/>
    </row>
    <row r="200" spans="1:84" x14ac:dyDescent="0.5">
      <c r="A200" s="227">
        <v>19086340</v>
      </c>
      <c r="B200" s="22">
        <v>19080758</v>
      </c>
      <c r="C200" s="55"/>
      <c r="D200" s="56"/>
      <c r="E200" s="910"/>
      <c r="F200" s="57"/>
      <c r="G200" s="58"/>
      <c r="H200" s="59"/>
      <c r="I200" s="60"/>
      <c r="J200" s="269"/>
      <c r="K200" s="59"/>
      <c r="L200" s="22" t="s">
        <v>2624</v>
      </c>
      <c r="M200" s="28" t="s">
        <v>2627</v>
      </c>
      <c r="N200" s="22" t="s">
        <v>51</v>
      </c>
      <c r="O200" s="29">
        <v>43000</v>
      </c>
      <c r="P200" s="29">
        <f t="shared" si="46"/>
        <v>3010</v>
      </c>
      <c r="Q200" s="29">
        <f t="shared" si="47"/>
        <v>46010</v>
      </c>
      <c r="R200" s="61"/>
      <c r="S200" s="96"/>
      <c r="T200" s="97"/>
      <c r="U200" s="98"/>
      <c r="V200" s="99"/>
      <c r="W200" s="100"/>
      <c r="X200" s="99"/>
      <c r="Y200" s="99"/>
      <c r="Z200" s="100"/>
      <c r="AA200" s="101"/>
      <c r="AB200" s="40">
        <v>19090339</v>
      </c>
      <c r="AC200" s="41">
        <v>43000</v>
      </c>
      <c r="AD200" s="52">
        <f t="shared" ref="AD200:AD207" si="48">AC200*7/100</f>
        <v>3010</v>
      </c>
      <c r="AE200" s="52">
        <f t="shared" ref="AE200:AE207" si="49">AC200+AD200</f>
        <v>46010</v>
      </c>
      <c r="AF200" s="53">
        <v>43750</v>
      </c>
      <c r="AG200" s="39" t="s">
        <v>869</v>
      </c>
      <c r="AH200" s="39"/>
      <c r="AI200" s="39"/>
      <c r="AJ200" s="21" t="s">
        <v>3360</v>
      </c>
      <c r="AK200" s="1017">
        <v>1</v>
      </c>
      <c r="AL200" s="45" t="s">
        <v>2628</v>
      </c>
      <c r="AM200" s="46"/>
      <c r="AN200" s="46"/>
      <c r="AO200" s="47">
        <v>1</v>
      </c>
      <c r="AP200" s="48" t="s">
        <v>628</v>
      </c>
      <c r="AQ200" s="1017">
        <v>2</v>
      </c>
      <c r="AR200" s="40" t="s">
        <v>2629</v>
      </c>
      <c r="AS200" s="47"/>
      <c r="AT200" s="47"/>
      <c r="AU200" s="47">
        <v>1</v>
      </c>
      <c r="AV200" s="49" t="s">
        <v>628</v>
      </c>
      <c r="AW200" s="1025"/>
      <c r="AX200" s="54"/>
      <c r="AY200" s="1025"/>
      <c r="AZ200" s="1025"/>
      <c r="BA200" s="1025"/>
      <c r="BB200" s="54"/>
      <c r="BC200" s="1025"/>
      <c r="BD200" s="54"/>
      <c r="BE200" s="1025"/>
      <c r="BF200" s="1025"/>
      <c r="BG200" s="1025"/>
      <c r="BH200" s="54"/>
      <c r="BI200" s="1025"/>
      <c r="BJ200" s="54"/>
      <c r="BK200" s="1025"/>
      <c r="BL200" s="1025"/>
      <c r="BM200" s="1025"/>
      <c r="BN200" s="54"/>
      <c r="BO200" s="1025"/>
      <c r="BP200" s="54"/>
      <c r="BQ200" s="1025"/>
      <c r="BR200" s="1025"/>
      <c r="BS200" s="1025"/>
      <c r="BT200" s="54"/>
      <c r="BU200" s="1025"/>
      <c r="BV200" s="54"/>
      <c r="BW200" s="1025"/>
      <c r="BX200" s="1025"/>
      <c r="BY200" s="1025"/>
      <c r="BZ200" s="54"/>
      <c r="CA200" s="1025"/>
      <c r="CB200" s="54"/>
      <c r="CC200" s="1025"/>
      <c r="CD200" s="1025"/>
      <c r="CE200" s="1025"/>
      <c r="CF200" s="1025"/>
    </row>
    <row r="201" spans="1:84" x14ac:dyDescent="0.5">
      <c r="A201" s="227">
        <v>19086339</v>
      </c>
      <c r="B201" s="22">
        <v>19080757</v>
      </c>
      <c r="C201" s="23" t="s">
        <v>2659</v>
      </c>
      <c r="D201" s="24" t="s">
        <v>1323</v>
      </c>
      <c r="E201" s="884">
        <v>43713</v>
      </c>
      <c r="F201" s="932" t="s">
        <v>1324</v>
      </c>
      <c r="G201" s="933" t="s">
        <v>2660</v>
      </c>
      <c r="H201" s="62">
        <v>43714</v>
      </c>
      <c r="I201" s="27">
        <v>19276</v>
      </c>
      <c r="J201" s="931" t="s">
        <v>869</v>
      </c>
      <c r="K201" s="957">
        <v>43715</v>
      </c>
      <c r="L201" s="22" t="s">
        <v>165</v>
      </c>
      <c r="M201" s="28" t="s">
        <v>2661</v>
      </c>
      <c r="N201" s="22" t="s">
        <v>1523</v>
      </c>
      <c r="O201" s="29">
        <v>26415</v>
      </c>
      <c r="P201" s="29">
        <f t="shared" si="46"/>
        <v>1849.05</v>
      </c>
      <c r="Q201" s="29">
        <f t="shared" si="47"/>
        <v>28264.05</v>
      </c>
      <c r="R201" s="30">
        <f>O201</f>
        <v>26415</v>
      </c>
      <c r="S201" s="31" t="s">
        <v>1310</v>
      </c>
      <c r="T201" s="32">
        <f>O201</f>
        <v>26415</v>
      </c>
      <c r="U201" s="33">
        <v>5</v>
      </c>
      <c r="V201" s="34">
        <f>T201*U201/100</f>
        <v>1320.75</v>
      </c>
      <c r="W201" s="35">
        <f>T201-V201</f>
        <v>25094.25</v>
      </c>
      <c r="X201" s="36">
        <v>0.32</v>
      </c>
      <c r="Y201" s="36">
        <f>W201*X201/100</f>
        <v>80.301599999999993</v>
      </c>
      <c r="Z201" s="37">
        <v>0.2</v>
      </c>
      <c r="AA201" s="38">
        <f>W201*Z201/100</f>
        <v>50.188500000000005</v>
      </c>
      <c r="AB201" s="40">
        <v>19090349</v>
      </c>
      <c r="AC201" s="41">
        <v>26415</v>
      </c>
      <c r="AD201" s="52">
        <f t="shared" si="48"/>
        <v>1849.05</v>
      </c>
      <c r="AE201" s="52">
        <f t="shared" si="49"/>
        <v>28264.05</v>
      </c>
      <c r="AF201" s="53">
        <v>43755</v>
      </c>
      <c r="AG201" s="39" t="s">
        <v>869</v>
      </c>
      <c r="AH201" s="39"/>
      <c r="AI201" s="39"/>
      <c r="AJ201" s="21" t="s">
        <v>3026</v>
      </c>
      <c r="AK201" s="1017">
        <v>1</v>
      </c>
      <c r="AL201" s="45" t="s">
        <v>2156</v>
      </c>
      <c r="AM201" s="46"/>
      <c r="AN201" s="46" t="s">
        <v>869</v>
      </c>
      <c r="AO201" s="47">
        <v>1</v>
      </c>
      <c r="AP201" s="48" t="s">
        <v>634</v>
      </c>
      <c r="AQ201" s="1017">
        <v>2</v>
      </c>
      <c r="AR201" s="40" t="s">
        <v>1157</v>
      </c>
      <c r="AS201" s="47"/>
      <c r="AT201" s="47" t="s">
        <v>869</v>
      </c>
      <c r="AU201" s="47">
        <v>1</v>
      </c>
      <c r="AV201" s="49" t="s">
        <v>634</v>
      </c>
      <c r="AW201" s="1028"/>
      <c r="AX201" s="54"/>
      <c r="AY201" s="1028"/>
      <c r="AZ201" s="1028"/>
      <c r="BA201" s="1028"/>
      <c r="BB201" s="54"/>
      <c r="BC201" s="1028"/>
      <c r="BD201" s="54"/>
      <c r="BE201" s="1028"/>
      <c r="BF201" s="1028"/>
      <c r="BG201" s="1028"/>
      <c r="BH201" s="54"/>
      <c r="BI201" s="1028"/>
      <c r="BJ201" s="54"/>
      <c r="BK201" s="1028"/>
      <c r="BL201" s="1028"/>
      <c r="BM201" s="1028"/>
      <c r="BN201" s="54"/>
      <c r="BO201" s="1028"/>
      <c r="BP201" s="54"/>
      <c r="BQ201" s="1028"/>
      <c r="BR201" s="1028"/>
      <c r="BS201" s="1028"/>
      <c r="BT201" s="54"/>
      <c r="BU201" s="1028"/>
      <c r="BV201" s="54"/>
      <c r="BW201" s="1028"/>
      <c r="BX201" s="1028"/>
      <c r="BY201" s="1028"/>
      <c r="BZ201" s="54"/>
      <c r="CA201" s="1028"/>
      <c r="CB201" s="54"/>
      <c r="CC201" s="1028"/>
      <c r="CD201" s="1028"/>
      <c r="CE201" s="1028"/>
      <c r="CF201" s="1028"/>
    </row>
    <row r="202" spans="1:84" x14ac:dyDescent="0.5">
      <c r="A202" s="227">
        <v>19086338</v>
      </c>
      <c r="B202" s="22">
        <v>19080753</v>
      </c>
      <c r="C202" s="55"/>
      <c r="D202" s="56"/>
      <c r="E202" s="910"/>
      <c r="F202" s="57"/>
      <c r="G202" s="58"/>
      <c r="H202" s="59"/>
      <c r="I202" s="60"/>
      <c r="J202" s="269"/>
      <c r="K202" s="59"/>
      <c r="L202" s="22" t="s">
        <v>2561</v>
      </c>
      <c r="M202" s="28" t="s">
        <v>2516</v>
      </c>
      <c r="N202" s="22" t="s">
        <v>51</v>
      </c>
      <c r="O202" s="29">
        <v>26500</v>
      </c>
      <c r="P202" s="29">
        <f t="shared" ref="P202:P209" si="50">O202*7/100</f>
        <v>1855</v>
      </c>
      <c r="Q202" s="29">
        <f t="shared" ref="Q202:Q209" si="51">O202+P202</f>
        <v>28355</v>
      </c>
      <c r="R202" s="61"/>
      <c r="S202" s="96"/>
      <c r="T202" s="97"/>
      <c r="U202" s="98"/>
      <c r="V202" s="99"/>
      <c r="W202" s="100"/>
      <c r="X202" s="99"/>
      <c r="Y202" s="99"/>
      <c r="Z202" s="100"/>
      <c r="AA202" s="101"/>
      <c r="AB202" s="40">
        <v>19090361</v>
      </c>
      <c r="AC202" s="41">
        <v>26500</v>
      </c>
      <c r="AD202" s="52">
        <f t="shared" si="48"/>
        <v>1855</v>
      </c>
      <c r="AE202" s="52">
        <f t="shared" si="49"/>
        <v>28355</v>
      </c>
      <c r="AF202" s="53">
        <v>43761</v>
      </c>
      <c r="AG202" s="39" t="s">
        <v>869</v>
      </c>
      <c r="AH202" s="39"/>
      <c r="AI202" s="39"/>
      <c r="AJ202" s="21" t="s">
        <v>3354</v>
      </c>
      <c r="AK202" s="1016">
        <v>1</v>
      </c>
      <c r="AL202" s="45" t="s">
        <v>2562</v>
      </c>
      <c r="AM202" s="46"/>
      <c r="AN202" s="46"/>
      <c r="AO202" s="47">
        <v>1</v>
      </c>
      <c r="AP202" s="48" t="s">
        <v>628</v>
      </c>
      <c r="AQ202" s="1022"/>
      <c r="AR202" s="54"/>
      <c r="AS202" s="1022"/>
      <c r="AT202" s="1022"/>
      <c r="AU202" s="1022"/>
      <c r="AV202" s="54"/>
      <c r="AW202" s="1022"/>
      <c r="AX202" s="54"/>
      <c r="AY202" s="1022"/>
      <c r="AZ202" s="1022"/>
      <c r="BA202" s="1022"/>
      <c r="BB202" s="54"/>
      <c r="BC202" s="1022"/>
      <c r="BD202" s="54"/>
      <c r="BE202" s="1022"/>
      <c r="BF202" s="1022"/>
      <c r="BG202" s="1022"/>
      <c r="BH202" s="54"/>
      <c r="BI202" s="1022"/>
      <c r="BJ202" s="54"/>
      <c r="BK202" s="1022"/>
      <c r="BL202" s="1022"/>
      <c r="BM202" s="1022"/>
      <c r="BN202" s="54"/>
      <c r="BO202" s="1022"/>
      <c r="BP202" s="54"/>
      <c r="BQ202" s="1022"/>
      <c r="BR202" s="1022"/>
      <c r="BS202" s="1022"/>
      <c r="BT202" s="54"/>
      <c r="BU202" s="1022"/>
      <c r="BV202" s="54"/>
      <c r="BW202" s="1022"/>
      <c r="BX202" s="1022"/>
      <c r="BY202" s="1022"/>
      <c r="BZ202" s="54"/>
      <c r="CA202" s="1022"/>
      <c r="CB202" s="54"/>
      <c r="CC202" s="1022"/>
      <c r="CD202" s="1022"/>
      <c r="CE202" s="1022"/>
      <c r="CF202" s="1022"/>
    </row>
    <row r="203" spans="1:84" x14ac:dyDescent="0.5">
      <c r="A203" s="227">
        <v>19086337</v>
      </c>
      <c r="B203" s="22">
        <v>19080752</v>
      </c>
      <c r="C203" s="23" t="s">
        <v>2571</v>
      </c>
      <c r="D203" s="24" t="s">
        <v>1323</v>
      </c>
      <c r="E203" s="884">
        <v>43707</v>
      </c>
      <c r="F203" s="932" t="s">
        <v>1324</v>
      </c>
      <c r="G203" s="933" t="s">
        <v>2538</v>
      </c>
      <c r="H203" s="62">
        <v>43706</v>
      </c>
      <c r="I203" s="27">
        <v>19259</v>
      </c>
      <c r="J203" s="931" t="s">
        <v>869</v>
      </c>
      <c r="K203" s="957">
        <v>43707</v>
      </c>
      <c r="L203" s="22" t="s">
        <v>375</v>
      </c>
      <c r="M203" s="28" t="s">
        <v>2572</v>
      </c>
      <c r="N203" s="22" t="s">
        <v>50</v>
      </c>
      <c r="O203" s="29">
        <v>32000</v>
      </c>
      <c r="P203" s="29">
        <f t="shared" si="50"/>
        <v>2240</v>
      </c>
      <c r="Q203" s="29">
        <f t="shared" si="51"/>
        <v>34240</v>
      </c>
      <c r="R203" s="61"/>
      <c r="S203" s="31"/>
      <c r="T203" s="32"/>
      <c r="U203" s="33"/>
      <c r="V203" s="34"/>
      <c r="W203" s="35"/>
      <c r="X203" s="36"/>
      <c r="Y203" s="36"/>
      <c r="Z203" s="37"/>
      <c r="AA203" s="38"/>
      <c r="AB203" s="40">
        <v>19080316</v>
      </c>
      <c r="AC203" s="41">
        <v>32000</v>
      </c>
      <c r="AD203" s="52">
        <f t="shared" si="48"/>
        <v>2240</v>
      </c>
      <c r="AE203" s="52">
        <f t="shared" si="49"/>
        <v>34240</v>
      </c>
      <c r="AF203" s="53">
        <v>43703</v>
      </c>
      <c r="AG203" s="39" t="s">
        <v>869</v>
      </c>
      <c r="AH203" s="39"/>
      <c r="AI203" s="39"/>
      <c r="AJ203" s="21" t="s">
        <v>2708</v>
      </c>
      <c r="AK203" s="1016">
        <v>1</v>
      </c>
      <c r="AL203" s="45" t="s">
        <v>2573</v>
      </c>
      <c r="AM203" s="46"/>
      <c r="AN203" s="46" t="s">
        <v>869</v>
      </c>
      <c r="AO203" s="47">
        <v>1</v>
      </c>
      <c r="AP203" s="48" t="s">
        <v>634</v>
      </c>
      <c r="AQ203" s="1016">
        <v>2</v>
      </c>
      <c r="AR203" s="40" t="s">
        <v>774</v>
      </c>
      <c r="AS203" s="47"/>
      <c r="AT203" s="47" t="s">
        <v>869</v>
      </c>
      <c r="AU203" s="47">
        <v>1</v>
      </c>
      <c r="AV203" s="49" t="s">
        <v>636</v>
      </c>
      <c r="AW203" s="1022"/>
      <c r="AX203" s="54"/>
      <c r="AY203" s="1022"/>
      <c r="AZ203" s="1022"/>
      <c r="BA203" s="1022"/>
      <c r="BB203" s="54"/>
      <c r="BC203" s="1022"/>
      <c r="BD203" s="54"/>
      <c r="BE203" s="1022"/>
      <c r="BF203" s="1022"/>
      <c r="BG203" s="1022"/>
      <c r="BH203" s="54"/>
      <c r="BI203" s="1022"/>
      <c r="BJ203" s="54"/>
      <c r="BK203" s="1022"/>
      <c r="BL203" s="1022"/>
      <c r="BM203" s="1022"/>
      <c r="BN203" s="54"/>
      <c r="BO203" s="1022"/>
      <c r="BP203" s="54"/>
      <c r="BQ203" s="1022"/>
      <c r="BR203" s="1022"/>
      <c r="BS203" s="1022"/>
      <c r="BT203" s="54"/>
      <c r="BU203" s="1022"/>
      <c r="BV203" s="54"/>
      <c r="BW203" s="1022"/>
      <c r="BX203" s="1022"/>
      <c r="BY203" s="1022"/>
      <c r="BZ203" s="54"/>
      <c r="CA203" s="1022"/>
      <c r="CB203" s="54"/>
      <c r="CC203" s="1022"/>
      <c r="CD203" s="1022"/>
      <c r="CE203" s="1022"/>
      <c r="CF203" s="1022"/>
    </row>
    <row r="204" spans="1:84" x14ac:dyDescent="0.5">
      <c r="A204" s="259">
        <v>19086336</v>
      </c>
      <c r="B204" s="104">
        <v>19080740</v>
      </c>
      <c r="C204" s="105" t="s">
        <v>2574</v>
      </c>
      <c r="D204" s="106" t="s">
        <v>1323</v>
      </c>
      <c r="E204" s="302">
        <v>43738</v>
      </c>
      <c r="F204" s="936" t="s">
        <v>1324</v>
      </c>
      <c r="G204" s="937" t="s">
        <v>3082</v>
      </c>
      <c r="H204" s="211">
        <v>43790</v>
      </c>
      <c r="I204" s="164">
        <v>19366</v>
      </c>
      <c r="J204" s="960" t="s">
        <v>869</v>
      </c>
      <c r="K204" s="965">
        <v>43791</v>
      </c>
      <c r="L204" s="104" t="s">
        <v>2558</v>
      </c>
      <c r="M204" s="110" t="s">
        <v>2575</v>
      </c>
      <c r="N204" s="104" t="s">
        <v>52</v>
      </c>
      <c r="O204" s="111">
        <v>93457.96</v>
      </c>
      <c r="P204" s="111">
        <f t="shared" si="50"/>
        <v>6542.0572000000011</v>
      </c>
      <c r="Q204" s="111">
        <f t="shared" si="51"/>
        <v>100000.0172</v>
      </c>
      <c r="R204" s="212"/>
      <c r="S204" s="113" t="s">
        <v>2696</v>
      </c>
      <c r="T204" s="114">
        <f>O204</f>
        <v>93457.96</v>
      </c>
      <c r="U204" s="115">
        <v>5</v>
      </c>
      <c r="V204" s="116">
        <f>T204*U204/100</f>
        <v>4672.8980000000001</v>
      </c>
      <c r="W204" s="117">
        <f>T204-V204</f>
        <v>88785.062000000005</v>
      </c>
      <c r="X204" s="118">
        <v>0.31</v>
      </c>
      <c r="Y204" s="118">
        <f>W204*X204/100</f>
        <v>275.23369220000001</v>
      </c>
      <c r="Z204" s="119">
        <v>0.2</v>
      </c>
      <c r="AA204" s="120">
        <f>W204*Z204/100</f>
        <v>177.57012400000002</v>
      </c>
      <c r="AB204" s="229">
        <v>19110474</v>
      </c>
      <c r="AC204" s="230">
        <v>28037.39</v>
      </c>
      <c r="AD204" s="275">
        <f t="shared" si="48"/>
        <v>1962.6172999999999</v>
      </c>
      <c r="AE204" s="233">
        <f t="shared" si="49"/>
        <v>30000.007299999997</v>
      </c>
      <c r="AF204" s="221">
        <v>43787</v>
      </c>
      <c r="AG204" s="121" t="s">
        <v>869</v>
      </c>
      <c r="AH204" s="121"/>
      <c r="AI204" s="121"/>
      <c r="AJ204" s="979" t="s">
        <v>3337</v>
      </c>
      <c r="AK204" s="128">
        <v>1</v>
      </c>
      <c r="AL204" s="129" t="s">
        <v>593</v>
      </c>
      <c r="AM204" s="130"/>
      <c r="AN204" s="130" t="s">
        <v>869</v>
      </c>
      <c r="AO204" s="131">
        <v>4</v>
      </c>
      <c r="AP204" s="132" t="s">
        <v>634</v>
      </c>
      <c r="AQ204" s="128"/>
      <c r="AR204" s="133"/>
      <c r="AS204" s="128"/>
      <c r="AT204" s="128"/>
      <c r="AU204" s="128"/>
      <c r="AV204" s="133"/>
      <c r="AW204" s="128"/>
      <c r="AX204" s="133"/>
      <c r="AY204" s="128"/>
      <c r="AZ204" s="128"/>
      <c r="BA204" s="128"/>
      <c r="BB204" s="133"/>
      <c r="BC204" s="128"/>
      <c r="BD204" s="133"/>
      <c r="BE204" s="128"/>
      <c r="BF204" s="128"/>
      <c r="BG204" s="128"/>
      <c r="BH204" s="133"/>
      <c r="BI204" s="128"/>
      <c r="BJ204" s="133"/>
      <c r="BK204" s="128"/>
      <c r="BL204" s="128"/>
      <c r="BM204" s="128"/>
      <c r="BN204" s="133"/>
      <c r="BO204" s="128"/>
      <c r="BP204" s="133"/>
      <c r="BQ204" s="128"/>
      <c r="BR204" s="128"/>
      <c r="BS204" s="128"/>
      <c r="BT204" s="133"/>
      <c r="BU204" s="128"/>
      <c r="BV204" s="133"/>
      <c r="BW204" s="128"/>
      <c r="BX204" s="128"/>
      <c r="BY204" s="128"/>
      <c r="BZ204" s="133"/>
      <c r="CA204" s="128"/>
      <c r="CB204" s="133"/>
      <c r="CC204" s="128"/>
      <c r="CD204" s="128"/>
      <c r="CE204" s="128"/>
      <c r="CF204" s="128"/>
    </row>
    <row r="205" spans="1:84" x14ac:dyDescent="0.5">
      <c r="A205" s="268"/>
      <c r="B205" s="181"/>
      <c r="C205" s="182"/>
      <c r="D205" s="183"/>
      <c r="E205" s="749"/>
      <c r="F205" s="938"/>
      <c r="G205" s="939"/>
      <c r="H205" s="186">
        <v>43790</v>
      </c>
      <c r="I205" s="187">
        <v>19367</v>
      </c>
      <c r="J205" s="961"/>
      <c r="K205" s="200"/>
      <c r="L205" s="181"/>
      <c r="M205" s="188"/>
      <c r="N205" s="181"/>
      <c r="O205" s="189"/>
      <c r="P205" s="189"/>
      <c r="Q205" s="189"/>
      <c r="R205" s="214"/>
      <c r="S205" s="215"/>
      <c r="T205" s="216"/>
      <c r="U205" s="217"/>
      <c r="V205" s="218"/>
      <c r="W205" s="195"/>
      <c r="X205" s="196"/>
      <c r="Y205" s="196"/>
      <c r="Z205" s="197"/>
      <c r="AA205" s="198"/>
      <c r="AB205" s="200">
        <v>19110475</v>
      </c>
      <c r="AC205" s="201">
        <v>65420.57</v>
      </c>
      <c r="AD205" s="237">
        <f t="shared" si="48"/>
        <v>4579.4399000000003</v>
      </c>
      <c r="AE205" s="237">
        <f t="shared" si="49"/>
        <v>70000.009900000005</v>
      </c>
      <c r="AF205" s="203">
        <v>43817</v>
      </c>
      <c r="AG205" s="199" t="s">
        <v>869</v>
      </c>
      <c r="AH205" s="199"/>
      <c r="AI205" s="199"/>
      <c r="AJ205" s="843" t="s">
        <v>3288</v>
      </c>
      <c r="AK205" s="204"/>
      <c r="AL205" s="205"/>
      <c r="AM205" s="206"/>
      <c r="AN205" s="206"/>
      <c r="AO205" s="207"/>
      <c r="AP205" s="208"/>
      <c r="AQ205" s="204"/>
      <c r="AR205" s="210"/>
      <c r="AS205" s="204"/>
      <c r="AT205" s="204"/>
      <c r="AU205" s="204"/>
      <c r="AV205" s="210"/>
      <c r="AW205" s="204"/>
      <c r="AX205" s="210"/>
      <c r="AY205" s="204"/>
      <c r="AZ205" s="204"/>
      <c r="BA205" s="204"/>
      <c r="BB205" s="210"/>
      <c r="BC205" s="204"/>
      <c r="BD205" s="210"/>
      <c r="BE205" s="204"/>
      <c r="BF205" s="204"/>
      <c r="BG205" s="204"/>
      <c r="BH205" s="210"/>
      <c r="BI205" s="204"/>
      <c r="BJ205" s="210"/>
      <c r="BK205" s="204"/>
      <c r="BL205" s="204"/>
      <c r="BM205" s="204"/>
      <c r="BN205" s="210"/>
      <c r="BO205" s="204"/>
      <c r="BP205" s="210"/>
      <c r="BQ205" s="204"/>
      <c r="BR205" s="204"/>
      <c r="BS205" s="204"/>
      <c r="BT205" s="210"/>
      <c r="BU205" s="204"/>
      <c r="BV205" s="210"/>
      <c r="BW205" s="204"/>
      <c r="BX205" s="204"/>
      <c r="BY205" s="204"/>
      <c r="BZ205" s="210"/>
      <c r="CA205" s="204"/>
      <c r="CB205" s="210"/>
      <c r="CC205" s="204"/>
      <c r="CD205" s="204"/>
      <c r="CE205" s="204"/>
      <c r="CF205" s="204"/>
    </row>
    <row r="206" spans="1:84" x14ac:dyDescent="0.5">
      <c r="A206" s="227">
        <v>19086335</v>
      </c>
      <c r="B206" s="22">
        <v>19080742</v>
      </c>
      <c r="C206" s="55"/>
      <c r="D206" s="56"/>
      <c r="E206" s="910"/>
      <c r="F206" s="57"/>
      <c r="G206" s="58"/>
      <c r="H206" s="59"/>
      <c r="I206" s="60"/>
      <c r="J206" s="269"/>
      <c r="K206" s="59"/>
      <c r="L206" s="22" t="s">
        <v>2564</v>
      </c>
      <c r="M206" s="28" t="s">
        <v>2565</v>
      </c>
      <c r="N206" s="22" t="s">
        <v>51</v>
      </c>
      <c r="O206" s="29">
        <v>16500</v>
      </c>
      <c r="P206" s="29">
        <f t="shared" si="50"/>
        <v>1155</v>
      </c>
      <c r="Q206" s="29">
        <f t="shared" si="51"/>
        <v>17655</v>
      </c>
      <c r="R206" s="61"/>
      <c r="S206" s="96"/>
      <c r="T206" s="97"/>
      <c r="U206" s="98"/>
      <c r="V206" s="99"/>
      <c r="W206" s="100"/>
      <c r="X206" s="99"/>
      <c r="Y206" s="99"/>
      <c r="Z206" s="100"/>
      <c r="AA206" s="101"/>
      <c r="AB206" s="40">
        <v>19090369</v>
      </c>
      <c r="AC206" s="41">
        <v>16500</v>
      </c>
      <c r="AD206" s="63">
        <f t="shared" si="48"/>
        <v>1155</v>
      </c>
      <c r="AE206" s="64">
        <f t="shared" si="49"/>
        <v>17655</v>
      </c>
      <c r="AF206" s="53">
        <v>43763</v>
      </c>
      <c r="AG206" s="39" t="s">
        <v>869</v>
      </c>
      <c r="AH206" s="39"/>
      <c r="AI206" s="39"/>
      <c r="AJ206" s="21" t="s">
        <v>3309</v>
      </c>
      <c r="AK206" s="1016">
        <v>1</v>
      </c>
      <c r="AL206" s="45" t="s">
        <v>2566</v>
      </c>
      <c r="AM206" s="46"/>
      <c r="AN206" s="46"/>
      <c r="AO206" s="47">
        <v>1</v>
      </c>
      <c r="AP206" s="48" t="s">
        <v>628</v>
      </c>
      <c r="AQ206" s="1016">
        <v>2</v>
      </c>
      <c r="AR206" s="40" t="s">
        <v>2567</v>
      </c>
      <c r="AS206" s="47"/>
      <c r="AT206" s="47"/>
      <c r="AU206" s="47">
        <v>1</v>
      </c>
      <c r="AV206" s="49" t="s">
        <v>628</v>
      </c>
      <c r="AW206" s="1022"/>
      <c r="AX206" s="54"/>
      <c r="AY206" s="1022"/>
      <c r="AZ206" s="1022"/>
      <c r="BA206" s="1022"/>
      <c r="BB206" s="54"/>
      <c r="BC206" s="1022"/>
      <c r="BD206" s="54"/>
      <c r="BE206" s="1022"/>
      <c r="BF206" s="1022"/>
      <c r="BG206" s="1022"/>
      <c r="BH206" s="54"/>
      <c r="BI206" s="1022"/>
      <c r="BJ206" s="54"/>
      <c r="BK206" s="1022"/>
      <c r="BL206" s="1022"/>
      <c r="BM206" s="1022"/>
      <c r="BN206" s="54"/>
      <c r="BO206" s="1022"/>
      <c r="BP206" s="54"/>
      <c r="BQ206" s="1022"/>
      <c r="BR206" s="1022"/>
      <c r="BS206" s="1022"/>
      <c r="BT206" s="54"/>
      <c r="BU206" s="1022"/>
      <c r="BV206" s="54"/>
      <c r="BW206" s="1022"/>
      <c r="BX206" s="1022"/>
      <c r="BY206" s="1022"/>
      <c r="BZ206" s="54"/>
      <c r="CA206" s="1022"/>
      <c r="CB206" s="54"/>
      <c r="CC206" s="1022"/>
      <c r="CD206" s="1022"/>
      <c r="CE206" s="1022"/>
      <c r="CF206" s="1022"/>
    </row>
    <row r="207" spans="1:84" x14ac:dyDescent="0.5">
      <c r="A207" s="259">
        <v>19086334</v>
      </c>
      <c r="B207" s="104">
        <v>19080738</v>
      </c>
      <c r="C207" s="105" t="s">
        <v>2576</v>
      </c>
      <c r="D207" s="106" t="s">
        <v>1323</v>
      </c>
      <c r="E207" s="302">
        <v>43713</v>
      </c>
      <c r="F207" s="936" t="s">
        <v>1324</v>
      </c>
      <c r="G207" s="937" t="s">
        <v>2658</v>
      </c>
      <c r="H207" s="211">
        <v>43714</v>
      </c>
      <c r="I207" s="164">
        <v>19274</v>
      </c>
      <c r="J207" s="960" t="s">
        <v>869</v>
      </c>
      <c r="K207" s="965">
        <v>43715</v>
      </c>
      <c r="L207" s="104" t="s">
        <v>165</v>
      </c>
      <c r="M207" s="110" t="s">
        <v>2577</v>
      </c>
      <c r="N207" s="104" t="s">
        <v>1523</v>
      </c>
      <c r="O207" s="111">
        <v>81750</v>
      </c>
      <c r="P207" s="111">
        <f t="shared" si="50"/>
        <v>5722.5</v>
      </c>
      <c r="Q207" s="111">
        <f t="shared" si="51"/>
        <v>87472.5</v>
      </c>
      <c r="R207" s="212"/>
      <c r="S207" s="113" t="s">
        <v>1310</v>
      </c>
      <c r="T207" s="114">
        <f>O207</f>
        <v>81750</v>
      </c>
      <c r="U207" s="115">
        <v>5</v>
      </c>
      <c r="V207" s="116">
        <f>T207*U207/100</f>
        <v>4087.5</v>
      </c>
      <c r="W207" s="117">
        <f>T207-V207</f>
        <v>77662.5</v>
      </c>
      <c r="X207" s="118">
        <v>0.41</v>
      </c>
      <c r="Y207" s="118">
        <f>W207*X207/100</f>
        <v>318.41624999999999</v>
      </c>
      <c r="Z207" s="119">
        <v>0.2</v>
      </c>
      <c r="AA207" s="120">
        <f>W207*Z207/100</f>
        <v>155.32499999999999</v>
      </c>
      <c r="AB207" s="123">
        <v>19090350</v>
      </c>
      <c r="AC207" s="124">
        <v>81750</v>
      </c>
      <c r="AD207" s="125">
        <f t="shared" si="48"/>
        <v>5722.5</v>
      </c>
      <c r="AE207" s="125">
        <f t="shared" si="49"/>
        <v>87472.5</v>
      </c>
      <c r="AF207" s="126">
        <v>43755</v>
      </c>
      <c r="AG207" s="127"/>
      <c r="AH207" s="127"/>
      <c r="AI207" s="127" t="s">
        <v>869</v>
      </c>
      <c r="AJ207" s="103" t="s">
        <v>3026</v>
      </c>
      <c r="AK207" s="128">
        <v>1</v>
      </c>
      <c r="AL207" s="129" t="s">
        <v>754</v>
      </c>
      <c r="AM207" s="130"/>
      <c r="AN207" s="130" t="s">
        <v>869</v>
      </c>
      <c r="AO207" s="131">
        <v>10</v>
      </c>
      <c r="AP207" s="132" t="s">
        <v>634</v>
      </c>
      <c r="AQ207" s="128"/>
      <c r="AR207" s="133"/>
      <c r="AS207" s="128"/>
      <c r="AT207" s="128"/>
      <c r="AU207" s="128"/>
      <c r="AV207" s="133"/>
      <c r="AW207" s="128"/>
      <c r="AX207" s="133"/>
      <c r="AY207" s="128"/>
      <c r="AZ207" s="128"/>
      <c r="BA207" s="128"/>
      <c r="BB207" s="133"/>
      <c r="BC207" s="128"/>
      <c r="BD207" s="133"/>
      <c r="BE207" s="128"/>
      <c r="BF207" s="128"/>
      <c r="BG207" s="128"/>
      <c r="BH207" s="133"/>
      <c r="BI207" s="128"/>
      <c r="BJ207" s="133"/>
      <c r="BK207" s="128"/>
      <c r="BL207" s="128"/>
      <c r="BM207" s="128"/>
      <c r="BN207" s="133"/>
      <c r="BO207" s="128"/>
      <c r="BP207" s="133"/>
      <c r="BQ207" s="128"/>
      <c r="BR207" s="128"/>
      <c r="BS207" s="128"/>
      <c r="BT207" s="133"/>
      <c r="BU207" s="128"/>
      <c r="BV207" s="133"/>
      <c r="BW207" s="128"/>
      <c r="BX207" s="128"/>
      <c r="BY207" s="128"/>
      <c r="BZ207" s="133"/>
      <c r="CA207" s="128"/>
      <c r="CB207" s="133"/>
      <c r="CC207" s="128"/>
      <c r="CD207" s="128"/>
      <c r="CE207" s="128"/>
      <c r="CF207" s="128"/>
    </row>
    <row r="208" spans="1:84" x14ac:dyDescent="0.5">
      <c r="A208" s="262"/>
      <c r="B208" s="135"/>
      <c r="C208" s="136"/>
      <c r="D208" s="137"/>
      <c r="E208" s="906"/>
      <c r="F208" s="940"/>
      <c r="G208" s="941"/>
      <c r="H208" s="179">
        <v>43714</v>
      </c>
      <c r="I208" s="140">
        <v>19275</v>
      </c>
      <c r="J208" s="963"/>
      <c r="K208" s="964"/>
      <c r="L208" s="135"/>
      <c r="M208" s="141"/>
      <c r="N208" s="135"/>
      <c r="O208" s="142"/>
      <c r="P208" s="142"/>
      <c r="Q208" s="142"/>
      <c r="R208" s="213"/>
      <c r="S208" s="144"/>
      <c r="T208" s="145"/>
      <c r="U208" s="146"/>
      <c r="V208" s="147"/>
      <c r="W208" s="148"/>
      <c r="X208" s="149"/>
      <c r="Y208" s="149"/>
      <c r="Z208" s="150"/>
      <c r="AA208" s="151"/>
      <c r="AB208" s="154"/>
      <c r="AC208" s="155"/>
      <c r="AD208" s="156"/>
      <c r="AE208" s="156"/>
      <c r="AF208" s="157"/>
      <c r="AG208" s="152"/>
      <c r="AH208" s="152"/>
      <c r="AI208" s="152"/>
      <c r="AJ208" s="134"/>
      <c r="AK208" s="158"/>
      <c r="AL208" s="159"/>
      <c r="AM208" s="160"/>
      <c r="AN208" s="160"/>
      <c r="AO208" s="161"/>
      <c r="AP208" s="162"/>
      <c r="AQ208" s="158"/>
      <c r="AR208" s="163"/>
      <c r="AS208" s="158"/>
      <c r="AT208" s="158"/>
      <c r="AU208" s="158"/>
      <c r="AV208" s="163"/>
      <c r="AW208" s="158"/>
      <c r="AX208" s="163"/>
      <c r="AY208" s="158"/>
      <c r="AZ208" s="158"/>
      <c r="BA208" s="158"/>
      <c r="BB208" s="163"/>
      <c r="BC208" s="158"/>
      <c r="BD208" s="163"/>
      <c r="BE208" s="158"/>
      <c r="BF208" s="158"/>
      <c r="BG208" s="158"/>
      <c r="BH208" s="163"/>
      <c r="BI208" s="158"/>
      <c r="BJ208" s="163"/>
      <c r="BK208" s="158"/>
      <c r="BL208" s="158"/>
      <c r="BM208" s="158"/>
      <c r="BN208" s="163"/>
      <c r="BO208" s="158"/>
      <c r="BP208" s="163"/>
      <c r="BQ208" s="158"/>
      <c r="BR208" s="158"/>
      <c r="BS208" s="158"/>
      <c r="BT208" s="163"/>
      <c r="BU208" s="158"/>
      <c r="BV208" s="163"/>
      <c r="BW208" s="158"/>
      <c r="BX208" s="158"/>
      <c r="BY208" s="158"/>
      <c r="BZ208" s="163"/>
      <c r="CA208" s="158"/>
      <c r="CB208" s="163"/>
      <c r="CC208" s="158"/>
      <c r="CD208" s="158"/>
      <c r="CE208" s="158"/>
      <c r="CF208" s="158"/>
    </row>
    <row r="209" spans="1:84" x14ac:dyDescent="0.5">
      <c r="A209" s="259">
        <v>19086333</v>
      </c>
      <c r="B209" s="104">
        <v>19080739</v>
      </c>
      <c r="C209" s="105" t="s">
        <v>2589</v>
      </c>
      <c r="D209" s="106" t="s">
        <v>1323</v>
      </c>
      <c r="E209" s="302">
        <v>43698</v>
      </c>
      <c r="F209" s="936" t="s">
        <v>1324</v>
      </c>
      <c r="G209" s="937" t="s">
        <v>2484</v>
      </c>
      <c r="H209" s="211">
        <v>43697</v>
      </c>
      <c r="I209" s="164">
        <v>19244</v>
      </c>
      <c r="J209" s="960" t="s">
        <v>869</v>
      </c>
      <c r="K209" s="965">
        <v>43698</v>
      </c>
      <c r="L209" s="104" t="s">
        <v>2558</v>
      </c>
      <c r="M209" s="110" t="s">
        <v>2590</v>
      </c>
      <c r="N209" s="104" t="s">
        <v>52</v>
      </c>
      <c r="O209" s="111">
        <v>93457.96</v>
      </c>
      <c r="P209" s="111">
        <f t="shared" si="50"/>
        <v>6542.0572000000011</v>
      </c>
      <c r="Q209" s="111">
        <f t="shared" si="51"/>
        <v>100000.0172</v>
      </c>
      <c r="R209" s="311">
        <f>O209</f>
        <v>93457.96</v>
      </c>
      <c r="S209" s="113" t="s">
        <v>2696</v>
      </c>
      <c r="T209" s="114">
        <f>O209</f>
        <v>93457.96</v>
      </c>
      <c r="U209" s="115">
        <v>5</v>
      </c>
      <c r="V209" s="116">
        <f>T209*U209/100</f>
        <v>4672.8980000000001</v>
      </c>
      <c r="W209" s="117">
        <f>T209-V209</f>
        <v>88785.062000000005</v>
      </c>
      <c r="X209" s="118">
        <v>0.31</v>
      </c>
      <c r="Y209" s="118">
        <f>W209*X209/100</f>
        <v>275.23369220000001</v>
      </c>
      <c r="Z209" s="119">
        <v>0.2</v>
      </c>
      <c r="AA209" s="120">
        <f>W209*Z209/100</f>
        <v>177.57012400000002</v>
      </c>
      <c r="AB209" s="229">
        <v>19080292</v>
      </c>
      <c r="AC209" s="230">
        <v>28037.39</v>
      </c>
      <c r="AD209" s="220">
        <f t="shared" ref="AD209:AD214" si="52">AC209*7/100</f>
        <v>1962.6172999999999</v>
      </c>
      <c r="AE209" s="220">
        <f t="shared" ref="AE209:AE214" si="53">AC209+AD209</f>
        <v>30000.007299999997</v>
      </c>
      <c r="AF209" s="221">
        <v>43696</v>
      </c>
      <c r="AG209" s="121" t="s">
        <v>869</v>
      </c>
      <c r="AH209" s="121"/>
      <c r="AI209" s="121"/>
      <c r="AJ209" s="222" t="s">
        <v>2596</v>
      </c>
      <c r="AK209" s="128">
        <v>1</v>
      </c>
      <c r="AL209" s="129" t="s">
        <v>593</v>
      </c>
      <c r="AM209" s="130"/>
      <c r="AN209" s="130" t="s">
        <v>869</v>
      </c>
      <c r="AO209" s="131">
        <v>4</v>
      </c>
      <c r="AP209" s="132" t="s">
        <v>634</v>
      </c>
      <c r="AQ209" s="128"/>
      <c r="AR209" s="133"/>
      <c r="AS209" s="128"/>
      <c r="AT209" s="128"/>
      <c r="AU209" s="128"/>
      <c r="AV209" s="133"/>
      <c r="AW209" s="128"/>
      <c r="AX209" s="133"/>
      <c r="AY209" s="128"/>
      <c r="AZ209" s="128"/>
      <c r="BA209" s="128"/>
      <c r="BB209" s="133"/>
      <c r="BC209" s="128"/>
      <c r="BD209" s="133"/>
      <c r="BE209" s="128"/>
      <c r="BF209" s="128"/>
      <c r="BG209" s="128"/>
      <c r="BH209" s="133"/>
      <c r="BI209" s="128"/>
      <c r="BJ209" s="133"/>
      <c r="BK209" s="128"/>
      <c r="BL209" s="128"/>
      <c r="BM209" s="128"/>
      <c r="BN209" s="133"/>
      <c r="BO209" s="128"/>
      <c r="BP209" s="133"/>
      <c r="BQ209" s="128"/>
      <c r="BR209" s="128"/>
      <c r="BS209" s="128"/>
      <c r="BT209" s="133"/>
      <c r="BU209" s="128"/>
      <c r="BV209" s="133"/>
      <c r="BW209" s="128"/>
      <c r="BX209" s="128"/>
      <c r="BY209" s="128"/>
      <c r="BZ209" s="133"/>
      <c r="CA209" s="128"/>
      <c r="CB209" s="133"/>
      <c r="CC209" s="128"/>
      <c r="CD209" s="128"/>
      <c r="CE209" s="128"/>
      <c r="CF209" s="128"/>
    </row>
    <row r="210" spans="1:84" x14ac:dyDescent="0.5">
      <c r="A210" s="268"/>
      <c r="B210" s="181"/>
      <c r="C210" s="182"/>
      <c r="D210" s="183"/>
      <c r="E210" s="749"/>
      <c r="F210" s="938"/>
      <c r="G210" s="939"/>
      <c r="H210" s="186">
        <v>43697</v>
      </c>
      <c r="I210" s="187">
        <v>19245</v>
      </c>
      <c r="J210" s="961"/>
      <c r="K210" s="200"/>
      <c r="L210" s="181"/>
      <c r="M210" s="188"/>
      <c r="N210" s="181"/>
      <c r="O210" s="189"/>
      <c r="P210" s="189"/>
      <c r="Q210" s="189"/>
      <c r="R210" s="190"/>
      <c r="S210" s="215"/>
      <c r="T210" s="216"/>
      <c r="U210" s="217"/>
      <c r="V210" s="218"/>
      <c r="W210" s="195"/>
      <c r="X210" s="196"/>
      <c r="Y210" s="196"/>
      <c r="Z210" s="197"/>
      <c r="AA210" s="198"/>
      <c r="AB210" s="200">
        <v>19080293</v>
      </c>
      <c r="AC210" s="201">
        <v>65420.57</v>
      </c>
      <c r="AD210" s="202">
        <f t="shared" si="52"/>
        <v>4579.4399000000003</v>
      </c>
      <c r="AE210" s="202">
        <f t="shared" si="53"/>
        <v>70000.009900000005</v>
      </c>
      <c r="AF210" s="203">
        <v>43726</v>
      </c>
      <c r="AG210" s="199" t="s">
        <v>869</v>
      </c>
      <c r="AH210" s="199"/>
      <c r="AI210" s="199"/>
      <c r="AJ210" s="180" t="s">
        <v>2834</v>
      </c>
      <c r="AK210" s="204"/>
      <c r="AL210" s="205"/>
      <c r="AM210" s="206"/>
      <c r="AN210" s="206"/>
      <c r="AO210" s="207"/>
      <c r="AP210" s="208"/>
      <c r="AQ210" s="204"/>
      <c r="AR210" s="210"/>
      <c r="AS210" s="204"/>
      <c r="AT210" s="204"/>
      <c r="AU210" s="204"/>
      <c r="AV210" s="210"/>
      <c r="AW210" s="204"/>
      <c r="AX210" s="210"/>
      <c r="AY210" s="204"/>
      <c r="AZ210" s="204"/>
      <c r="BA210" s="204"/>
      <c r="BB210" s="210"/>
      <c r="BC210" s="204"/>
      <c r="BD210" s="210"/>
      <c r="BE210" s="204"/>
      <c r="BF210" s="204"/>
      <c r="BG210" s="204"/>
      <c r="BH210" s="210"/>
      <c r="BI210" s="204"/>
      <c r="BJ210" s="210"/>
      <c r="BK210" s="204"/>
      <c r="BL210" s="204"/>
      <c r="BM210" s="204"/>
      <c r="BN210" s="210"/>
      <c r="BO210" s="204"/>
      <c r="BP210" s="210"/>
      <c r="BQ210" s="204"/>
      <c r="BR210" s="204"/>
      <c r="BS210" s="204"/>
      <c r="BT210" s="210"/>
      <c r="BU210" s="204"/>
      <c r="BV210" s="210"/>
      <c r="BW210" s="204"/>
      <c r="BX210" s="204"/>
      <c r="BY210" s="204"/>
      <c r="BZ210" s="210"/>
      <c r="CA210" s="204"/>
      <c r="CB210" s="210"/>
      <c r="CC210" s="204"/>
      <c r="CD210" s="204"/>
      <c r="CE210" s="204"/>
      <c r="CF210" s="204"/>
    </row>
    <row r="211" spans="1:84" x14ac:dyDescent="0.5">
      <c r="A211" s="227">
        <v>19086332</v>
      </c>
      <c r="B211" s="22">
        <v>19080741</v>
      </c>
      <c r="C211" s="23" t="s">
        <v>2578</v>
      </c>
      <c r="D211" s="24" t="s">
        <v>1323</v>
      </c>
      <c r="E211" s="884">
        <v>43700</v>
      </c>
      <c r="F211" s="932" t="s">
        <v>1324</v>
      </c>
      <c r="G211" s="933" t="s">
        <v>2650</v>
      </c>
      <c r="H211" s="62">
        <v>43720</v>
      </c>
      <c r="I211" s="27">
        <v>19283</v>
      </c>
      <c r="J211" s="931" t="s">
        <v>869</v>
      </c>
      <c r="K211" s="957">
        <v>43720</v>
      </c>
      <c r="L211" s="22" t="s">
        <v>1115</v>
      </c>
      <c r="M211" s="28" t="s">
        <v>2579</v>
      </c>
      <c r="N211" s="22" t="s">
        <v>52</v>
      </c>
      <c r="O211" s="29">
        <v>80000</v>
      </c>
      <c r="P211" s="29">
        <f t="shared" ref="P211:P221" si="54">O211*7/100</f>
        <v>5600</v>
      </c>
      <c r="Q211" s="29">
        <f t="shared" ref="Q211:Q221" si="55">O211+P211</f>
        <v>85600</v>
      </c>
      <c r="R211" s="61"/>
      <c r="S211" s="31" t="s">
        <v>2696</v>
      </c>
      <c r="T211" s="32">
        <f>O211</f>
        <v>80000</v>
      </c>
      <c r="U211" s="33">
        <v>5</v>
      </c>
      <c r="V211" s="34">
        <f>T211*U211/100</f>
        <v>4000</v>
      </c>
      <c r="W211" s="35">
        <f>T211-V211</f>
        <v>76000</v>
      </c>
      <c r="X211" s="36">
        <v>0.22</v>
      </c>
      <c r="Y211" s="36">
        <f>W211*X211/100</f>
        <v>167.2</v>
      </c>
      <c r="Z211" s="37">
        <v>0.2</v>
      </c>
      <c r="AA211" s="38">
        <f>W211*Z211/100</f>
        <v>152</v>
      </c>
      <c r="AB211" s="40">
        <v>19080294</v>
      </c>
      <c r="AC211" s="41">
        <v>80000</v>
      </c>
      <c r="AD211" s="52">
        <f t="shared" si="52"/>
        <v>5600</v>
      </c>
      <c r="AE211" s="52">
        <f t="shared" si="53"/>
        <v>85600</v>
      </c>
      <c r="AF211" s="53">
        <v>43696</v>
      </c>
      <c r="AG211" s="39" t="s">
        <v>869</v>
      </c>
      <c r="AH211" s="39"/>
      <c r="AI211" s="39"/>
      <c r="AJ211" s="21" t="s">
        <v>2846</v>
      </c>
      <c r="AK211" s="1016">
        <v>1</v>
      </c>
      <c r="AL211" s="45" t="s">
        <v>657</v>
      </c>
      <c r="AM211" s="46"/>
      <c r="AN211" s="46" t="s">
        <v>869</v>
      </c>
      <c r="AO211" s="47">
        <v>1</v>
      </c>
      <c r="AP211" s="48" t="s">
        <v>634</v>
      </c>
      <c r="AQ211" s="1016">
        <v>2</v>
      </c>
      <c r="AR211" s="40" t="s">
        <v>658</v>
      </c>
      <c r="AS211" s="47"/>
      <c r="AT211" s="47" t="s">
        <v>869</v>
      </c>
      <c r="AU211" s="47">
        <v>1</v>
      </c>
      <c r="AV211" s="49" t="s">
        <v>634</v>
      </c>
      <c r="AW211" s="1022"/>
      <c r="AX211" s="54"/>
      <c r="AY211" s="1022"/>
      <c r="AZ211" s="1022"/>
      <c r="BA211" s="1022"/>
      <c r="BB211" s="54"/>
      <c r="BC211" s="1022"/>
      <c r="BD211" s="54"/>
      <c r="BE211" s="1022"/>
      <c r="BF211" s="1022"/>
      <c r="BG211" s="1022"/>
      <c r="BH211" s="54"/>
      <c r="BI211" s="1022"/>
      <c r="BJ211" s="54"/>
      <c r="BK211" s="1022"/>
      <c r="BL211" s="1022"/>
      <c r="BM211" s="1022"/>
      <c r="BN211" s="54"/>
      <c r="BO211" s="1022"/>
      <c r="BP211" s="54"/>
      <c r="BQ211" s="1022"/>
      <c r="BR211" s="1022"/>
      <c r="BS211" s="1022"/>
      <c r="BT211" s="54"/>
      <c r="BU211" s="1022"/>
      <c r="BV211" s="54"/>
      <c r="BW211" s="1022"/>
      <c r="BX211" s="1022"/>
      <c r="BY211" s="1022"/>
      <c r="BZ211" s="54"/>
      <c r="CA211" s="1022"/>
      <c r="CB211" s="54"/>
      <c r="CC211" s="1022"/>
      <c r="CD211" s="1022"/>
      <c r="CE211" s="1022"/>
      <c r="CF211" s="1022"/>
    </row>
    <row r="212" spans="1:84" x14ac:dyDescent="0.5">
      <c r="A212" s="227">
        <v>19086331</v>
      </c>
      <c r="B212" s="22">
        <v>19080733</v>
      </c>
      <c r="C212" s="55"/>
      <c r="D212" s="56"/>
      <c r="E212" s="910"/>
      <c r="F212" s="57"/>
      <c r="G212" s="58"/>
      <c r="H212" s="59"/>
      <c r="I212" s="60"/>
      <c r="J212" s="269"/>
      <c r="K212" s="59"/>
      <c r="L212" s="22" t="s">
        <v>165</v>
      </c>
      <c r="M212" s="28" t="s">
        <v>2580</v>
      </c>
      <c r="N212" s="22" t="s">
        <v>1523</v>
      </c>
      <c r="O212" s="29">
        <v>27000</v>
      </c>
      <c r="P212" s="29">
        <f t="shared" si="54"/>
        <v>1890</v>
      </c>
      <c r="Q212" s="29">
        <f t="shared" si="55"/>
        <v>28890</v>
      </c>
      <c r="R212" s="61"/>
      <c r="S212" s="96"/>
      <c r="T212" s="97"/>
      <c r="U212" s="98"/>
      <c r="V212" s="99"/>
      <c r="W212" s="100"/>
      <c r="X212" s="99"/>
      <c r="Y212" s="99"/>
      <c r="Z212" s="100"/>
      <c r="AA212" s="101"/>
      <c r="AB212" s="40">
        <v>19100409</v>
      </c>
      <c r="AC212" s="41">
        <v>27000</v>
      </c>
      <c r="AD212" s="63">
        <f t="shared" si="52"/>
        <v>1890</v>
      </c>
      <c r="AE212" s="63">
        <f t="shared" si="53"/>
        <v>28890</v>
      </c>
      <c r="AF212" s="53">
        <v>43785</v>
      </c>
      <c r="AG212" s="39" t="s">
        <v>869</v>
      </c>
      <c r="AH212" s="39"/>
      <c r="AI212" s="39"/>
      <c r="AJ212" s="21" t="s">
        <v>3327</v>
      </c>
      <c r="AK212" s="1016">
        <v>1</v>
      </c>
      <c r="AL212" s="45" t="s">
        <v>404</v>
      </c>
      <c r="AM212" s="46"/>
      <c r="AN212" s="46"/>
      <c r="AO212" s="47">
        <v>1</v>
      </c>
      <c r="AP212" s="102"/>
      <c r="AQ212" s="1022"/>
      <c r="AR212" s="54"/>
      <c r="AS212" s="1022"/>
      <c r="AT212" s="1022"/>
      <c r="AU212" s="1022"/>
      <c r="AV212" s="54"/>
      <c r="AW212" s="1022"/>
      <c r="AX212" s="54"/>
      <c r="AY212" s="1022"/>
      <c r="AZ212" s="1022"/>
      <c r="BA212" s="1022"/>
      <c r="BB212" s="54"/>
      <c r="BC212" s="1022"/>
      <c r="BD212" s="54"/>
      <c r="BE212" s="1022"/>
      <c r="BF212" s="1022"/>
      <c r="BG212" s="1022"/>
      <c r="BH212" s="54"/>
      <c r="BI212" s="1022"/>
      <c r="BJ212" s="54"/>
      <c r="BK212" s="1022"/>
      <c r="BL212" s="1022"/>
      <c r="BM212" s="1022"/>
      <c r="BN212" s="54"/>
      <c r="BO212" s="1022"/>
      <c r="BP212" s="54"/>
      <c r="BQ212" s="1022"/>
      <c r="BR212" s="1022"/>
      <c r="BS212" s="1022"/>
      <c r="BT212" s="54"/>
      <c r="BU212" s="1022"/>
      <c r="BV212" s="54"/>
      <c r="BW212" s="1022"/>
      <c r="BX212" s="1022"/>
      <c r="BY212" s="1022"/>
      <c r="BZ212" s="54"/>
      <c r="CA212" s="1022"/>
      <c r="CB212" s="54"/>
      <c r="CC212" s="1022"/>
      <c r="CD212" s="1022"/>
      <c r="CE212" s="1022"/>
      <c r="CF212" s="1022"/>
    </row>
    <row r="213" spans="1:84" x14ac:dyDescent="0.5">
      <c r="A213" s="227">
        <v>19086330</v>
      </c>
      <c r="B213" s="22">
        <v>19080734</v>
      </c>
      <c r="C213" s="55"/>
      <c r="D213" s="56"/>
      <c r="E213" s="910"/>
      <c r="F213" s="57"/>
      <c r="G213" s="58"/>
      <c r="H213" s="59"/>
      <c r="I213" s="60"/>
      <c r="J213" s="269"/>
      <c r="K213" s="59"/>
      <c r="L213" s="22" t="s">
        <v>165</v>
      </c>
      <c r="M213" s="28" t="s">
        <v>2581</v>
      </c>
      <c r="N213" s="22" t="s">
        <v>1523</v>
      </c>
      <c r="O213" s="29">
        <v>27000</v>
      </c>
      <c r="P213" s="29">
        <f t="shared" si="54"/>
        <v>1890</v>
      </c>
      <c r="Q213" s="29">
        <f t="shared" si="55"/>
        <v>28890</v>
      </c>
      <c r="R213" s="61"/>
      <c r="S213" s="96"/>
      <c r="T213" s="97"/>
      <c r="U213" s="98"/>
      <c r="V213" s="99"/>
      <c r="W213" s="100"/>
      <c r="X213" s="99"/>
      <c r="Y213" s="99"/>
      <c r="Z213" s="100"/>
      <c r="AA213" s="101"/>
      <c r="AB213" s="40">
        <v>19100407</v>
      </c>
      <c r="AC213" s="41">
        <v>27000</v>
      </c>
      <c r="AD213" s="52">
        <f t="shared" si="52"/>
        <v>1890</v>
      </c>
      <c r="AE213" s="52">
        <f t="shared" si="53"/>
        <v>28890</v>
      </c>
      <c r="AF213" s="53">
        <v>43785</v>
      </c>
      <c r="AG213" s="39" t="s">
        <v>869</v>
      </c>
      <c r="AH213" s="39"/>
      <c r="AI213" s="39"/>
      <c r="AJ213" s="21" t="s">
        <v>3327</v>
      </c>
      <c r="AK213" s="1016">
        <v>1</v>
      </c>
      <c r="AL213" s="45" t="s">
        <v>404</v>
      </c>
      <c r="AM213" s="46"/>
      <c r="AN213" s="46"/>
      <c r="AO213" s="47">
        <v>1</v>
      </c>
      <c r="AP213" s="102"/>
      <c r="AQ213" s="1022"/>
      <c r="AR213" s="54"/>
      <c r="AS213" s="1022"/>
      <c r="AT213" s="1022"/>
      <c r="AU213" s="1022"/>
      <c r="AV213" s="54"/>
      <c r="AW213" s="1022"/>
      <c r="AX213" s="54"/>
      <c r="AY213" s="1022"/>
      <c r="AZ213" s="1022"/>
      <c r="BA213" s="1022"/>
      <c r="BB213" s="54"/>
      <c r="BC213" s="1022"/>
      <c r="BD213" s="54"/>
      <c r="BE213" s="1022"/>
      <c r="BF213" s="1022"/>
      <c r="BG213" s="1022"/>
      <c r="BH213" s="54"/>
      <c r="BI213" s="1022"/>
      <c r="BJ213" s="54"/>
      <c r="BK213" s="1022"/>
      <c r="BL213" s="1022"/>
      <c r="BM213" s="1022"/>
      <c r="BN213" s="54"/>
      <c r="BO213" s="1022"/>
      <c r="BP213" s="54"/>
      <c r="BQ213" s="1022"/>
      <c r="BR213" s="1022"/>
      <c r="BS213" s="1022"/>
      <c r="BT213" s="54"/>
      <c r="BU213" s="1022"/>
      <c r="BV213" s="54"/>
      <c r="BW213" s="1022"/>
      <c r="BX213" s="1022"/>
      <c r="BY213" s="1022"/>
      <c r="BZ213" s="54"/>
      <c r="CA213" s="1022"/>
      <c r="CB213" s="54"/>
      <c r="CC213" s="1022"/>
      <c r="CD213" s="1022"/>
      <c r="CE213" s="1022"/>
      <c r="CF213" s="1022"/>
    </row>
    <row r="214" spans="1:84" x14ac:dyDescent="0.5">
      <c r="A214" s="259">
        <v>19086329</v>
      </c>
      <c r="B214" s="104">
        <v>19080732</v>
      </c>
      <c r="C214" s="105" t="s">
        <v>2582</v>
      </c>
      <c r="D214" s="106" t="s">
        <v>1323</v>
      </c>
      <c r="E214" s="302">
        <v>43743</v>
      </c>
      <c r="F214" s="936" t="s">
        <v>1324</v>
      </c>
      <c r="G214" s="937" t="s">
        <v>2783</v>
      </c>
      <c r="H214" s="211">
        <v>43735</v>
      </c>
      <c r="I214" s="164">
        <v>19303</v>
      </c>
      <c r="J214" s="960" t="s">
        <v>869</v>
      </c>
      <c r="K214" s="965">
        <v>43738</v>
      </c>
      <c r="L214" s="104" t="s">
        <v>165</v>
      </c>
      <c r="M214" s="110" t="s">
        <v>2583</v>
      </c>
      <c r="N214" s="104" t="s">
        <v>1523</v>
      </c>
      <c r="O214" s="111">
        <v>112500</v>
      </c>
      <c r="P214" s="111">
        <f t="shared" si="54"/>
        <v>7875</v>
      </c>
      <c r="Q214" s="111">
        <f t="shared" si="55"/>
        <v>120375</v>
      </c>
      <c r="R214" s="212"/>
      <c r="S214" s="113" t="s">
        <v>1310</v>
      </c>
      <c r="T214" s="114">
        <f>O214</f>
        <v>112500</v>
      </c>
      <c r="U214" s="115">
        <v>5</v>
      </c>
      <c r="V214" s="116">
        <f>T214*U214/100</f>
        <v>5625</v>
      </c>
      <c r="W214" s="117">
        <f>T214-V214</f>
        <v>106875</v>
      </c>
      <c r="X214" s="118">
        <v>0.32</v>
      </c>
      <c r="Y214" s="118">
        <f>W214*X214/100</f>
        <v>342</v>
      </c>
      <c r="Z214" s="119">
        <v>0.2</v>
      </c>
      <c r="AA214" s="120">
        <f>W214*Z214/100</f>
        <v>213.75</v>
      </c>
      <c r="AB214" s="123">
        <v>19100408</v>
      </c>
      <c r="AC214" s="124">
        <v>112500</v>
      </c>
      <c r="AD214" s="260">
        <f t="shared" si="52"/>
        <v>7875</v>
      </c>
      <c r="AE214" s="260">
        <f t="shared" si="53"/>
        <v>120375</v>
      </c>
      <c r="AF214" s="126">
        <v>43785</v>
      </c>
      <c r="AG214" s="127" t="s">
        <v>869</v>
      </c>
      <c r="AH214" s="127"/>
      <c r="AI214" s="127"/>
      <c r="AJ214" s="103" t="s">
        <v>3327</v>
      </c>
      <c r="AK214" s="128">
        <v>1</v>
      </c>
      <c r="AL214" s="129" t="s">
        <v>833</v>
      </c>
      <c r="AM214" s="130"/>
      <c r="AN214" s="130" t="s">
        <v>869</v>
      </c>
      <c r="AO214" s="131">
        <v>4</v>
      </c>
      <c r="AP214" s="132" t="s">
        <v>634</v>
      </c>
      <c r="AQ214" s="128"/>
      <c r="AR214" s="133"/>
      <c r="AS214" s="128"/>
      <c r="AT214" s="128"/>
      <c r="AU214" s="128"/>
      <c r="AV214" s="133"/>
      <c r="AW214" s="128"/>
      <c r="AX214" s="133"/>
      <c r="AY214" s="128"/>
      <c r="AZ214" s="128"/>
      <c r="BA214" s="128"/>
      <c r="BB214" s="133"/>
      <c r="BC214" s="128"/>
      <c r="BD214" s="133"/>
      <c r="BE214" s="128"/>
      <c r="BF214" s="128"/>
      <c r="BG214" s="128"/>
      <c r="BH214" s="133"/>
      <c r="BI214" s="128"/>
      <c r="BJ214" s="133"/>
      <c r="BK214" s="128"/>
      <c r="BL214" s="128"/>
      <c r="BM214" s="128"/>
      <c r="BN214" s="133"/>
      <c r="BO214" s="128"/>
      <c r="BP214" s="133"/>
      <c r="BQ214" s="128"/>
      <c r="BR214" s="128"/>
      <c r="BS214" s="128"/>
      <c r="BT214" s="133"/>
      <c r="BU214" s="128"/>
      <c r="BV214" s="133"/>
      <c r="BW214" s="128"/>
      <c r="BX214" s="128"/>
      <c r="BY214" s="128"/>
      <c r="BZ214" s="133"/>
      <c r="CA214" s="128"/>
      <c r="CB214" s="133"/>
      <c r="CC214" s="128"/>
      <c r="CD214" s="128"/>
      <c r="CE214" s="128"/>
      <c r="CF214" s="128"/>
    </row>
    <row r="215" spans="1:84" x14ac:dyDescent="0.5">
      <c r="A215" s="268"/>
      <c r="B215" s="181"/>
      <c r="C215" s="182"/>
      <c r="D215" s="183"/>
      <c r="E215" s="749"/>
      <c r="F215" s="938"/>
      <c r="G215" s="939"/>
      <c r="H215" s="186">
        <v>43735</v>
      </c>
      <c r="I215" s="187">
        <v>19304</v>
      </c>
      <c r="J215" s="961"/>
      <c r="K215" s="966"/>
      <c r="L215" s="181"/>
      <c r="M215" s="188"/>
      <c r="N215" s="181"/>
      <c r="O215" s="189"/>
      <c r="P215" s="189"/>
      <c r="Q215" s="189"/>
      <c r="R215" s="214"/>
      <c r="S215" s="215"/>
      <c r="T215" s="216"/>
      <c r="U215" s="217"/>
      <c r="V215" s="218"/>
      <c r="W215" s="195"/>
      <c r="X215" s="196"/>
      <c r="Y215" s="196"/>
      <c r="Z215" s="197"/>
      <c r="AA215" s="198"/>
      <c r="AB215" s="200"/>
      <c r="AC215" s="201"/>
      <c r="AD215" s="240"/>
      <c r="AE215" s="240"/>
      <c r="AF215" s="241"/>
      <c r="AG215" s="199"/>
      <c r="AH215" s="199"/>
      <c r="AI215" s="199"/>
      <c r="AJ215" s="180"/>
      <c r="AK215" s="204"/>
      <c r="AL215" s="205"/>
      <c r="AM215" s="206"/>
      <c r="AN215" s="206"/>
      <c r="AO215" s="207"/>
      <c r="AP215" s="208"/>
      <c r="AQ215" s="204"/>
      <c r="AR215" s="210"/>
      <c r="AS215" s="204"/>
      <c r="AT215" s="204"/>
      <c r="AU215" s="204"/>
      <c r="AV215" s="210"/>
      <c r="AW215" s="204"/>
      <c r="AX215" s="210"/>
      <c r="AY215" s="204"/>
      <c r="AZ215" s="204"/>
      <c r="BA215" s="204"/>
      <c r="BB215" s="210"/>
      <c r="BC215" s="204"/>
      <c r="BD215" s="210"/>
      <c r="BE215" s="204"/>
      <c r="BF215" s="204"/>
      <c r="BG215" s="204"/>
      <c r="BH215" s="210"/>
      <c r="BI215" s="204"/>
      <c r="BJ215" s="210"/>
      <c r="BK215" s="204"/>
      <c r="BL215" s="204"/>
      <c r="BM215" s="204"/>
      <c r="BN215" s="210"/>
      <c r="BO215" s="204"/>
      <c r="BP215" s="210"/>
      <c r="BQ215" s="204"/>
      <c r="BR215" s="204"/>
      <c r="BS215" s="204"/>
      <c r="BT215" s="210"/>
      <c r="BU215" s="204"/>
      <c r="BV215" s="210"/>
      <c r="BW215" s="204"/>
      <c r="BX215" s="204"/>
      <c r="BY215" s="204"/>
      <c r="BZ215" s="210"/>
      <c r="CA215" s="204"/>
      <c r="CB215" s="210"/>
      <c r="CC215" s="204"/>
      <c r="CD215" s="204"/>
      <c r="CE215" s="204"/>
      <c r="CF215" s="204"/>
    </row>
    <row r="216" spans="1:84" x14ac:dyDescent="0.5">
      <c r="A216" s="227">
        <v>19086328</v>
      </c>
      <c r="B216" s="22">
        <v>19080731</v>
      </c>
      <c r="C216" s="23" t="s">
        <v>2584</v>
      </c>
      <c r="D216" s="24" t="s">
        <v>1323</v>
      </c>
      <c r="E216" s="884">
        <v>43713</v>
      </c>
      <c r="F216" s="932" t="s">
        <v>1324</v>
      </c>
      <c r="G216" s="933" t="s">
        <v>2793</v>
      </c>
      <c r="H216" s="62">
        <v>43735</v>
      </c>
      <c r="I216" s="27">
        <v>19302</v>
      </c>
      <c r="J216" s="931" t="s">
        <v>869</v>
      </c>
      <c r="K216" s="957">
        <v>43738</v>
      </c>
      <c r="L216" s="22" t="s">
        <v>165</v>
      </c>
      <c r="M216" s="28" t="s">
        <v>2585</v>
      </c>
      <c r="N216" s="22" t="s">
        <v>1523</v>
      </c>
      <c r="O216" s="29">
        <v>33750</v>
      </c>
      <c r="P216" s="29">
        <f t="shared" si="54"/>
        <v>2362.5</v>
      </c>
      <c r="Q216" s="29">
        <f t="shared" si="55"/>
        <v>36112.5</v>
      </c>
      <c r="R216" s="61"/>
      <c r="S216" s="31" t="s">
        <v>1310</v>
      </c>
      <c r="T216" s="32">
        <f>O216</f>
        <v>33750</v>
      </c>
      <c r="U216" s="33">
        <v>5</v>
      </c>
      <c r="V216" s="34">
        <f>T216*U216/100</f>
        <v>1687.5</v>
      </c>
      <c r="W216" s="35">
        <f>T216-V216</f>
        <v>32062.5</v>
      </c>
      <c r="X216" s="36">
        <v>0.32</v>
      </c>
      <c r="Y216" s="36">
        <f>W216*X216/100</f>
        <v>102.6</v>
      </c>
      <c r="Z216" s="37">
        <v>0.2</v>
      </c>
      <c r="AA216" s="38">
        <f>W216*Z216/100</f>
        <v>64.125</v>
      </c>
      <c r="AB216" s="40">
        <v>19100406</v>
      </c>
      <c r="AC216" s="41">
        <v>33750</v>
      </c>
      <c r="AD216" s="52">
        <f>AC216*7/100</f>
        <v>2362.5</v>
      </c>
      <c r="AE216" s="52">
        <f>AC216+AD216</f>
        <v>36112.5</v>
      </c>
      <c r="AF216" s="53">
        <v>43785</v>
      </c>
      <c r="AG216" s="39" t="s">
        <v>869</v>
      </c>
      <c r="AH216" s="39"/>
      <c r="AI216" s="39"/>
      <c r="AJ216" s="21" t="s">
        <v>3327</v>
      </c>
      <c r="AK216" s="985">
        <v>1</v>
      </c>
      <c r="AL216" s="45" t="s">
        <v>2586</v>
      </c>
      <c r="AM216" s="46"/>
      <c r="AN216" s="46" t="s">
        <v>869</v>
      </c>
      <c r="AO216" s="47">
        <v>1</v>
      </c>
      <c r="AP216" s="48" t="s">
        <v>634</v>
      </c>
      <c r="AQ216" s="1022"/>
      <c r="AR216" s="54"/>
      <c r="AS216" s="1022"/>
      <c r="AT216" s="1022"/>
      <c r="AU216" s="1022"/>
      <c r="AV216" s="54"/>
      <c r="AW216" s="1022"/>
      <c r="AX216" s="54"/>
      <c r="AY216" s="1022"/>
      <c r="AZ216" s="1022"/>
      <c r="BA216" s="1022"/>
      <c r="BB216" s="54"/>
      <c r="BC216" s="1022"/>
      <c r="BD216" s="54"/>
      <c r="BE216" s="1022"/>
      <c r="BF216" s="1022"/>
      <c r="BG216" s="1022"/>
      <c r="BH216" s="54"/>
      <c r="BI216" s="1022"/>
      <c r="BJ216" s="54"/>
      <c r="BK216" s="1022"/>
      <c r="BL216" s="1022"/>
      <c r="BM216" s="1022"/>
      <c r="BN216" s="54"/>
      <c r="BO216" s="1022"/>
      <c r="BP216" s="54"/>
      <c r="BQ216" s="1022"/>
      <c r="BR216" s="1022"/>
      <c r="BS216" s="1022"/>
      <c r="BT216" s="54"/>
      <c r="BU216" s="1022"/>
      <c r="BV216" s="54"/>
      <c r="BW216" s="1022"/>
      <c r="BX216" s="1022"/>
      <c r="BY216" s="1022"/>
      <c r="BZ216" s="54"/>
      <c r="CA216" s="1022"/>
      <c r="CB216" s="54"/>
      <c r="CC216" s="1022"/>
      <c r="CD216" s="1022"/>
      <c r="CE216" s="1022"/>
      <c r="CF216" s="1022"/>
    </row>
    <row r="217" spans="1:84" x14ac:dyDescent="0.5">
      <c r="A217" s="259">
        <v>19086327</v>
      </c>
      <c r="B217" s="104">
        <v>19080735</v>
      </c>
      <c r="C217" s="105" t="s">
        <v>2568</v>
      </c>
      <c r="D217" s="106" t="s">
        <v>1323</v>
      </c>
      <c r="E217" s="302">
        <v>43718</v>
      </c>
      <c r="F217" s="936" t="s">
        <v>1324</v>
      </c>
      <c r="G217" s="937" t="s">
        <v>2606</v>
      </c>
      <c r="H217" s="122">
        <v>43720</v>
      </c>
      <c r="I217" s="109">
        <v>19284</v>
      </c>
      <c r="J217" s="960" t="s">
        <v>869</v>
      </c>
      <c r="K217" s="965">
        <v>43722</v>
      </c>
      <c r="L217" s="104" t="s">
        <v>2559</v>
      </c>
      <c r="M217" s="110" t="s">
        <v>2569</v>
      </c>
      <c r="N217" s="104" t="s">
        <v>51</v>
      </c>
      <c r="O217" s="111">
        <v>199100</v>
      </c>
      <c r="P217" s="111">
        <f t="shared" si="54"/>
        <v>13937</v>
      </c>
      <c r="Q217" s="111">
        <f t="shared" si="55"/>
        <v>213037</v>
      </c>
      <c r="R217" s="311">
        <v>17500</v>
      </c>
      <c r="S217" s="113" t="s">
        <v>2795</v>
      </c>
      <c r="T217" s="166"/>
      <c r="U217" s="167"/>
      <c r="V217" s="116">
        <v>40320</v>
      </c>
      <c r="W217" s="231"/>
      <c r="X217" s="168"/>
      <c r="Y217" s="168"/>
      <c r="Z217" s="231"/>
      <c r="AA217" s="232"/>
      <c r="AB217" s="229">
        <v>19080299</v>
      </c>
      <c r="AC217" s="230">
        <v>59730</v>
      </c>
      <c r="AD217" s="220">
        <f t="shared" ref="AD217:AD229" si="56">AC217*7/100</f>
        <v>4181.1000000000004</v>
      </c>
      <c r="AE217" s="220">
        <f t="shared" ref="AE217:AE229" si="57">AC217+AD217</f>
        <v>63911.1</v>
      </c>
      <c r="AF217" s="221">
        <v>43697</v>
      </c>
      <c r="AG217" s="121" t="s">
        <v>869</v>
      </c>
      <c r="AH217" s="121"/>
      <c r="AI217" s="121"/>
      <c r="AJ217" s="222" t="s">
        <v>2711</v>
      </c>
      <c r="AK217" s="128">
        <v>1</v>
      </c>
      <c r="AL217" s="129" t="s">
        <v>2570</v>
      </c>
      <c r="AM217" s="130"/>
      <c r="AN217" s="130" t="s">
        <v>869</v>
      </c>
      <c r="AO217" s="131">
        <v>1</v>
      </c>
      <c r="AP217" s="132" t="s">
        <v>634</v>
      </c>
      <c r="AQ217" s="128"/>
      <c r="AR217" s="133"/>
      <c r="AS217" s="128"/>
      <c r="AT217" s="128"/>
      <c r="AU217" s="128"/>
      <c r="AV217" s="133"/>
      <c r="AW217" s="128"/>
      <c r="AX217" s="133"/>
      <c r="AY217" s="128"/>
      <c r="AZ217" s="128"/>
      <c r="BA217" s="128"/>
      <c r="BB217" s="133"/>
      <c r="BC217" s="128"/>
      <c r="BD217" s="133"/>
      <c r="BE217" s="128"/>
      <c r="BF217" s="128"/>
      <c r="BG217" s="128"/>
      <c r="BH217" s="133"/>
      <c r="BI217" s="128"/>
      <c r="BJ217" s="133"/>
      <c r="BK217" s="128"/>
      <c r="BL217" s="128"/>
      <c r="BM217" s="128"/>
      <c r="BN217" s="133"/>
      <c r="BO217" s="128"/>
      <c r="BP217" s="133"/>
      <c r="BQ217" s="128"/>
      <c r="BR217" s="128"/>
      <c r="BS217" s="128"/>
      <c r="BT217" s="133"/>
      <c r="BU217" s="128"/>
      <c r="BV217" s="133"/>
      <c r="BW217" s="128"/>
      <c r="BX217" s="128"/>
      <c r="BY217" s="128"/>
      <c r="BZ217" s="133"/>
      <c r="CA217" s="128"/>
      <c r="CB217" s="133"/>
      <c r="CC217" s="128"/>
      <c r="CD217" s="128"/>
      <c r="CE217" s="128"/>
      <c r="CF217" s="128"/>
    </row>
    <row r="218" spans="1:84" x14ac:dyDescent="0.5">
      <c r="A218" s="268"/>
      <c r="B218" s="181"/>
      <c r="C218" s="182"/>
      <c r="D218" s="183"/>
      <c r="E218" s="749"/>
      <c r="F218" s="938"/>
      <c r="G218" s="939"/>
      <c r="H218" s="186"/>
      <c r="I218" s="187"/>
      <c r="J218" s="961"/>
      <c r="K218" s="966"/>
      <c r="L218" s="181"/>
      <c r="M218" s="188"/>
      <c r="N218" s="181"/>
      <c r="O218" s="189"/>
      <c r="P218" s="189"/>
      <c r="Q218" s="189"/>
      <c r="R218" s="190"/>
      <c r="S218" s="215"/>
      <c r="T218" s="192"/>
      <c r="U218" s="193"/>
      <c r="V218" s="218"/>
      <c r="W218" s="235"/>
      <c r="X218" s="194"/>
      <c r="Y218" s="194"/>
      <c r="Z218" s="235"/>
      <c r="AA218" s="236"/>
      <c r="AB218" s="200">
        <v>19090341</v>
      </c>
      <c r="AC218" s="201">
        <v>139370</v>
      </c>
      <c r="AD218" s="202">
        <f t="shared" si="56"/>
        <v>9755.9</v>
      </c>
      <c r="AE218" s="202">
        <f t="shared" si="57"/>
        <v>149125.9</v>
      </c>
      <c r="AF218" s="203">
        <v>43720</v>
      </c>
      <c r="AG218" s="199" t="s">
        <v>869</v>
      </c>
      <c r="AH218" s="199"/>
      <c r="AI218" s="199"/>
      <c r="AJ218" s="180" t="s">
        <v>2845</v>
      </c>
      <c r="AK218" s="204"/>
      <c r="AL218" s="205"/>
      <c r="AM218" s="206"/>
      <c r="AN218" s="206"/>
      <c r="AO218" s="207"/>
      <c r="AP218" s="208"/>
      <c r="AQ218" s="204"/>
      <c r="AR218" s="210"/>
      <c r="AS218" s="204"/>
      <c r="AT218" s="204"/>
      <c r="AU218" s="204"/>
      <c r="AV218" s="210"/>
      <c r="AW218" s="204"/>
      <c r="AX218" s="210"/>
      <c r="AY218" s="204"/>
      <c r="AZ218" s="204"/>
      <c r="BA218" s="204"/>
      <c r="BB218" s="210"/>
      <c r="BC218" s="204"/>
      <c r="BD218" s="210"/>
      <c r="BE218" s="204"/>
      <c r="BF218" s="204"/>
      <c r="BG218" s="204"/>
      <c r="BH218" s="210"/>
      <c r="BI218" s="204"/>
      <c r="BJ218" s="210"/>
      <c r="BK218" s="204"/>
      <c r="BL218" s="204"/>
      <c r="BM218" s="204"/>
      <c r="BN218" s="210"/>
      <c r="BO218" s="204"/>
      <c r="BP218" s="210"/>
      <c r="BQ218" s="204"/>
      <c r="BR218" s="204"/>
      <c r="BS218" s="204"/>
      <c r="BT218" s="210"/>
      <c r="BU218" s="204"/>
      <c r="BV218" s="210"/>
      <c r="BW218" s="204"/>
      <c r="BX218" s="204"/>
      <c r="BY218" s="204"/>
      <c r="BZ218" s="210"/>
      <c r="CA218" s="204"/>
      <c r="CB218" s="210"/>
      <c r="CC218" s="204"/>
      <c r="CD218" s="204"/>
      <c r="CE218" s="204"/>
      <c r="CF218" s="204"/>
    </row>
    <row r="219" spans="1:84" x14ac:dyDescent="0.5">
      <c r="A219" s="227">
        <v>19086326</v>
      </c>
      <c r="B219" s="22">
        <v>19080742</v>
      </c>
      <c r="C219" s="1019" t="s">
        <v>2587</v>
      </c>
      <c r="D219" s="1020" t="s">
        <v>1323</v>
      </c>
      <c r="E219" s="884">
        <v>43700</v>
      </c>
      <c r="F219" s="932" t="s">
        <v>1324</v>
      </c>
      <c r="G219" s="933" t="s">
        <v>2479</v>
      </c>
      <c r="H219" s="884">
        <v>43700</v>
      </c>
      <c r="I219" s="1021">
        <v>19253</v>
      </c>
      <c r="J219" s="931" t="s">
        <v>869</v>
      </c>
      <c r="K219" s="957">
        <v>43700</v>
      </c>
      <c r="L219" s="22" t="s">
        <v>15</v>
      </c>
      <c r="M219" s="28" t="s">
        <v>2560</v>
      </c>
      <c r="N219" s="22" t="s">
        <v>51</v>
      </c>
      <c r="O219" s="29">
        <v>59800</v>
      </c>
      <c r="P219" s="29">
        <f t="shared" si="54"/>
        <v>4186</v>
      </c>
      <c r="Q219" s="29">
        <f t="shared" si="55"/>
        <v>63986</v>
      </c>
      <c r="R219" s="61"/>
      <c r="S219" s="96"/>
      <c r="T219" s="97"/>
      <c r="U219" s="98"/>
      <c r="V219" s="99"/>
      <c r="W219" s="100"/>
      <c r="X219" s="99"/>
      <c r="Y219" s="99"/>
      <c r="Z219" s="100"/>
      <c r="AA219" s="101"/>
      <c r="AB219" s="40">
        <v>19080315</v>
      </c>
      <c r="AC219" s="41">
        <v>59800</v>
      </c>
      <c r="AD219" s="52">
        <f t="shared" si="56"/>
        <v>4186</v>
      </c>
      <c r="AE219" s="52">
        <f t="shared" si="57"/>
        <v>63986</v>
      </c>
      <c r="AF219" s="53">
        <v>43744</v>
      </c>
      <c r="AG219" s="39" t="s">
        <v>869</v>
      </c>
      <c r="AH219" s="39"/>
      <c r="AI219" s="39"/>
      <c r="AJ219" s="21" t="s">
        <v>3062</v>
      </c>
      <c r="AK219" s="985">
        <v>1</v>
      </c>
      <c r="AL219" s="45" t="s">
        <v>830</v>
      </c>
      <c r="AM219" s="46"/>
      <c r="AN219" s="46" t="s">
        <v>869</v>
      </c>
      <c r="AO219" s="47">
        <v>1</v>
      </c>
      <c r="AP219" s="48" t="s">
        <v>633</v>
      </c>
      <c r="AQ219" s="985">
        <v>2</v>
      </c>
      <c r="AR219" s="40" t="s">
        <v>2588</v>
      </c>
      <c r="AS219" s="47"/>
      <c r="AT219" s="47" t="s">
        <v>869</v>
      </c>
      <c r="AU219" s="47">
        <v>3</v>
      </c>
      <c r="AV219" s="49" t="s">
        <v>633</v>
      </c>
      <c r="AW219" s="985">
        <v>3</v>
      </c>
      <c r="AX219" s="40" t="s">
        <v>740</v>
      </c>
      <c r="AY219" s="47"/>
      <c r="AZ219" s="47" t="s">
        <v>869</v>
      </c>
      <c r="BA219" s="47">
        <v>2</v>
      </c>
      <c r="BB219" s="49" t="s">
        <v>633</v>
      </c>
      <c r="BC219" s="1023"/>
      <c r="BD219" s="54"/>
      <c r="BE219" s="1023"/>
      <c r="BF219" s="1023"/>
      <c r="BG219" s="1023"/>
      <c r="BH219" s="54"/>
      <c r="BI219" s="1023"/>
      <c r="BJ219" s="54"/>
      <c r="BK219" s="1023"/>
      <c r="BL219" s="1023"/>
      <c r="BM219" s="1023"/>
      <c r="BN219" s="54"/>
      <c r="BO219" s="1023"/>
      <c r="BP219" s="54"/>
      <c r="BQ219" s="1023"/>
      <c r="BR219" s="1023"/>
      <c r="BS219" s="1023"/>
      <c r="BT219" s="54"/>
      <c r="BU219" s="1023"/>
      <c r="BV219" s="54"/>
      <c r="BW219" s="1023"/>
      <c r="BX219" s="1023"/>
      <c r="BY219" s="1023"/>
      <c r="BZ219" s="54"/>
      <c r="CA219" s="1023"/>
      <c r="CB219" s="54"/>
      <c r="CC219" s="1023"/>
      <c r="CD219" s="1023"/>
      <c r="CE219" s="1023"/>
      <c r="CF219" s="1023"/>
    </row>
    <row r="220" spans="1:84" x14ac:dyDescent="0.5">
      <c r="A220" s="227">
        <v>19086325</v>
      </c>
      <c r="B220" s="22">
        <v>19080727</v>
      </c>
      <c r="C220" s="55"/>
      <c r="D220" s="56"/>
      <c r="E220" s="910"/>
      <c r="F220" s="57"/>
      <c r="G220" s="58"/>
      <c r="H220" s="59"/>
      <c r="I220" s="60"/>
      <c r="J220" s="269"/>
      <c r="K220" s="59"/>
      <c r="L220" s="22" t="s">
        <v>256</v>
      </c>
      <c r="M220" s="28" t="s">
        <v>2510</v>
      </c>
      <c r="N220" s="22" t="s">
        <v>51</v>
      </c>
      <c r="O220" s="29">
        <v>24100</v>
      </c>
      <c r="P220" s="29">
        <f t="shared" si="54"/>
        <v>1687</v>
      </c>
      <c r="Q220" s="29">
        <f t="shared" si="55"/>
        <v>25787</v>
      </c>
      <c r="R220" s="61"/>
      <c r="S220" s="96"/>
      <c r="T220" s="97"/>
      <c r="U220" s="98"/>
      <c r="V220" s="99"/>
      <c r="W220" s="100"/>
      <c r="X220" s="99"/>
      <c r="Y220" s="99"/>
      <c r="Z220" s="100"/>
      <c r="AA220" s="101"/>
      <c r="AB220" s="40">
        <v>19080310</v>
      </c>
      <c r="AC220" s="41">
        <v>24100</v>
      </c>
      <c r="AD220" s="63">
        <f t="shared" si="56"/>
        <v>1687</v>
      </c>
      <c r="AE220" s="64">
        <f t="shared" si="57"/>
        <v>25787</v>
      </c>
      <c r="AF220" s="53">
        <v>43728</v>
      </c>
      <c r="AG220" s="39" t="s">
        <v>869</v>
      </c>
      <c r="AH220" s="39"/>
      <c r="AI220" s="39"/>
      <c r="AJ220" s="21" t="s">
        <v>3060</v>
      </c>
      <c r="AK220" s="985">
        <v>1</v>
      </c>
      <c r="AL220" s="45" t="s">
        <v>2511</v>
      </c>
      <c r="AM220" s="46"/>
      <c r="AN220" s="46"/>
      <c r="AO220" s="47">
        <v>1</v>
      </c>
      <c r="AP220" s="48" t="s">
        <v>628</v>
      </c>
      <c r="AQ220" s="985">
        <v>2</v>
      </c>
      <c r="AR220" s="40" t="s">
        <v>2512</v>
      </c>
      <c r="AS220" s="47"/>
      <c r="AT220" s="47"/>
      <c r="AU220" s="47">
        <v>1</v>
      </c>
      <c r="AV220" s="49" t="s">
        <v>628</v>
      </c>
      <c r="AW220" s="985"/>
      <c r="AX220" s="54"/>
      <c r="AY220" s="985"/>
      <c r="AZ220" s="985"/>
      <c r="BA220" s="985"/>
      <c r="BB220" s="54"/>
      <c r="BC220" s="985"/>
      <c r="BD220" s="54"/>
      <c r="BE220" s="985"/>
      <c r="BF220" s="985"/>
      <c r="BG220" s="985"/>
      <c r="BH220" s="54"/>
      <c r="BI220" s="985"/>
      <c r="BJ220" s="54"/>
      <c r="BK220" s="985"/>
      <c r="BL220" s="985"/>
      <c r="BM220" s="985"/>
      <c r="BN220" s="54"/>
      <c r="BO220" s="985"/>
      <c r="BP220" s="54"/>
      <c r="BQ220" s="985"/>
      <c r="BR220" s="985"/>
      <c r="BS220" s="985"/>
      <c r="BT220" s="54"/>
      <c r="BU220" s="985"/>
      <c r="BV220" s="54"/>
      <c r="BW220" s="985"/>
      <c r="BX220" s="985"/>
      <c r="BY220" s="985"/>
      <c r="BZ220" s="54"/>
      <c r="CA220" s="985"/>
      <c r="CB220" s="54"/>
      <c r="CC220" s="985"/>
      <c r="CD220" s="985"/>
      <c r="CE220" s="985"/>
      <c r="CF220" s="985"/>
    </row>
    <row r="221" spans="1:84" x14ac:dyDescent="0.5">
      <c r="A221" s="259">
        <v>19086324</v>
      </c>
      <c r="B221" s="104">
        <v>19080720</v>
      </c>
      <c r="C221" s="105" t="s">
        <v>2538</v>
      </c>
      <c r="D221" s="106" t="s">
        <v>1323</v>
      </c>
      <c r="E221" s="302">
        <v>43753</v>
      </c>
      <c r="F221" s="936" t="s">
        <v>1324</v>
      </c>
      <c r="G221" s="937" t="s">
        <v>3187</v>
      </c>
      <c r="H221" s="211">
        <v>43809</v>
      </c>
      <c r="I221" s="164">
        <v>19386</v>
      </c>
      <c r="J221" s="960"/>
      <c r="K221" s="965">
        <v>43810</v>
      </c>
      <c r="L221" s="104" t="s">
        <v>2012</v>
      </c>
      <c r="M221" s="110" t="s">
        <v>2539</v>
      </c>
      <c r="N221" s="104" t="s">
        <v>1523</v>
      </c>
      <c r="O221" s="111">
        <v>897000</v>
      </c>
      <c r="P221" s="111">
        <f t="shared" si="54"/>
        <v>62790</v>
      </c>
      <c r="Q221" s="111">
        <f t="shared" si="55"/>
        <v>959790</v>
      </c>
      <c r="R221" s="212"/>
      <c r="S221" s="264" t="s">
        <v>2397</v>
      </c>
      <c r="T221" s="114">
        <f>O221</f>
        <v>897000</v>
      </c>
      <c r="U221" s="266" t="s">
        <v>1994</v>
      </c>
      <c r="V221" s="116">
        <v>186875</v>
      </c>
      <c r="W221" s="117">
        <f>T221-V221-V222</f>
        <v>674618.75</v>
      </c>
      <c r="X221" s="118">
        <v>0.37</v>
      </c>
      <c r="Y221" s="118">
        <f>W221*X221/100</f>
        <v>2496.089375</v>
      </c>
      <c r="Z221" s="119">
        <v>0.2</v>
      </c>
      <c r="AA221" s="120">
        <f>W221*Z221/100</f>
        <v>1349.2375</v>
      </c>
      <c r="AB221" s="229">
        <v>19080269</v>
      </c>
      <c r="AC221" s="230">
        <v>269100</v>
      </c>
      <c r="AD221" s="220">
        <f t="shared" si="56"/>
        <v>18837</v>
      </c>
      <c r="AE221" s="220">
        <f t="shared" si="57"/>
        <v>287937</v>
      </c>
      <c r="AF221" s="221">
        <v>43690</v>
      </c>
      <c r="AG221" s="121" t="s">
        <v>869</v>
      </c>
      <c r="AH221" s="121"/>
      <c r="AI221" s="121"/>
      <c r="AJ221" s="222" t="s">
        <v>3302</v>
      </c>
      <c r="AK221" s="128">
        <v>1</v>
      </c>
      <c r="AL221" s="129" t="s">
        <v>2540</v>
      </c>
      <c r="AM221" s="130" t="s">
        <v>869</v>
      </c>
      <c r="AN221" s="130"/>
      <c r="AO221" s="131">
        <v>2</v>
      </c>
      <c r="AP221" s="132" t="s">
        <v>636</v>
      </c>
      <c r="AQ221" s="128">
        <v>2</v>
      </c>
      <c r="AR221" s="123" t="s">
        <v>2541</v>
      </c>
      <c r="AS221" s="131" t="s">
        <v>869</v>
      </c>
      <c r="AT221" s="131"/>
      <c r="AU221" s="131">
        <v>2</v>
      </c>
      <c r="AV221" s="169" t="s">
        <v>636</v>
      </c>
      <c r="AW221" s="128">
        <v>3</v>
      </c>
      <c r="AX221" s="123" t="s">
        <v>784</v>
      </c>
      <c r="AY221" s="131"/>
      <c r="AZ221" s="131" t="s">
        <v>869</v>
      </c>
      <c r="BA221" s="131">
        <v>8</v>
      </c>
      <c r="BB221" s="169" t="s">
        <v>634</v>
      </c>
      <c r="BC221" s="128"/>
      <c r="BD221" s="133"/>
      <c r="BE221" s="128"/>
      <c r="BF221" s="128"/>
      <c r="BG221" s="128"/>
      <c r="BH221" s="133"/>
      <c r="BI221" s="128"/>
      <c r="BJ221" s="133"/>
      <c r="BK221" s="128"/>
      <c r="BL221" s="128"/>
      <c r="BM221" s="128"/>
      <c r="BN221" s="133"/>
      <c r="BO221" s="128"/>
      <c r="BP221" s="133"/>
      <c r="BQ221" s="128"/>
      <c r="BR221" s="128"/>
      <c r="BS221" s="128"/>
      <c r="BT221" s="133"/>
      <c r="BU221" s="128"/>
      <c r="BV221" s="133"/>
      <c r="BW221" s="128"/>
      <c r="BX221" s="128"/>
      <c r="BY221" s="128"/>
      <c r="BZ221" s="133"/>
      <c r="CA221" s="128"/>
      <c r="CB221" s="133"/>
      <c r="CC221" s="128"/>
      <c r="CD221" s="128"/>
      <c r="CE221" s="128"/>
      <c r="CF221" s="128"/>
    </row>
    <row r="222" spans="1:84" x14ac:dyDescent="0.5">
      <c r="A222" s="262"/>
      <c r="B222" s="135"/>
      <c r="C222" s="136"/>
      <c r="D222" s="137"/>
      <c r="E222" s="906"/>
      <c r="F222" s="952"/>
      <c r="G222" s="953"/>
      <c r="H222" s="170">
        <v>43809</v>
      </c>
      <c r="I222" s="251">
        <v>19387</v>
      </c>
      <c r="J222" s="1082"/>
      <c r="K222" s="974"/>
      <c r="L222" s="135"/>
      <c r="M222" s="141"/>
      <c r="N222" s="135"/>
      <c r="O222" s="142"/>
      <c r="P222" s="142"/>
      <c r="Q222" s="142"/>
      <c r="R222" s="213"/>
      <c r="S222" s="144" t="s">
        <v>1310</v>
      </c>
      <c r="T222" s="145" t="s">
        <v>2398</v>
      </c>
      <c r="U222" s="146" t="s">
        <v>1994</v>
      </c>
      <c r="V222" s="147">
        <v>35506.25</v>
      </c>
      <c r="W222" s="148"/>
      <c r="X222" s="149"/>
      <c r="Y222" s="149"/>
      <c r="Z222" s="150"/>
      <c r="AA222" s="151"/>
      <c r="AB222" s="1174" t="s">
        <v>2555</v>
      </c>
      <c r="AC222" s="1175">
        <v>448500</v>
      </c>
      <c r="AD222" s="1176">
        <f t="shared" si="56"/>
        <v>31395</v>
      </c>
      <c r="AE222" s="1176">
        <f t="shared" si="57"/>
        <v>479895</v>
      </c>
      <c r="AF222" s="1177">
        <v>43691</v>
      </c>
      <c r="AG222" s="1178"/>
      <c r="AH222" s="1178"/>
      <c r="AI222" s="1178" t="s">
        <v>869</v>
      </c>
      <c r="AJ222" s="1179" t="s">
        <v>2556</v>
      </c>
      <c r="AK222" s="158"/>
      <c r="AL222" s="159"/>
      <c r="AM222" s="160"/>
      <c r="AN222" s="160"/>
      <c r="AO222" s="161"/>
      <c r="AP222" s="162"/>
      <c r="AQ222" s="158"/>
      <c r="AR222" s="154"/>
      <c r="AS222" s="161"/>
      <c r="AT222" s="161"/>
      <c r="AU222" s="161"/>
      <c r="AV222" s="177"/>
      <c r="AW222" s="158"/>
      <c r="AX222" s="154"/>
      <c r="AY222" s="161"/>
      <c r="AZ222" s="161"/>
      <c r="BA222" s="161"/>
      <c r="BB222" s="177"/>
      <c r="BC222" s="158"/>
      <c r="BD222" s="163"/>
      <c r="BE222" s="158"/>
      <c r="BF222" s="158"/>
      <c r="BG222" s="158"/>
      <c r="BH222" s="163"/>
      <c r="BI222" s="158"/>
      <c r="BJ222" s="163"/>
      <c r="BK222" s="158"/>
      <c r="BL222" s="158"/>
      <c r="BM222" s="158"/>
      <c r="BN222" s="163"/>
      <c r="BO222" s="158"/>
      <c r="BP222" s="163"/>
      <c r="BQ222" s="158"/>
      <c r="BR222" s="158"/>
      <c r="BS222" s="158"/>
      <c r="BT222" s="163"/>
      <c r="BU222" s="158"/>
      <c r="BV222" s="163"/>
      <c r="BW222" s="158"/>
      <c r="BX222" s="158"/>
      <c r="BY222" s="158"/>
      <c r="BZ222" s="163"/>
      <c r="CA222" s="158"/>
      <c r="CB222" s="163"/>
      <c r="CC222" s="158"/>
      <c r="CD222" s="158"/>
      <c r="CE222" s="158"/>
      <c r="CF222" s="158"/>
    </row>
    <row r="223" spans="1:84" x14ac:dyDescent="0.5">
      <c r="A223" s="262"/>
      <c r="B223" s="135"/>
      <c r="C223" s="136"/>
      <c r="D223" s="137"/>
      <c r="E223" s="906"/>
      <c r="F223" s="948" t="s">
        <v>1324</v>
      </c>
      <c r="G223" s="949" t="s">
        <v>3203</v>
      </c>
      <c r="H223" s="170">
        <v>43811</v>
      </c>
      <c r="I223" s="251">
        <v>19393</v>
      </c>
      <c r="J223" s="1173"/>
      <c r="K223" s="969">
        <v>43812</v>
      </c>
      <c r="L223" s="135"/>
      <c r="M223" s="141"/>
      <c r="N223" s="135"/>
      <c r="O223" s="142"/>
      <c r="P223" s="142"/>
      <c r="Q223" s="142"/>
      <c r="R223" s="213"/>
      <c r="S223" s="144"/>
      <c r="T223" s="145"/>
      <c r="U223" s="146"/>
      <c r="V223" s="147"/>
      <c r="W223" s="148"/>
      <c r="X223" s="149"/>
      <c r="Y223" s="149"/>
      <c r="Z223" s="150"/>
      <c r="AA223" s="151"/>
      <c r="AB223" s="857">
        <v>19120534</v>
      </c>
      <c r="AC223" s="858">
        <v>627900</v>
      </c>
      <c r="AD223" s="915">
        <f t="shared" si="56"/>
        <v>43953</v>
      </c>
      <c r="AE223" s="915">
        <f t="shared" si="57"/>
        <v>671853</v>
      </c>
      <c r="AF223" s="860">
        <v>43824</v>
      </c>
      <c r="AG223" s="861"/>
      <c r="AH223" s="861"/>
      <c r="AI223" s="861" t="s">
        <v>869</v>
      </c>
      <c r="AJ223" s="308"/>
      <c r="AK223" s="158"/>
      <c r="AL223" s="159"/>
      <c r="AM223" s="160"/>
      <c r="AN223" s="160"/>
      <c r="AO223" s="161"/>
      <c r="AP223" s="162"/>
      <c r="AQ223" s="158"/>
      <c r="AR223" s="154"/>
      <c r="AS223" s="161"/>
      <c r="AT223" s="161"/>
      <c r="AU223" s="161"/>
      <c r="AV223" s="177"/>
      <c r="AW223" s="158"/>
      <c r="AX223" s="154"/>
      <c r="AY223" s="161"/>
      <c r="AZ223" s="161"/>
      <c r="BA223" s="161"/>
      <c r="BB223" s="177"/>
      <c r="BC223" s="158"/>
      <c r="BD223" s="163"/>
      <c r="BE223" s="158"/>
      <c r="BF223" s="158"/>
      <c r="BG223" s="158"/>
      <c r="BH223" s="163"/>
      <c r="BI223" s="158"/>
      <c r="BJ223" s="163"/>
      <c r="BK223" s="158"/>
      <c r="BL223" s="158"/>
      <c r="BM223" s="158"/>
      <c r="BN223" s="163"/>
      <c r="BO223" s="158"/>
      <c r="BP223" s="163"/>
      <c r="BQ223" s="158"/>
      <c r="BR223" s="158"/>
      <c r="BS223" s="158"/>
      <c r="BT223" s="163"/>
      <c r="BU223" s="158"/>
      <c r="BV223" s="163"/>
      <c r="BW223" s="158"/>
      <c r="BX223" s="158"/>
      <c r="BY223" s="158"/>
      <c r="BZ223" s="163"/>
      <c r="CA223" s="158"/>
      <c r="CB223" s="163"/>
      <c r="CC223" s="158"/>
      <c r="CD223" s="158"/>
      <c r="CE223" s="158"/>
      <c r="CF223" s="158"/>
    </row>
    <row r="224" spans="1:84" x14ac:dyDescent="0.5">
      <c r="A224" s="262"/>
      <c r="B224" s="135"/>
      <c r="C224" s="136"/>
      <c r="D224" s="137"/>
      <c r="E224" s="906"/>
      <c r="F224" s="940" t="s">
        <v>3368</v>
      </c>
      <c r="G224" s="941" t="s">
        <v>1440</v>
      </c>
      <c r="H224" s="170">
        <v>43858</v>
      </c>
      <c r="I224" s="251">
        <v>63027</v>
      </c>
      <c r="J224" s="963" t="s">
        <v>869</v>
      </c>
      <c r="K224" s="964">
        <v>43860</v>
      </c>
      <c r="L224" s="135"/>
      <c r="M224" s="141"/>
      <c r="N224" s="135"/>
      <c r="O224" s="142"/>
      <c r="P224" s="142"/>
      <c r="Q224" s="142"/>
      <c r="R224" s="213"/>
      <c r="S224" s="144"/>
      <c r="T224" s="145"/>
      <c r="U224" s="146"/>
      <c r="V224" s="147"/>
      <c r="W224" s="148"/>
      <c r="X224" s="149"/>
      <c r="Y224" s="149"/>
      <c r="Z224" s="150"/>
      <c r="AA224" s="151"/>
      <c r="AB224" s="154" t="s">
        <v>3383</v>
      </c>
      <c r="AC224" s="155">
        <v>627900</v>
      </c>
      <c r="AD224" s="156">
        <f>AC224*7/100</f>
        <v>43953</v>
      </c>
      <c r="AE224" s="156">
        <f>AD224+AC224</f>
        <v>671853</v>
      </c>
      <c r="AF224" s="157">
        <v>43851</v>
      </c>
      <c r="AG224" s="152" t="s">
        <v>869</v>
      </c>
      <c r="AH224" s="152"/>
      <c r="AI224" s="152"/>
      <c r="AJ224" s="134" t="s">
        <v>3454</v>
      </c>
      <c r="AK224" s="158"/>
      <c r="AL224" s="159"/>
      <c r="AM224" s="160"/>
      <c r="AN224" s="160"/>
      <c r="AO224" s="161"/>
      <c r="AP224" s="162"/>
      <c r="AQ224" s="158"/>
      <c r="AR224" s="154"/>
      <c r="AS224" s="161"/>
      <c r="AT224" s="161"/>
      <c r="AU224" s="161"/>
      <c r="AV224" s="177"/>
      <c r="AW224" s="158"/>
      <c r="AX224" s="154"/>
      <c r="AY224" s="161"/>
      <c r="AZ224" s="161"/>
      <c r="BA224" s="161"/>
      <c r="BB224" s="177"/>
      <c r="BC224" s="158"/>
      <c r="BD224" s="163"/>
      <c r="BE224" s="158"/>
      <c r="BF224" s="158"/>
      <c r="BG224" s="158"/>
      <c r="BH224" s="163"/>
      <c r="BI224" s="158"/>
      <c r="BJ224" s="163"/>
      <c r="BK224" s="158"/>
      <c r="BL224" s="158"/>
      <c r="BM224" s="158"/>
      <c r="BN224" s="163"/>
      <c r="BO224" s="158"/>
      <c r="BP224" s="163"/>
      <c r="BQ224" s="158"/>
      <c r="BR224" s="158"/>
      <c r="BS224" s="158"/>
      <c r="BT224" s="163"/>
      <c r="BU224" s="158"/>
      <c r="BV224" s="163"/>
      <c r="BW224" s="158"/>
      <c r="BX224" s="158"/>
      <c r="BY224" s="158"/>
      <c r="BZ224" s="163"/>
      <c r="CA224" s="158"/>
      <c r="CB224" s="163"/>
      <c r="CC224" s="158"/>
      <c r="CD224" s="158"/>
      <c r="CE224" s="158"/>
      <c r="CF224" s="158"/>
    </row>
    <row r="225" spans="1:84" x14ac:dyDescent="0.5">
      <c r="A225" s="262"/>
      <c r="B225" s="135"/>
      <c r="C225" s="136"/>
      <c r="D225" s="137"/>
      <c r="E225" s="906"/>
      <c r="F225" s="940"/>
      <c r="G225" s="941"/>
      <c r="H225" s="170">
        <v>43858</v>
      </c>
      <c r="I225" s="251">
        <v>63028</v>
      </c>
      <c r="J225" s="963"/>
      <c r="K225" s="964"/>
      <c r="L225" s="135"/>
      <c r="M225" s="141"/>
      <c r="N225" s="135"/>
      <c r="O225" s="142"/>
      <c r="P225" s="142"/>
      <c r="Q225" s="142"/>
      <c r="R225" s="213"/>
      <c r="S225" s="144"/>
      <c r="T225" s="145"/>
      <c r="U225" s="146"/>
      <c r="V225" s="147"/>
      <c r="W225" s="148"/>
      <c r="X225" s="149"/>
      <c r="Y225" s="149"/>
      <c r="Z225" s="150"/>
      <c r="AA225" s="151"/>
      <c r="AB225" s="154"/>
      <c r="AC225" s="155"/>
      <c r="AD225" s="156"/>
      <c r="AE225" s="156"/>
      <c r="AF225" s="157"/>
      <c r="AG225" s="152"/>
      <c r="AH225" s="152"/>
      <c r="AI225" s="152"/>
      <c r="AJ225" s="134"/>
      <c r="AK225" s="158"/>
      <c r="AL225" s="159"/>
      <c r="AM225" s="160"/>
      <c r="AN225" s="160"/>
      <c r="AO225" s="161"/>
      <c r="AP225" s="162"/>
      <c r="AQ225" s="158"/>
      <c r="AR225" s="154"/>
      <c r="AS225" s="161"/>
      <c r="AT225" s="161"/>
      <c r="AU225" s="161"/>
      <c r="AV225" s="177"/>
      <c r="AW225" s="158"/>
      <c r="AX225" s="154"/>
      <c r="AY225" s="161"/>
      <c r="AZ225" s="161"/>
      <c r="BA225" s="161"/>
      <c r="BB225" s="177"/>
      <c r="BC225" s="158"/>
      <c r="BD225" s="163"/>
      <c r="BE225" s="158"/>
      <c r="BF225" s="158"/>
      <c r="BG225" s="158"/>
      <c r="BH225" s="163"/>
      <c r="BI225" s="158"/>
      <c r="BJ225" s="163"/>
      <c r="BK225" s="158"/>
      <c r="BL225" s="158"/>
      <c r="BM225" s="158"/>
      <c r="BN225" s="163"/>
      <c r="BO225" s="158"/>
      <c r="BP225" s="163"/>
      <c r="BQ225" s="158"/>
      <c r="BR225" s="158"/>
      <c r="BS225" s="158"/>
      <c r="BT225" s="163"/>
      <c r="BU225" s="158"/>
      <c r="BV225" s="163"/>
      <c r="BW225" s="158"/>
      <c r="BX225" s="158"/>
      <c r="BY225" s="158"/>
      <c r="BZ225" s="163"/>
      <c r="CA225" s="158"/>
      <c r="CB225" s="163"/>
      <c r="CC225" s="158"/>
      <c r="CD225" s="158"/>
      <c r="CE225" s="158"/>
      <c r="CF225" s="158"/>
    </row>
    <row r="226" spans="1:84" x14ac:dyDescent="0.5">
      <c r="A226" s="262"/>
      <c r="B226" s="135"/>
      <c r="C226" s="136"/>
      <c r="D226" s="137"/>
      <c r="E226" s="906"/>
      <c r="F226" s="940"/>
      <c r="G226" s="941"/>
      <c r="H226" s="170">
        <v>43858</v>
      </c>
      <c r="I226" s="251">
        <v>63029</v>
      </c>
      <c r="J226" s="963"/>
      <c r="K226" s="964"/>
      <c r="L226" s="135"/>
      <c r="M226" s="141"/>
      <c r="N226" s="135"/>
      <c r="O226" s="142"/>
      <c r="P226" s="142"/>
      <c r="Q226" s="142"/>
      <c r="R226" s="213"/>
      <c r="S226" s="144"/>
      <c r="T226" s="145"/>
      <c r="U226" s="146"/>
      <c r="V226" s="147"/>
      <c r="W226" s="148"/>
      <c r="X226" s="149"/>
      <c r="Y226" s="149"/>
      <c r="Z226" s="150"/>
      <c r="AA226" s="151"/>
      <c r="AB226" s="154"/>
      <c r="AC226" s="155"/>
      <c r="AD226" s="156"/>
      <c r="AE226" s="156"/>
      <c r="AF226" s="157"/>
      <c r="AG226" s="152"/>
      <c r="AH226" s="152"/>
      <c r="AI226" s="152"/>
      <c r="AJ226" s="134"/>
      <c r="AK226" s="158"/>
      <c r="AL226" s="159"/>
      <c r="AM226" s="160"/>
      <c r="AN226" s="160"/>
      <c r="AO226" s="161"/>
      <c r="AP226" s="162"/>
      <c r="AQ226" s="158"/>
      <c r="AR226" s="154"/>
      <c r="AS226" s="161"/>
      <c r="AT226" s="161"/>
      <c r="AU226" s="161"/>
      <c r="AV226" s="177"/>
      <c r="AW226" s="158"/>
      <c r="AX226" s="154"/>
      <c r="AY226" s="161"/>
      <c r="AZ226" s="161"/>
      <c r="BA226" s="161"/>
      <c r="BB226" s="177"/>
      <c r="BC226" s="158"/>
      <c r="BD226" s="163"/>
      <c r="BE226" s="158"/>
      <c r="BF226" s="158"/>
      <c r="BG226" s="158"/>
      <c r="BH226" s="163"/>
      <c r="BI226" s="158"/>
      <c r="BJ226" s="163"/>
      <c r="BK226" s="158"/>
      <c r="BL226" s="158"/>
      <c r="BM226" s="158"/>
      <c r="BN226" s="163"/>
      <c r="BO226" s="158"/>
      <c r="BP226" s="163"/>
      <c r="BQ226" s="158"/>
      <c r="BR226" s="158"/>
      <c r="BS226" s="158"/>
      <c r="BT226" s="163"/>
      <c r="BU226" s="158"/>
      <c r="BV226" s="163"/>
      <c r="BW226" s="158"/>
      <c r="BX226" s="158"/>
      <c r="BY226" s="158"/>
      <c r="BZ226" s="163"/>
      <c r="CA226" s="158"/>
      <c r="CB226" s="163"/>
      <c r="CC226" s="158"/>
      <c r="CD226" s="158"/>
      <c r="CE226" s="158"/>
      <c r="CF226" s="158"/>
    </row>
    <row r="227" spans="1:84" x14ac:dyDescent="0.5">
      <c r="A227" s="262"/>
      <c r="B227" s="135"/>
      <c r="C227" s="136"/>
      <c r="D227" s="137"/>
      <c r="E227" s="906"/>
      <c r="F227" s="940"/>
      <c r="G227" s="941"/>
      <c r="H227" s="179">
        <v>43858</v>
      </c>
      <c r="I227" s="140">
        <v>63030</v>
      </c>
      <c r="J227" s="963"/>
      <c r="K227" s="964"/>
      <c r="L227" s="135"/>
      <c r="M227" s="141"/>
      <c r="N227" s="135"/>
      <c r="O227" s="142"/>
      <c r="P227" s="142"/>
      <c r="Q227" s="142"/>
      <c r="R227" s="213"/>
      <c r="S227" s="144"/>
      <c r="T227" s="145"/>
      <c r="U227" s="146"/>
      <c r="V227" s="147"/>
      <c r="W227" s="148"/>
      <c r="X227" s="149"/>
      <c r="Y227" s="149"/>
      <c r="Z227" s="150"/>
      <c r="AA227" s="151"/>
      <c r="AB227" s="154"/>
      <c r="AC227" s="155"/>
      <c r="AD227" s="156"/>
      <c r="AE227" s="156"/>
      <c r="AF227" s="157"/>
      <c r="AG227" s="152"/>
      <c r="AH227" s="152"/>
      <c r="AI227" s="152"/>
      <c r="AJ227" s="134"/>
      <c r="AK227" s="158"/>
      <c r="AL227" s="159"/>
      <c r="AM227" s="160"/>
      <c r="AN227" s="160"/>
      <c r="AO227" s="161"/>
      <c r="AP227" s="162"/>
      <c r="AQ227" s="158"/>
      <c r="AR227" s="154"/>
      <c r="AS227" s="161"/>
      <c r="AT227" s="161"/>
      <c r="AU227" s="161"/>
      <c r="AV227" s="177"/>
      <c r="AW227" s="158"/>
      <c r="AX227" s="154"/>
      <c r="AY227" s="161"/>
      <c r="AZ227" s="161"/>
      <c r="BA227" s="161"/>
      <c r="BB227" s="177"/>
      <c r="BC227" s="158"/>
      <c r="BD227" s="163"/>
      <c r="BE227" s="158"/>
      <c r="BF227" s="158"/>
      <c r="BG227" s="158"/>
      <c r="BH227" s="163"/>
      <c r="BI227" s="158"/>
      <c r="BJ227" s="163"/>
      <c r="BK227" s="158"/>
      <c r="BL227" s="158"/>
      <c r="BM227" s="158"/>
      <c r="BN227" s="163"/>
      <c r="BO227" s="158"/>
      <c r="BP227" s="163"/>
      <c r="BQ227" s="158"/>
      <c r="BR227" s="158"/>
      <c r="BS227" s="158"/>
      <c r="BT227" s="163"/>
      <c r="BU227" s="158"/>
      <c r="BV227" s="163"/>
      <c r="BW227" s="158"/>
      <c r="BX227" s="158"/>
      <c r="BY227" s="158"/>
      <c r="BZ227" s="163"/>
      <c r="CA227" s="158"/>
      <c r="CB227" s="163"/>
      <c r="CC227" s="158"/>
      <c r="CD227" s="158"/>
      <c r="CE227" s="158"/>
      <c r="CF227" s="158"/>
    </row>
    <row r="228" spans="1:84" x14ac:dyDescent="0.5">
      <c r="A228" s="259">
        <v>19086323</v>
      </c>
      <c r="B228" s="104">
        <v>19050718</v>
      </c>
      <c r="C228" s="105" t="s">
        <v>2527</v>
      </c>
      <c r="D228" s="106" t="s">
        <v>2528</v>
      </c>
      <c r="E228" s="302">
        <v>43707</v>
      </c>
      <c r="F228" s="946" t="s">
        <v>1324</v>
      </c>
      <c r="G228" s="947" t="s">
        <v>2648</v>
      </c>
      <c r="H228" s="122">
        <v>43724</v>
      </c>
      <c r="I228" s="109">
        <v>19287</v>
      </c>
      <c r="J228" s="960" t="s">
        <v>869</v>
      </c>
      <c r="K228" s="962">
        <v>43725</v>
      </c>
      <c r="L228" s="104" t="s">
        <v>9</v>
      </c>
      <c r="M228" s="110" t="s">
        <v>2529</v>
      </c>
      <c r="N228" s="104" t="s">
        <v>50</v>
      </c>
      <c r="O228" s="111">
        <v>270000</v>
      </c>
      <c r="P228" s="111">
        <f>O228*7/100</f>
        <v>18900</v>
      </c>
      <c r="Q228" s="111">
        <f>O228+P228</f>
        <v>288900</v>
      </c>
      <c r="R228" s="311">
        <v>11200</v>
      </c>
      <c r="S228" s="165"/>
      <c r="T228" s="166"/>
      <c r="U228" s="167"/>
      <c r="V228" s="168"/>
      <c r="W228" s="117">
        <f>O228-R228</f>
        <v>258800</v>
      </c>
      <c r="X228" s="118">
        <v>0.44</v>
      </c>
      <c r="Y228" s="118">
        <f>W228*X228/100</f>
        <v>1138.72</v>
      </c>
      <c r="Z228" s="119">
        <v>0.2</v>
      </c>
      <c r="AA228" s="120">
        <f>W228*Z228/100</f>
        <v>517.6</v>
      </c>
      <c r="AB228" s="229">
        <v>19110449</v>
      </c>
      <c r="AC228" s="230">
        <v>262311.23</v>
      </c>
      <c r="AD228" s="233">
        <f t="shared" si="56"/>
        <v>18361.786099999998</v>
      </c>
      <c r="AE228" s="233">
        <f t="shared" si="57"/>
        <v>280673.01610000001</v>
      </c>
      <c r="AF228" s="221">
        <v>43803</v>
      </c>
      <c r="AG228" s="121" t="s">
        <v>869</v>
      </c>
      <c r="AH228" s="121"/>
      <c r="AI228" s="121"/>
      <c r="AJ228" s="222" t="s">
        <v>3493</v>
      </c>
      <c r="AK228" s="128">
        <v>1</v>
      </c>
      <c r="AL228" s="129" t="s">
        <v>650</v>
      </c>
      <c r="AM228" s="130"/>
      <c r="AN228" s="130" t="s">
        <v>869</v>
      </c>
      <c r="AO228" s="131">
        <v>1</v>
      </c>
      <c r="AP228" s="132" t="s">
        <v>634</v>
      </c>
      <c r="AQ228" s="128">
        <v>2</v>
      </c>
      <c r="AR228" s="123" t="s">
        <v>2530</v>
      </c>
      <c r="AS228" s="131"/>
      <c r="AT228" s="131" t="s">
        <v>869</v>
      </c>
      <c r="AU228" s="131">
        <v>1</v>
      </c>
      <c r="AV228" s="169" t="s">
        <v>634</v>
      </c>
      <c r="AW228" s="128"/>
      <c r="AX228" s="133"/>
      <c r="AY228" s="128"/>
      <c r="AZ228" s="128"/>
      <c r="BA228" s="128"/>
      <c r="BB228" s="133"/>
      <c r="BC228" s="128"/>
      <c r="BD228" s="133"/>
      <c r="BE228" s="128"/>
      <c r="BF228" s="128"/>
      <c r="BG228" s="128"/>
      <c r="BH228" s="133"/>
      <c r="BI228" s="128"/>
      <c r="BJ228" s="133"/>
      <c r="BK228" s="128"/>
      <c r="BL228" s="128"/>
      <c r="BM228" s="128"/>
      <c r="BN228" s="133"/>
      <c r="BO228" s="128"/>
      <c r="BP228" s="133"/>
      <c r="BQ228" s="128"/>
      <c r="BR228" s="128"/>
      <c r="BS228" s="128"/>
      <c r="BT228" s="133"/>
      <c r="BU228" s="128"/>
      <c r="BV228" s="133"/>
      <c r="BW228" s="128"/>
      <c r="BX228" s="128"/>
      <c r="BY228" s="128"/>
      <c r="BZ228" s="133"/>
      <c r="CA228" s="128"/>
      <c r="CB228" s="133"/>
      <c r="CC228" s="128"/>
      <c r="CD228" s="128"/>
      <c r="CE228" s="128"/>
      <c r="CF228" s="128"/>
    </row>
    <row r="229" spans="1:84" x14ac:dyDescent="0.5">
      <c r="A229" s="268"/>
      <c r="B229" s="181"/>
      <c r="C229" s="182"/>
      <c r="D229" s="183"/>
      <c r="E229" s="749"/>
      <c r="F229" s="938" t="s">
        <v>1324</v>
      </c>
      <c r="G229" s="939" t="s">
        <v>2968</v>
      </c>
      <c r="H229" s="186">
        <v>43770</v>
      </c>
      <c r="I229" s="187">
        <v>19350</v>
      </c>
      <c r="J229" s="961"/>
      <c r="K229" s="966">
        <v>43773</v>
      </c>
      <c r="L229" s="181"/>
      <c r="M229" s="188"/>
      <c r="N229" s="181"/>
      <c r="O229" s="189"/>
      <c r="P229" s="189"/>
      <c r="Q229" s="189"/>
      <c r="R229" s="190"/>
      <c r="S229" s="191"/>
      <c r="T229" s="192"/>
      <c r="U229" s="193"/>
      <c r="V229" s="194"/>
      <c r="W229" s="195"/>
      <c r="X229" s="196"/>
      <c r="Y229" s="196"/>
      <c r="Z229" s="197"/>
      <c r="AA229" s="198"/>
      <c r="AB229" s="200">
        <v>19100443</v>
      </c>
      <c r="AC229" s="201">
        <v>7688.77</v>
      </c>
      <c r="AD229" s="237">
        <f t="shared" si="56"/>
        <v>538.21389999999997</v>
      </c>
      <c r="AE229" s="237">
        <f t="shared" si="57"/>
        <v>8226.9839000000011</v>
      </c>
      <c r="AF229" s="203">
        <v>43798</v>
      </c>
      <c r="AG229" s="199" t="s">
        <v>869</v>
      </c>
      <c r="AH229" s="199"/>
      <c r="AI229" s="199"/>
      <c r="AJ229" s="180" t="s">
        <v>3493</v>
      </c>
      <c r="AK229" s="204"/>
      <c r="AL229" s="205"/>
      <c r="AM229" s="206"/>
      <c r="AN229" s="206"/>
      <c r="AO229" s="207"/>
      <c r="AP229" s="208"/>
      <c r="AQ229" s="204"/>
      <c r="AR229" s="200"/>
      <c r="AS229" s="207"/>
      <c r="AT229" s="207"/>
      <c r="AU229" s="207"/>
      <c r="AV229" s="209"/>
      <c r="AW229" s="204"/>
      <c r="AX229" s="210"/>
      <c r="AY229" s="204"/>
      <c r="AZ229" s="204"/>
      <c r="BA229" s="204"/>
      <c r="BB229" s="210"/>
      <c r="BC229" s="204"/>
      <c r="BD229" s="210"/>
      <c r="BE229" s="204"/>
      <c r="BF229" s="204"/>
      <c r="BG229" s="204"/>
      <c r="BH229" s="210"/>
      <c r="BI229" s="204"/>
      <c r="BJ229" s="210"/>
      <c r="BK229" s="204"/>
      <c r="BL229" s="204"/>
      <c r="BM229" s="204"/>
      <c r="BN229" s="210"/>
      <c r="BO229" s="204"/>
      <c r="BP229" s="210"/>
      <c r="BQ229" s="204"/>
      <c r="BR229" s="204"/>
      <c r="BS229" s="204"/>
      <c r="BT229" s="210"/>
      <c r="BU229" s="204"/>
      <c r="BV229" s="210"/>
      <c r="BW229" s="204"/>
      <c r="BX229" s="204"/>
      <c r="BY229" s="204"/>
      <c r="BZ229" s="210"/>
      <c r="CA229" s="204"/>
      <c r="CB229" s="210"/>
      <c r="CC229" s="204"/>
      <c r="CD229" s="204"/>
      <c r="CE229" s="204"/>
      <c r="CF229" s="204"/>
    </row>
    <row r="230" spans="1:84" x14ac:dyDescent="0.5">
      <c r="A230" s="227">
        <v>19086322</v>
      </c>
      <c r="B230" s="22">
        <v>19080716</v>
      </c>
      <c r="C230" s="55"/>
      <c r="D230" s="56"/>
      <c r="E230" s="910"/>
      <c r="F230" s="57"/>
      <c r="G230" s="58"/>
      <c r="H230" s="59"/>
      <c r="I230" s="60"/>
      <c r="J230" s="269"/>
      <c r="K230" s="59"/>
      <c r="L230" s="22" t="s">
        <v>2072</v>
      </c>
      <c r="M230" s="28" t="s">
        <v>2548</v>
      </c>
      <c r="N230" s="22" t="s">
        <v>51</v>
      </c>
      <c r="O230" s="29">
        <v>47700</v>
      </c>
      <c r="P230" s="29">
        <f>O230*7/100</f>
        <v>3339</v>
      </c>
      <c r="Q230" s="29">
        <f>O230+P230</f>
        <v>51039</v>
      </c>
      <c r="R230" s="61"/>
      <c r="S230" s="96"/>
      <c r="T230" s="97"/>
      <c r="U230" s="98"/>
      <c r="V230" s="99"/>
      <c r="W230" s="100"/>
      <c r="X230" s="99"/>
      <c r="Y230" s="99"/>
      <c r="Z230" s="100"/>
      <c r="AA230" s="101"/>
      <c r="AB230" s="40">
        <v>19080272</v>
      </c>
      <c r="AC230" s="41">
        <v>47700</v>
      </c>
      <c r="AD230" s="52">
        <f>AC230*7/100</f>
        <v>3339</v>
      </c>
      <c r="AE230" s="52">
        <f>AC230+AD230</f>
        <v>51039</v>
      </c>
      <c r="AF230" s="53">
        <v>43690</v>
      </c>
      <c r="AG230" s="39" t="s">
        <v>869</v>
      </c>
      <c r="AH230" s="39"/>
      <c r="AI230" s="39"/>
      <c r="AJ230" s="21" t="s">
        <v>3074</v>
      </c>
      <c r="AK230" s="985">
        <v>1</v>
      </c>
      <c r="AL230" s="45" t="s">
        <v>2549</v>
      </c>
      <c r="AM230" s="46"/>
      <c r="AN230" s="46"/>
      <c r="AO230" s="47">
        <v>1</v>
      </c>
      <c r="AP230" s="48" t="s">
        <v>628</v>
      </c>
      <c r="AQ230" s="992"/>
      <c r="AR230" s="54"/>
      <c r="AS230" s="992"/>
      <c r="AT230" s="992"/>
      <c r="AU230" s="992"/>
      <c r="AV230" s="54"/>
      <c r="AW230" s="992"/>
      <c r="AX230" s="54"/>
      <c r="AY230" s="992"/>
      <c r="AZ230" s="992"/>
      <c r="BA230" s="992"/>
      <c r="BB230" s="54"/>
      <c r="BC230" s="992"/>
      <c r="BD230" s="54"/>
      <c r="BE230" s="992"/>
      <c r="BF230" s="992"/>
      <c r="BG230" s="992"/>
      <c r="BH230" s="54"/>
      <c r="BI230" s="992"/>
      <c r="BJ230" s="54"/>
      <c r="BK230" s="992"/>
      <c r="BL230" s="992"/>
      <c r="BM230" s="992"/>
      <c r="BN230" s="54"/>
      <c r="BO230" s="992"/>
      <c r="BP230" s="54"/>
      <c r="BQ230" s="992"/>
      <c r="BR230" s="992"/>
      <c r="BS230" s="992"/>
      <c r="BT230" s="54"/>
      <c r="BU230" s="992"/>
      <c r="BV230" s="54"/>
      <c r="BW230" s="992"/>
      <c r="BX230" s="992"/>
      <c r="BY230" s="992"/>
      <c r="BZ230" s="54"/>
      <c r="CA230" s="992"/>
      <c r="CB230" s="54"/>
      <c r="CC230" s="992"/>
      <c r="CD230" s="992"/>
      <c r="CE230" s="992"/>
      <c r="CF230" s="992"/>
    </row>
    <row r="231" spans="1:84" x14ac:dyDescent="0.5">
      <c r="A231" s="227">
        <v>19086321</v>
      </c>
      <c r="B231" s="22">
        <v>19080707</v>
      </c>
      <c r="C231" s="55"/>
      <c r="D231" s="56"/>
      <c r="E231" s="910"/>
      <c r="F231" s="57"/>
      <c r="G231" s="58"/>
      <c r="H231" s="59"/>
      <c r="I231" s="60"/>
      <c r="J231" s="269"/>
      <c r="K231" s="59"/>
      <c r="L231" s="22" t="s">
        <v>1534</v>
      </c>
      <c r="M231" s="28" t="s">
        <v>2513</v>
      </c>
      <c r="N231" s="22" t="s">
        <v>51</v>
      </c>
      <c r="O231" s="29">
        <v>7700</v>
      </c>
      <c r="P231" s="29">
        <f t="shared" ref="P231:P265" si="58">O231*7/100</f>
        <v>539</v>
      </c>
      <c r="Q231" s="29">
        <f t="shared" ref="Q231:Q265" si="59">O231+P231</f>
        <v>8239</v>
      </c>
      <c r="R231" s="61"/>
      <c r="S231" s="96"/>
      <c r="T231" s="97"/>
      <c r="U231" s="98"/>
      <c r="V231" s="99"/>
      <c r="W231" s="100"/>
      <c r="X231" s="99"/>
      <c r="Y231" s="99"/>
      <c r="Z231" s="100"/>
      <c r="AA231" s="101"/>
      <c r="AB231" s="40">
        <v>19080287</v>
      </c>
      <c r="AC231" s="41">
        <v>7700</v>
      </c>
      <c r="AD231" s="52">
        <f>AC231*7/100</f>
        <v>539</v>
      </c>
      <c r="AE231" s="52">
        <f>AC231+AD231</f>
        <v>8239</v>
      </c>
      <c r="AF231" s="53">
        <v>43721</v>
      </c>
      <c r="AG231" s="39" t="s">
        <v>869</v>
      </c>
      <c r="AH231" s="39"/>
      <c r="AI231" s="39"/>
      <c r="AJ231" s="21" t="s">
        <v>3052</v>
      </c>
      <c r="AK231" s="985">
        <v>1</v>
      </c>
      <c r="AL231" s="45" t="s">
        <v>2514</v>
      </c>
      <c r="AM231" s="46"/>
      <c r="AN231" s="46"/>
      <c r="AO231" s="47">
        <v>3</v>
      </c>
      <c r="AP231" s="48" t="s">
        <v>628</v>
      </c>
      <c r="AQ231" s="985">
        <v>2</v>
      </c>
      <c r="AR231" s="40" t="s">
        <v>2515</v>
      </c>
      <c r="AS231" s="47"/>
      <c r="AT231" s="47"/>
      <c r="AU231" s="47">
        <v>1</v>
      </c>
      <c r="AV231" s="49" t="s">
        <v>628</v>
      </c>
      <c r="AW231" s="985"/>
      <c r="AX231" s="54"/>
      <c r="AY231" s="985"/>
      <c r="AZ231" s="985"/>
      <c r="BA231" s="985"/>
      <c r="BB231" s="54"/>
      <c r="BC231" s="985"/>
      <c r="BD231" s="54"/>
      <c r="BE231" s="985"/>
      <c r="BF231" s="985"/>
      <c r="BG231" s="985"/>
      <c r="BH231" s="54"/>
      <c r="BI231" s="985"/>
      <c r="BJ231" s="54"/>
      <c r="BK231" s="985"/>
      <c r="BL231" s="985"/>
      <c r="BM231" s="985"/>
      <c r="BN231" s="54"/>
      <c r="BO231" s="985"/>
      <c r="BP231" s="54"/>
      <c r="BQ231" s="985"/>
      <c r="BR231" s="985"/>
      <c r="BS231" s="985"/>
      <c r="BT231" s="54"/>
      <c r="BU231" s="985"/>
      <c r="BV231" s="54"/>
      <c r="BW231" s="985"/>
      <c r="BX231" s="985"/>
      <c r="BY231" s="985"/>
      <c r="BZ231" s="54"/>
      <c r="CA231" s="985"/>
      <c r="CB231" s="54"/>
      <c r="CC231" s="985"/>
      <c r="CD231" s="985"/>
      <c r="CE231" s="985"/>
      <c r="CF231" s="985"/>
    </row>
    <row r="232" spans="1:84" x14ac:dyDescent="0.5">
      <c r="A232" s="259">
        <v>19086320</v>
      </c>
      <c r="B232" s="104">
        <v>19080706</v>
      </c>
      <c r="C232" s="242"/>
      <c r="D232" s="243"/>
      <c r="E232" s="912"/>
      <c r="F232" s="244"/>
      <c r="G232" s="245"/>
      <c r="H232" s="246"/>
      <c r="I232" s="247"/>
      <c r="J232" s="306"/>
      <c r="K232" s="246"/>
      <c r="L232" s="104" t="s">
        <v>435</v>
      </c>
      <c r="M232" s="110" t="s">
        <v>2516</v>
      </c>
      <c r="N232" s="104" t="s">
        <v>51</v>
      </c>
      <c r="O232" s="111">
        <v>47250</v>
      </c>
      <c r="P232" s="111">
        <f t="shared" si="58"/>
        <v>3307.5</v>
      </c>
      <c r="Q232" s="111">
        <f t="shared" si="59"/>
        <v>50557.5</v>
      </c>
      <c r="R232" s="212"/>
      <c r="S232" s="165"/>
      <c r="T232" s="166"/>
      <c r="U232" s="167"/>
      <c r="V232" s="168"/>
      <c r="W232" s="231"/>
      <c r="X232" s="168"/>
      <c r="Y232" s="168"/>
      <c r="Z232" s="231"/>
      <c r="AA232" s="232"/>
      <c r="AB232" s="229">
        <v>19080284</v>
      </c>
      <c r="AC232" s="230">
        <v>15750</v>
      </c>
      <c r="AD232" s="220">
        <f>AC232*7/100</f>
        <v>1102.5</v>
      </c>
      <c r="AE232" s="220">
        <f>AC232+AD232</f>
        <v>16852.5</v>
      </c>
      <c r="AF232" s="221">
        <v>43721</v>
      </c>
      <c r="AG232" s="121" t="s">
        <v>869</v>
      </c>
      <c r="AH232" s="121"/>
      <c r="AI232" s="121"/>
      <c r="AJ232" s="222" t="s">
        <v>3631</v>
      </c>
      <c r="AK232" s="128">
        <v>1</v>
      </c>
      <c r="AL232" s="129" t="s">
        <v>601</v>
      </c>
      <c r="AM232" s="130"/>
      <c r="AN232" s="130"/>
      <c r="AO232" s="131">
        <v>1</v>
      </c>
      <c r="AP232" s="132" t="s">
        <v>628</v>
      </c>
      <c r="AQ232" s="128">
        <v>2</v>
      </c>
      <c r="AR232" s="123" t="s">
        <v>601</v>
      </c>
      <c r="AS232" s="131"/>
      <c r="AT232" s="131"/>
      <c r="AU232" s="131">
        <v>1</v>
      </c>
      <c r="AV232" s="169" t="s">
        <v>628</v>
      </c>
      <c r="AW232" s="777">
        <v>3</v>
      </c>
      <c r="AX232" s="782" t="s">
        <v>601</v>
      </c>
      <c r="AY232" s="780"/>
      <c r="AZ232" s="780"/>
      <c r="BA232" s="780">
        <v>1</v>
      </c>
      <c r="BB232" s="783" t="s">
        <v>628</v>
      </c>
      <c r="BC232" s="128"/>
      <c r="BD232" s="133"/>
      <c r="BE232" s="128"/>
      <c r="BF232" s="128"/>
      <c r="BG232" s="128"/>
      <c r="BH232" s="133"/>
      <c r="BI232" s="128"/>
      <c r="BJ232" s="133"/>
      <c r="BK232" s="128"/>
      <c r="BL232" s="128"/>
      <c r="BM232" s="128"/>
      <c r="BN232" s="133"/>
      <c r="BO232" s="128"/>
      <c r="BP232" s="133"/>
      <c r="BQ232" s="128"/>
      <c r="BR232" s="128"/>
      <c r="BS232" s="128"/>
      <c r="BT232" s="133"/>
      <c r="BU232" s="128"/>
      <c r="BV232" s="133"/>
      <c r="BW232" s="128"/>
      <c r="BX232" s="128"/>
      <c r="BY232" s="128"/>
      <c r="BZ232" s="133"/>
      <c r="CA232" s="128"/>
      <c r="CB232" s="133"/>
      <c r="CC232" s="128"/>
      <c r="CD232" s="128"/>
      <c r="CE232" s="128"/>
      <c r="CF232" s="128"/>
    </row>
    <row r="233" spans="1:84" x14ac:dyDescent="0.5">
      <c r="A233" s="262"/>
      <c r="B233" s="135"/>
      <c r="C233" s="276"/>
      <c r="D233" s="277"/>
      <c r="E233" s="1054"/>
      <c r="F233" s="278"/>
      <c r="G233" s="279"/>
      <c r="H233" s="280"/>
      <c r="I233" s="281"/>
      <c r="J233" s="836"/>
      <c r="K233" s="280"/>
      <c r="L233" s="135"/>
      <c r="M233" s="141"/>
      <c r="N233" s="135"/>
      <c r="O233" s="142"/>
      <c r="P233" s="142"/>
      <c r="Q233" s="142"/>
      <c r="R233" s="213"/>
      <c r="S233" s="172"/>
      <c r="T233" s="173"/>
      <c r="U233" s="174"/>
      <c r="V233" s="175"/>
      <c r="W233" s="282"/>
      <c r="X233" s="175"/>
      <c r="Y233" s="175"/>
      <c r="Z233" s="282"/>
      <c r="AA233" s="283"/>
      <c r="AB233" s="857">
        <v>19100392</v>
      </c>
      <c r="AC233" s="858">
        <v>15750</v>
      </c>
      <c r="AD233" s="915">
        <f>AC233*7/100</f>
        <v>1102.5</v>
      </c>
      <c r="AE233" s="915">
        <f>AC233+AD233</f>
        <v>16852.5</v>
      </c>
      <c r="AF233" s="860">
        <v>43783</v>
      </c>
      <c r="AG233" s="861"/>
      <c r="AH233" s="861"/>
      <c r="AI233" s="861" t="s">
        <v>869</v>
      </c>
      <c r="AJ233" s="308" t="s">
        <v>3406</v>
      </c>
      <c r="AK233" s="158"/>
      <c r="AL233" s="159"/>
      <c r="AM233" s="160"/>
      <c r="AN233" s="160"/>
      <c r="AO233" s="161"/>
      <c r="AP233" s="162"/>
      <c r="AQ233" s="158"/>
      <c r="AR233" s="154"/>
      <c r="AS233" s="161"/>
      <c r="AT233" s="161"/>
      <c r="AU233" s="161"/>
      <c r="AV233" s="177"/>
      <c r="AW233" s="158"/>
      <c r="AX233" s="154"/>
      <c r="AY233" s="161"/>
      <c r="AZ233" s="161"/>
      <c r="BA233" s="161"/>
      <c r="BB233" s="177"/>
      <c r="BC233" s="158"/>
      <c r="BD233" s="163"/>
      <c r="BE233" s="158"/>
      <c r="BF233" s="158"/>
      <c r="BG233" s="158"/>
      <c r="BH233" s="163"/>
      <c r="BI233" s="158"/>
      <c r="BJ233" s="163"/>
      <c r="BK233" s="158"/>
      <c r="BL233" s="158"/>
      <c r="BM233" s="158"/>
      <c r="BN233" s="163"/>
      <c r="BO233" s="158"/>
      <c r="BP233" s="163"/>
      <c r="BQ233" s="158"/>
      <c r="BR233" s="158"/>
      <c r="BS233" s="158"/>
      <c r="BT233" s="163"/>
      <c r="BU233" s="158"/>
      <c r="BV233" s="163"/>
      <c r="BW233" s="158"/>
      <c r="BX233" s="158"/>
      <c r="BY233" s="158"/>
      <c r="BZ233" s="163"/>
      <c r="CA233" s="158"/>
      <c r="CB233" s="163"/>
      <c r="CC233" s="158"/>
      <c r="CD233" s="158"/>
      <c r="CE233" s="158"/>
      <c r="CF233" s="158"/>
    </row>
    <row r="234" spans="1:84" x14ac:dyDescent="0.5">
      <c r="A234" s="268"/>
      <c r="B234" s="181"/>
      <c r="C234" s="285"/>
      <c r="D234" s="286"/>
      <c r="E234" s="913"/>
      <c r="F234" s="287"/>
      <c r="G234" s="288"/>
      <c r="H234" s="289"/>
      <c r="I234" s="290"/>
      <c r="J234" s="832"/>
      <c r="K234" s="289"/>
      <c r="L234" s="181"/>
      <c r="M234" s="188"/>
      <c r="N234" s="181"/>
      <c r="O234" s="189"/>
      <c r="P234" s="189"/>
      <c r="Q234" s="189"/>
      <c r="R234" s="214"/>
      <c r="S234" s="191"/>
      <c r="T234" s="192"/>
      <c r="U234" s="193"/>
      <c r="V234" s="194"/>
      <c r="W234" s="235"/>
      <c r="X234" s="194"/>
      <c r="Y234" s="194"/>
      <c r="Z234" s="235"/>
      <c r="AA234" s="236"/>
      <c r="AB234" s="200">
        <v>19120517</v>
      </c>
      <c r="AC234" s="201">
        <v>15750</v>
      </c>
      <c r="AD234" s="202">
        <f>AC234*7/100</f>
        <v>1102.5</v>
      </c>
      <c r="AE234" s="202">
        <f>AC234+AD234</f>
        <v>16852.5</v>
      </c>
      <c r="AF234" s="203">
        <v>43845</v>
      </c>
      <c r="AG234" s="199" t="s">
        <v>869</v>
      </c>
      <c r="AH234" s="199"/>
      <c r="AI234" s="199"/>
      <c r="AJ234" s="180" t="s">
        <v>3709</v>
      </c>
      <c r="AK234" s="204"/>
      <c r="AL234" s="205"/>
      <c r="AM234" s="206"/>
      <c r="AN234" s="206"/>
      <c r="AO234" s="207"/>
      <c r="AP234" s="208"/>
      <c r="AQ234" s="204"/>
      <c r="AR234" s="200"/>
      <c r="AS234" s="207"/>
      <c r="AT234" s="207"/>
      <c r="AU234" s="207"/>
      <c r="AV234" s="209"/>
      <c r="AW234" s="204"/>
      <c r="AX234" s="200"/>
      <c r="AY234" s="207"/>
      <c r="AZ234" s="207"/>
      <c r="BA234" s="207"/>
      <c r="BB234" s="209"/>
      <c r="BC234" s="204"/>
      <c r="BD234" s="210"/>
      <c r="BE234" s="204"/>
      <c r="BF234" s="204"/>
      <c r="BG234" s="204"/>
      <c r="BH234" s="210"/>
      <c r="BI234" s="204"/>
      <c r="BJ234" s="210"/>
      <c r="BK234" s="204"/>
      <c r="BL234" s="204"/>
      <c r="BM234" s="204"/>
      <c r="BN234" s="210"/>
      <c r="BO234" s="204"/>
      <c r="BP234" s="210"/>
      <c r="BQ234" s="204"/>
      <c r="BR234" s="204"/>
      <c r="BS234" s="204"/>
      <c r="BT234" s="210"/>
      <c r="BU234" s="204"/>
      <c r="BV234" s="210"/>
      <c r="BW234" s="204"/>
      <c r="BX234" s="204"/>
      <c r="BY234" s="204"/>
      <c r="BZ234" s="210"/>
      <c r="CA234" s="204"/>
      <c r="CB234" s="210"/>
      <c r="CC234" s="204"/>
      <c r="CD234" s="204"/>
      <c r="CE234" s="204"/>
      <c r="CF234" s="204"/>
    </row>
    <row r="235" spans="1:84" s="95" customFormat="1" x14ac:dyDescent="0.5">
      <c r="A235" s="65">
        <v>19086319</v>
      </c>
      <c r="B235" s="66">
        <v>19080705</v>
      </c>
      <c r="C235" s="312"/>
      <c r="D235" s="313"/>
      <c r="E235" s="929"/>
      <c r="F235" s="314"/>
      <c r="G235" s="315"/>
      <c r="H235" s="316"/>
      <c r="I235" s="317"/>
      <c r="J235" s="835"/>
      <c r="K235" s="316"/>
      <c r="L235" s="66" t="s">
        <v>2517</v>
      </c>
      <c r="M235" s="72" t="s">
        <v>2516</v>
      </c>
      <c r="N235" s="66" t="s">
        <v>51</v>
      </c>
      <c r="O235" s="73">
        <v>50250</v>
      </c>
      <c r="P235" s="73">
        <f t="shared" si="58"/>
        <v>3517.5</v>
      </c>
      <c r="Q235" s="73">
        <f t="shared" si="59"/>
        <v>53767.5</v>
      </c>
      <c r="R235" s="318"/>
      <c r="S235" s="319"/>
      <c r="T235" s="320"/>
      <c r="U235" s="321"/>
      <c r="V235" s="322"/>
      <c r="W235" s="323"/>
      <c r="X235" s="322"/>
      <c r="Y235" s="322"/>
      <c r="Z235" s="323"/>
      <c r="AA235" s="324"/>
      <c r="AB235" s="84"/>
      <c r="AC235" s="85"/>
      <c r="AD235" s="86"/>
      <c r="AE235" s="86"/>
      <c r="AF235" s="87"/>
      <c r="AG235" s="83"/>
      <c r="AH235" s="83"/>
      <c r="AI235" s="83"/>
      <c r="AJ235" s="65"/>
      <c r="AK235" s="88">
        <v>1</v>
      </c>
      <c r="AL235" s="89" t="s">
        <v>603</v>
      </c>
      <c r="AM235" s="90"/>
      <c r="AN235" s="90"/>
      <c r="AO235" s="91">
        <v>1</v>
      </c>
      <c r="AP235" s="92" t="s">
        <v>628</v>
      </c>
      <c r="AQ235" s="88">
        <v>2</v>
      </c>
      <c r="AR235" s="84" t="s">
        <v>603</v>
      </c>
      <c r="AS235" s="91"/>
      <c r="AT235" s="91"/>
      <c r="AU235" s="91">
        <v>1</v>
      </c>
      <c r="AV235" s="93" t="s">
        <v>628</v>
      </c>
      <c r="AW235" s="88">
        <v>3</v>
      </c>
      <c r="AX235" s="84" t="s">
        <v>603</v>
      </c>
      <c r="AY235" s="91"/>
      <c r="AZ235" s="91"/>
      <c r="BA235" s="91">
        <v>1</v>
      </c>
      <c r="BB235" s="93" t="s">
        <v>628</v>
      </c>
      <c r="BC235" s="88"/>
      <c r="BD235" s="94"/>
      <c r="BE235" s="88"/>
      <c r="BF235" s="88"/>
      <c r="BG235" s="88"/>
      <c r="BH235" s="94"/>
      <c r="BI235" s="88"/>
      <c r="BJ235" s="94"/>
      <c r="BK235" s="88"/>
      <c r="BL235" s="88"/>
      <c r="BM235" s="88"/>
      <c r="BN235" s="94"/>
      <c r="BO235" s="88"/>
      <c r="BP235" s="94"/>
      <c r="BQ235" s="88"/>
      <c r="BR235" s="88"/>
      <c r="BS235" s="88"/>
      <c r="BT235" s="94"/>
      <c r="BU235" s="88"/>
      <c r="BV235" s="94"/>
      <c r="BW235" s="88"/>
      <c r="BX235" s="88"/>
      <c r="BY235" s="88"/>
      <c r="BZ235" s="94"/>
      <c r="CA235" s="88"/>
      <c r="CB235" s="94"/>
      <c r="CC235" s="88"/>
      <c r="CD235" s="88"/>
      <c r="CE235" s="88"/>
      <c r="CF235" s="88"/>
    </row>
    <row r="236" spans="1:84" x14ac:dyDescent="0.5">
      <c r="A236" s="259">
        <v>19086318</v>
      </c>
      <c r="B236" s="104">
        <v>19080704</v>
      </c>
      <c r="C236" s="242"/>
      <c r="D236" s="243"/>
      <c r="E236" s="912"/>
      <c r="F236" s="244"/>
      <c r="G236" s="245"/>
      <c r="H236" s="246"/>
      <c r="I236" s="247"/>
      <c r="J236" s="306"/>
      <c r="K236" s="246"/>
      <c r="L236" s="104" t="s">
        <v>2518</v>
      </c>
      <c r="M236" s="110" t="s">
        <v>2516</v>
      </c>
      <c r="N236" s="104" t="s">
        <v>51</v>
      </c>
      <c r="O236" s="111">
        <v>58500</v>
      </c>
      <c r="P236" s="111">
        <f t="shared" si="58"/>
        <v>4095</v>
      </c>
      <c r="Q236" s="111">
        <f t="shared" si="59"/>
        <v>62595</v>
      </c>
      <c r="R236" s="212"/>
      <c r="S236" s="165"/>
      <c r="T236" s="166"/>
      <c r="U236" s="167"/>
      <c r="V236" s="168"/>
      <c r="W236" s="231"/>
      <c r="X236" s="168"/>
      <c r="Y236" s="168"/>
      <c r="Z236" s="231"/>
      <c r="AA236" s="232"/>
      <c r="AB236" s="229">
        <v>19080283</v>
      </c>
      <c r="AC236" s="230">
        <v>19500</v>
      </c>
      <c r="AD236" s="220">
        <f t="shared" ref="AD236:AD266" si="60">AC236*7/100</f>
        <v>1365</v>
      </c>
      <c r="AE236" s="220">
        <f t="shared" ref="AE236:AE269" si="61">AC236+AD236</f>
        <v>20865</v>
      </c>
      <c r="AF236" s="221">
        <v>43721</v>
      </c>
      <c r="AG236" s="121" t="s">
        <v>869</v>
      </c>
      <c r="AH236" s="121"/>
      <c r="AI236" s="121"/>
      <c r="AJ236" s="222" t="s">
        <v>3063</v>
      </c>
      <c r="AK236" s="128">
        <v>1</v>
      </c>
      <c r="AL236" s="129" t="s">
        <v>1138</v>
      </c>
      <c r="AM236" s="130"/>
      <c r="AN236" s="130"/>
      <c r="AO236" s="131">
        <v>1</v>
      </c>
      <c r="AP236" s="132" t="s">
        <v>628</v>
      </c>
      <c r="AQ236" s="128">
        <v>2</v>
      </c>
      <c r="AR236" s="123" t="s">
        <v>1138</v>
      </c>
      <c r="AS236" s="131"/>
      <c r="AT236" s="131"/>
      <c r="AU236" s="131">
        <v>1</v>
      </c>
      <c r="AV236" s="169" t="s">
        <v>628</v>
      </c>
      <c r="AW236" s="128">
        <v>3</v>
      </c>
      <c r="AX236" s="123" t="s">
        <v>1138</v>
      </c>
      <c r="AY236" s="131"/>
      <c r="AZ236" s="131"/>
      <c r="BA236" s="131">
        <v>1</v>
      </c>
      <c r="BB236" s="169" t="s">
        <v>628</v>
      </c>
      <c r="BC236" s="128"/>
      <c r="BD236" s="133"/>
      <c r="BE236" s="128"/>
      <c r="BF236" s="128"/>
      <c r="BG236" s="128"/>
      <c r="BH236" s="133"/>
      <c r="BI236" s="128"/>
      <c r="BJ236" s="133"/>
      <c r="BK236" s="128"/>
      <c r="BL236" s="128"/>
      <c r="BM236" s="128"/>
      <c r="BN236" s="133"/>
      <c r="BO236" s="128"/>
      <c r="BP236" s="133"/>
      <c r="BQ236" s="128"/>
      <c r="BR236" s="128"/>
      <c r="BS236" s="128"/>
      <c r="BT236" s="133"/>
      <c r="BU236" s="128"/>
      <c r="BV236" s="133"/>
      <c r="BW236" s="128"/>
      <c r="BX236" s="128"/>
      <c r="BY236" s="128"/>
      <c r="BZ236" s="133"/>
      <c r="CA236" s="128"/>
      <c r="CB236" s="133"/>
      <c r="CC236" s="128"/>
      <c r="CD236" s="128"/>
      <c r="CE236" s="128"/>
      <c r="CF236" s="128"/>
    </row>
    <row r="237" spans="1:84" x14ac:dyDescent="0.5">
      <c r="A237" s="262"/>
      <c r="B237" s="135"/>
      <c r="C237" s="276"/>
      <c r="D237" s="277"/>
      <c r="E237" s="1054"/>
      <c r="F237" s="278"/>
      <c r="G237" s="279"/>
      <c r="H237" s="280"/>
      <c r="I237" s="281"/>
      <c r="J237" s="836"/>
      <c r="K237" s="280"/>
      <c r="L237" s="135"/>
      <c r="M237" s="141"/>
      <c r="N237" s="135"/>
      <c r="O237" s="142"/>
      <c r="P237" s="142"/>
      <c r="Q237" s="142"/>
      <c r="R237" s="213"/>
      <c r="S237" s="172"/>
      <c r="T237" s="173"/>
      <c r="U237" s="174"/>
      <c r="V237" s="175"/>
      <c r="W237" s="282"/>
      <c r="X237" s="175"/>
      <c r="Y237" s="175"/>
      <c r="Z237" s="282"/>
      <c r="AA237" s="283"/>
      <c r="AB237" s="292">
        <v>19100394</v>
      </c>
      <c r="AC237" s="293">
        <v>19500</v>
      </c>
      <c r="AD237" s="307">
        <f t="shared" si="60"/>
        <v>1365</v>
      </c>
      <c r="AE237" s="307">
        <f t="shared" si="61"/>
        <v>20865</v>
      </c>
      <c r="AF237" s="295">
        <v>43784</v>
      </c>
      <c r="AG237" s="296" t="s">
        <v>869</v>
      </c>
      <c r="AH237" s="296"/>
      <c r="AI237" s="296"/>
      <c r="AJ237" s="308" t="s">
        <v>3496</v>
      </c>
      <c r="AK237" s="158"/>
      <c r="AL237" s="159"/>
      <c r="AM237" s="160"/>
      <c r="AN237" s="160"/>
      <c r="AO237" s="161"/>
      <c r="AP237" s="162"/>
      <c r="AQ237" s="158"/>
      <c r="AR237" s="154"/>
      <c r="AS237" s="161"/>
      <c r="AT237" s="161"/>
      <c r="AU237" s="161"/>
      <c r="AV237" s="177"/>
      <c r="AW237" s="158"/>
      <c r="AX237" s="154"/>
      <c r="AY237" s="161"/>
      <c r="AZ237" s="161"/>
      <c r="BA237" s="161"/>
      <c r="BB237" s="177"/>
      <c r="BC237" s="158"/>
      <c r="BD237" s="163"/>
      <c r="BE237" s="158"/>
      <c r="BF237" s="158"/>
      <c r="BG237" s="158"/>
      <c r="BH237" s="163"/>
      <c r="BI237" s="158"/>
      <c r="BJ237" s="163"/>
      <c r="BK237" s="158"/>
      <c r="BL237" s="158"/>
      <c r="BM237" s="158"/>
      <c r="BN237" s="163"/>
      <c r="BO237" s="158"/>
      <c r="BP237" s="163"/>
      <c r="BQ237" s="158"/>
      <c r="BR237" s="158"/>
      <c r="BS237" s="158"/>
      <c r="BT237" s="163"/>
      <c r="BU237" s="158"/>
      <c r="BV237" s="163"/>
      <c r="BW237" s="158"/>
      <c r="BX237" s="158"/>
      <c r="BY237" s="158"/>
      <c r="BZ237" s="163"/>
      <c r="CA237" s="158"/>
      <c r="CB237" s="163"/>
      <c r="CC237" s="158"/>
      <c r="CD237" s="158"/>
      <c r="CE237" s="158"/>
      <c r="CF237" s="158"/>
    </row>
    <row r="238" spans="1:84" x14ac:dyDescent="0.5">
      <c r="A238" s="262"/>
      <c r="B238" s="135"/>
      <c r="C238" s="276"/>
      <c r="D238" s="277"/>
      <c r="E238" s="1054"/>
      <c r="F238" s="278"/>
      <c r="G238" s="279"/>
      <c r="H238" s="280"/>
      <c r="I238" s="281"/>
      <c r="J238" s="836"/>
      <c r="K238" s="280"/>
      <c r="L238" s="135"/>
      <c r="M238" s="141"/>
      <c r="N238" s="135"/>
      <c r="O238" s="142"/>
      <c r="P238" s="142"/>
      <c r="Q238" s="142"/>
      <c r="R238" s="213"/>
      <c r="S238" s="172"/>
      <c r="T238" s="173"/>
      <c r="U238" s="174"/>
      <c r="V238" s="175"/>
      <c r="W238" s="282"/>
      <c r="X238" s="175"/>
      <c r="Y238" s="175"/>
      <c r="Z238" s="282"/>
      <c r="AA238" s="283"/>
      <c r="AB238" s="154">
        <v>19120515</v>
      </c>
      <c r="AC238" s="155">
        <v>19500</v>
      </c>
      <c r="AD238" s="156">
        <f t="shared" si="60"/>
        <v>1365</v>
      </c>
      <c r="AE238" s="156">
        <f t="shared" si="61"/>
        <v>20865</v>
      </c>
      <c r="AF238" s="157">
        <v>43845</v>
      </c>
      <c r="AG238" s="152" t="s">
        <v>869</v>
      </c>
      <c r="AH238" s="152"/>
      <c r="AI238" s="152"/>
      <c r="AJ238" s="134" t="s">
        <v>3626</v>
      </c>
      <c r="AK238" s="158"/>
      <c r="AL238" s="159"/>
      <c r="AM238" s="160"/>
      <c r="AN238" s="160"/>
      <c r="AO238" s="161"/>
      <c r="AP238" s="162"/>
      <c r="AQ238" s="158"/>
      <c r="AR238" s="154"/>
      <c r="AS238" s="161"/>
      <c r="AT238" s="161"/>
      <c r="AU238" s="161"/>
      <c r="AV238" s="177"/>
      <c r="AW238" s="158"/>
      <c r="AX238" s="154"/>
      <c r="AY238" s="161"/>
      <c r="AZ238" s="161"/>
      <c r="BA238" s="161"/>
      <c r="BB238" s="177"/>
      <c r="BC238" s="158"/>
      <c r="BD238" s="163"/>
      <c r="BE238" s="158"/>
      <c r="BF238" s="158"/>
      <c r="BG238" s="158"/>
      <c r="BH238" s="163"/>
      <c r="BI238" s="158"/>
      <c r="BJ238" s="163"/>
      <c r="BK238" s="158"/>
      <c r="BL238" s="158"/>
      <c r="BM238" s="158"/>
      <c r="BN238" s="163"/>
      <c r="BO238" s="158"/>
      <c r="BP238" s="163"/>
      <c r="BQ238" s="158"/>
      <c r="BR238" s="158"/>
      <c r="BS238" s="158"/>
      <c r="BT238" s="163"/>
      <c r="BU238" s="158"/>
      <c r="BV238" s="163"/>
      <c r="BW238" s="158"/>
      <c r="BX238" s="158"/>
      <c r="BY238" s="158"/>
      <c r="BZ238" s="163"/>
      <c r="CA238" s="158"/>
      <c r="CB238" s="163"/>
      <c r="CC238" s="158"/>
      <c r="CD238" s="158"/>
      <c r="CE238" s="158"/>
      <c r="CF238" s="158"/>
    </row>
    <row r="239" spans="1:84" x14ac:dyDescent="0.5">
      <c r="A239" s="259">
        <v>19086317</v>
      </c>
      <c r="B239" s="104">
        <v>19080703</v>
      </c>
      <c r="C239" s="242"/>
      <c r="D239" s="243"/>
      <c r="E239" s="912"/>
      <c r="F239" s="244"/>
      <c r="G239" s="245"/>
      <c r="H239" s="246"/>
      <c r="I239" s="247"/>
      <c r="J239" s="306"/>
      <c r="K239" s="246"/>
      <c r="L239" s="104" t="s">
        <v>2519</v>
      </c>
      <c r="M239" s="110" t="s">
        <v>2516</v>
      </c>
      <c r="N239" s="104" t="s">
        <v>51</v>
      </c>
      <c r="O239" s="111">
        <v>70050</v>
      </c>
      <c r="P239" s="111">
        <f t="shared" si="58"/>
        <v>4903.5</v>
      </c>
      <c r="Q239" s="111">
        <f t="shared" si="59"/>
        <v>74953.5</v>
      </c>
      <c r="R239" s="212"/>
      <c r="S239" s="165"/>
      <c r="T239" s="166"/>
      <c r="U239" s="167"/>
      <c r="V239" s="168"/>
      <c r="W239" s="231"/>
      <c r="X239" s="168"/>
      <c r="Y239" s="168"/>
      <c r="Z239" s="231"/>
      <c r="AA239" s="232"/>
      <c r="AB239" s="229">
        <v>19080282</v>
      </c>
      <c r="AC239" s="230">
        <v>23350</v>
      </c>
      <c r="AD239" s="220">
        <f t="shared" si="60"/>
        <v>1634.5</v>
      </c>
      <c r="AE239" s="220">
        <f t="shared" si="61"/>
        <v>24984.5</v>
      </c>
      <c r="AF239" s="221">
        <v>43721</v>
      </c>
      <c r="AG239" s="121" t="s">
        <v>869</v>
      </c>
      <c r="AH239" s="121"/>
      <c r="AI239" s="121"/>
      <c r="AJ239" s="222" t="s">
        <v>3067</v>
      </c>
      <c r="AK239" s="128">
        <v>1</v>
      </c>
      <c r="AL239" s="129" t="s">
        <v>1139</v>
      </c>
      <c r="AM239" s="130"/>
      <c r="AN239" s="130"/>
      <c r="AO239" s="131">
        <v>1</v>
      </c>
      <c r="AP239" s="132" t="s">
        <v>628</v>
      </c>
      <c r="AQ239" s="128">
        <v>2</v>
      </c>
      <c r="AR239" s="123" t="s">
        <v>1139</v>
      </c>
      <c r="AS239" s="131"/>
      <c r="AT239" s="131"/>
      <c r="AU239" s="131">
        <v>1</v>
      </c>
      <c r="AV239" s="169" t="s">
        <v>628</v>
      </c>
      <c r="AW239" s="128">
        <v>3</v>
      </c>
      <c r="AX239" s="123" t="s">
        <v>1139</v>
      </c>
      <c r="AY239" s="131"/>
      <c r="AZ239" s="131"/>
      <c r="BA239" s="131">
        <v>1</v>
      </c>
      <c r="BB239" s="169" t="s">
        <v>628</v>
      </c>
      <c r="BC239" s="128"/>
      <c r="BD239" s="133"/>
      <c r="BE239" s="128"/>
      <c r="BF239" s="128"/>
      <c r="BG239" s="128"/>
      <c r="BH239" s="133"/>
      <c r="BI239" s="128"/>
      <c r="BJ239" s="133"/>
      <c r="BK239" s="128"/>
      <c r="BL239" s="128"/>
      <c r="BM239" s="128"/>
      <c r="BN239" s="133"/>
      <c r="BO239" s="128"/>
      <c r="BP239" s="133"/>
      <c r="BQ239" s="128"/>
      <c r="BR239" s="128"/>
      <c r="BS239" s="128"/>
      <c r="BT239" s="133"/>
      <c r="BU239" s="128"/>
      <c r="BV239" s="133"/>
      <c r="BW239" s="128"/>
      <c r="BX239" s="128"/>
      <c r="BY239" s="128"/>
      <c r="BZ239" s="133"/>
      <c r="CA239" s="128"/>
      <c r="CB239" s="133"/>
      <c r="CC239" s="128"/>
      <c r="CD239" s="128"/>
      <c r="CE239" s="128"/>
      <c r="CF239" s="128"/>
    </row>
    <row r="240" spans="1:84" x14ac:dyDescent="0.5">
      <c r="A240" s="262"/>
      <c r="B240" s="135"/>
      <c r="C240" s="276"/>
      <c r="D240" s="277"/>
      <c r="E240" s="1054"/>
      <c r="F240" s="278"/>
      <c r="G240" s="279"/>
      <c r="H240" s="280"/>
      <c r="I240" s="281"/>
      <c r="J240" s="836"/>
      <c r="K240" s="280"/>
      <c r="L240" s="135"/>
      <c r="M240" s="141"/>
      <c r="N240" s="135"/>
      <c r="O240" s="142"/>
      <c r="P240" s="142"/>
      <c r="Q240" s="142"/>
      <c r="R240" s="213"/>
      <c r="S240" s="172"/>
      <c r="T240" s="173"/>
      <c r="U240" s="174"/>
      <c r="V240" s="175"/>
      <c r="W240" s="282"/>
      <c r="X240" s="175"/>
      <c r="Y240" s="175"/>
      <c r="Z240" s="282"/>
      <c r="AA240" s="283"/>
      <c r="AB240" s="292">
        <v>19100393</v>
      </c>
      <c r="AC240" s="293">
        <v>23350</v>
      </c>
      <c r="AD240" s="307">
        <f t="shared" si="60"/>
        <v>1634.5</v>
      </c>
      <c r="AE240" s="307">
        <f t="shared" si="61"/>
        <v>24984.5</v>
      </c>
      <c r="AF240" s="295">
        <v>43784</v>
      </c>
      <c r="AG240" s="296" t="s">
        <v>869</v>
      </c>
      <c r="AH240" s="296"/>
      <c r="AI240" s="296"/>
      <c r="AJ240" s="308" t="s">
        <v>3323</v>
      </c>
      <c r="AK240" s="158"/>
      <c r="AL240" s="159"/>
      <c r="AM240" s="160"/>
      <c r="AN240" s="160"/>
      <c r="AO240" s="161"/>
      <c r="AP240" s="162"/>
      <c r="AQ240" s="158"/>
      <c r="AR240" s="154"/>
      <c r="AS240" s="161"/>
      <c r="AT240" s="161"/>
      <c r="AU240" s="161"/>
      <c r="AV240" s="177"/>
      <c r="AW240" s="158"/>
      <c r="AX240" s="154"/>
      <c r="AY240" s="161"/>
      <c r="AZ240" s="161"/>
      <c r="BA240" s="161"/>
      <c r="BB240" s="177"/>
      <c r="BC240" s="158"/>
      <c r="BD240" s="163"/>
      <c r="BE240" s="158"/>
      <c r="BF240" s="158"/>
      <c r="BG240" s="158"/>
      <c r="BH240" s="163"/>
      <c r="BI240" s="158"/>
      <c r="BJ240" s="163"/>
      <c r="BK240" s="158"/>
      <c r="BL240" s="158"/>
      <c r="BM240" s="158"/>
      <c r="BN240" s="163"/>
      <c r="BO240" s="158"/>
      <c r="BP240" s="163"/>
      <c r="BQ240" s="158"/>
      <c r="BR240" s="158"/>
      <c r="BS240" s="158"/>
      <c r="BT240" s="163"/>
      <c r="BU240" s="158"/>
      <c r="BV240" s="163"/>
      <c r="BW240" s="158"/>
      <c r="BX240" s="158"/>
      <c r="BY240" s="158"/>
      <c r="BZ240" s="163"/>
      <c r="CA240" s="158"/>
      <c r="CB240" s="163"/>
      <c r="CC240" s="158"/>
      <c r="CD240" s="158"/>
      <c r="CE240" s="158"/>
      <c r="CF240" s="158"/>
    </row>
    <row r="241" spans="1:84" x14ac:dyDescent="0.5">
      <c r="A241" s="262"/>
      <c r="B241" s="135"/>
      <c r="C241" s="276"/>
      <c r="D241" s="277"/>
      <c r="E241" s="1054"/>
      <c r="F241" s="278"/>
      <c r="G241" s="279"/>
      <c r="H241" s="280"/>
      <c r="I241" s="281"/>
      <c r="J241" s="836"/>
      <c r="K241" s="280"/>
      <c r="L241" s="135"/>
      <c r="M241" s="141"/>
      <c r="N241" s="135"/>
      <c r="O241" s="142"/>
      <c r="P241" s="142"/>
      <c r="Q241" s="142"/>
      <c r="R241" s="213"/>
      <c r="S241" s="172"/>
      <c r="T241" s="173"/>
      <c r="U241" s="174"/>
      <c r="V241" s="175"/>
      <c r="W241" s="282"/>
      <c r="X241" s="175"/>
      <c r="Y241" s="175"/>
      <c r="Z241" s="282"/>
      <c r="AA241" s="283"/>
      <c r="AB241" s="154">
        <v>19120514</v>
      </c>
      <c r="AC241" s="155">
        <v>23350</v>
      </c>
      <c r="AD241" s="156">
        <f t="shared" si="60"/>
        <v>1634.5</v>
      </c>
      <c r="AE241" s="156">
        <f t="shared" si="61"/>
        <v>24984.5</v>
      </c>
      <c r="AF241" s="157">
        <v>43845</v>
      </c>
      <c r="AG241" s="152" t="s">
        <v>869</v>
      </c>
      <c r="AH241" s="152"/>
      <c r="AI241" s="152"/>
      <c r="AJ241" s="134" t="s">
        <v>3630</v>
      </c>
      <c r="AK241" s="158"/>
      <c r="AL241" s="159"/>
      <c r="AM241" s="160"/>
      <c r="AN241" s="160"/>
      <c r="AO241" s="161"/>
      <c r="AP241" s="162"/>
      <c r="AQ241" s="158"/>
      <c r="AR241" s="154"/>
      <c r="AS241" s="161"/>
      <c r="AT241" s="161"/>
      <c r="AU241" s="161"/>
      <c r="AV241" s="177"/>
      <c r="AW241" s="158"/>
      <c r="AX241" s="154"/>
      <c r="AY241" s="161"/>
      <c r="AZ241" s="161"/>
      <c r="BA241" s="161"/>
      <c r="BB241" s="177"/>
      <c r="BC241" s="158"/>
      <c r="BD241" s="163"/>
      <c r="BE241" s="158"/>
      <c r="BF241" s="158"/>
      <c r="BG241" s="158"/>
      <c r="BH241" s="163"/>
      <c r="BI241" s="158"/>
      <c r="BJ241" s="163"/>
      <c r="BK241" s="158"/>
      <c r="BL241" s="158"/>
      <c r="BM241" s="158"/>
      <c r="BN241" s="163"/>
      <c r="BO241" s="158"/>
      <c r="BP241" s="163"/>
      <c r="BQ241" s="158"/>
      <c r="BR241" s="158"/>
      <c r="BS241" s="158"/>
      <c r="BT241" s="163"/>
      <c r="BU241" s="158"/>
      <c r="BV241" s="163"/>
      <c r="BW241" s="158"/>
      <c r="BX241" s="158"/>
      <c r="BY241" s="158"/>
      <c r="BZ241" s="163"/>
      <c r="CA241" s="158"/>
      <c r="CB241" s="163"/>
      <c r="CC241" s="158"/>
      <c r="CD241" s="158"/>
      <c r="CE241" s="158"/>
      <c r="CF241" s="158"/>
    </row>
    <row r="242" spans="1:84" x14ac:dyDescent="0.5">
      <c r="A242" s="259">
        <v>19086316</v>
      </c>
      <c r="B242" s="104">
        <v>19080702</v>
      </c>
      <c r="C242" s="242"/>
      <c r="D242" s="243"/>
      <c r="E242" s="912"/>
      <c r="F242" s="244"/>
      <c r="G242" s="245"/>
      <c r="H242" s="246"/>
      <c r="I242" s="247"/>
      <c r="J242" s="306"/>
      <c r="K242" s="246"/>
      <c r="L242" s="104" t="s">
        <v>2520</v>
      </c>
      <c r="M242" s="110" t="s">
        <v>2516</v>
      </c>
      <c r="N242" s="104" t="s">
        <v>51</v>
      </c>
      <c r="O242" s="111">
        <v>60750</v>
      </c>
      <c r="P242" s="111">
        <f t="shared" si="58"/>
        <v>4252.5</v>
      </c>
      <c r="Q242" s="111">
        <f t="shared" si="59"/>
        <v>65002.5</v>
      </c>
      <c r="R242" s="212"/>
      <c r="S242" s="165"/>
      <c r="T242" s="166"/>
      <c r="U242" s="167"/>
      <c r="V242" s="168"/>
      <c r="W242" s="231"/>
      <c r="X242" s="168"/>
      <c r="Y242" s="168"/>
      <c r="Z242" s="231"/>
      <c r="AA242" s="232"/>
      <c r="AB242" s="229">
        <v>19080285</v>
      </c>
      <c r="AC242" s="230">
        <v>20250</v>
      </c>
      <c r="AD242" s="220">
        <f t="shared" si="60"/>
        <v>1417.5</v>
      </c>
      <c r="AE242" s="220">
        <f t="shared" si="61"/>
        <v>21667.5</v>
      </c>
      <c r="AF242" s="221">
        <v>43721</v>
      </c>
      <c r="AG242" s="121" t="s">
        <v>869</v>
      </c>
      <c r="AH242" s="121"/>
      <c r="AI242" s="121"/>
      <c r="AJ242" s="222" t="s">
        <v>3068</v>
      </c>
      <c r="AK242" s="128">
        <v>1</v>
      </c>
      <c r="AL242" s="129" t="s">
        <v>1241</v>
      </c>
      <c r="AM242" s="130"/>
      <c r="AN242" s="130"/>
      <c r="AO242" s="131">
        <v>1</v>
      </c>
      <c r="AP242" s="132" t="s">
        <v>628</v>
      </c>
      <c r="AQ242" s="128">
        <v>2</v>
      </c>
      <c r="AR242" s="123" t="s">
        <v>1241</v>
      </c>
      <c r="AS242" s="131"/>
      <c r="AT242" s="131"/>
      <c r="AU242" s="131">
        <v>1</v>
      </c>
      <c r="AV242" s="169" t="s">
        <v>628</v>
      </c>
      <c r="AW242" s="128">
        <v>3</v>
      </c>
      <c r="AX242" s="123" t="s">
        <v>1241</v>
      </c>
      <c r="AY242" s="131"/>
      <c r="AZ242" s="131"/>
      <c r="BA242" s="131">
        <v>1</v>
      </c>
      <c r="BB242" s="169" t="s">
        <v>628</v>
      </c>
      <c r="BC242" s="128"/>
      <c r="BD242" s="133"/>
      <c r="BE242" s="128"/>
      <c r="BF242" s="128"/>
      <c r="BG242" s="128"/>
      <c r="BH242" s="133"/>
      <c r="BI242" s="128"/>
      <c r="BJ242" s="133"/>
      <c r="BK242" s="128"/>
      <c r="BL242" s="128"/>
      <c r="BM242" s="128"/>
      <c r="BN242" s="133"/>
      <c r="BO242" s="128"/>
      <c r="BP242" s="133"/>
      <c r="BQ242" s="128"/>
      <c r="BR242" s="128"/>
      <c r="BS242" s="128"/>
      <c r="BT242" s="133"/>
      <c r="BU242" s="128"/>
      <c r="BV242" s="133"/>
      <c r="BW242" s="128"/>
      <c r="BX242" s="128"/>
      <c r="BY242" s="128"/>
      <c r="BZ242" s="133"/>
      <c r="CA242" s="128"/>
      <c r="CB242" s="133"/>
      <c r="CC242" s="128"/>
      <c r="CD242" s="128"/>
      <c r="CE242" s="128"/>
      <c r="CF242" s="128"/>
    </row>
    <row r="243" spans="1:84" x14ac:dyDescent="0.5">
      <c r="A243" s="262"/>
      <c r="B243" s="135"/>
      <c r="C243" s="276"/>
      <c r="D243" s="277"/>
      <c r="E243" s="1054"/>
      <c r="F243" s="278"/>
      <c r="G243" s="279"/>
      <c r="H243" s="280"/>
      <c r="I243" s="281"/>
      <c r="J243" s="836"/>
      <c r="K243" s="280"/>
      <c r="L243" s="135"/>
      <c r="M243" s="141"/>
      <c r="N243" s="135"/>
      <c r="O243" s="142"/>
      <c r="P243" s="142"/>
      <c r="Q243" s="142"/>
      <c r="R243" s="213"/>
      <c r="S243" s="172"/>
      <c r="T243" s="173"/>
      <c r="U243" s="174"/>
      <c r="V243" s="175"/>
      <c r="W243" s="282"/>
      <c r="X243" s="175"/>
      <c r="Y243" s="175"/>
      <c r="Z243" s="282"/>
      <c r="AA243" s="283"/>
      <c r="AB243" s="292">
        <v>19110445</v>
      </c>
      <c r="AC243" s="293">
        <v>20250</v>
      </c>
      <c r="AD243" s="307">
        <f t="shared" si="60"/>
        <v>1417.5</v>
      </c>
      <c r="AE243" s="307">
        <f t="shared" si="61"/>
        <v>21667.5</v>
      </c>
      <c r="AF243" s="295">
        <v>43800</v>
      </c>
      <c r="AG243" s="296" t="s">
        <v>869</v>
      </c>
      <c r="AH243" s="296"/>
      <c r="AI243" s="296"/>
      <c r="AJ243" s="308" t="s">
        <v>3500</v>
      </c>
      <c r="AK243" s="158"/>
      <c r="AL243" s="159"/>
      <c r="AM243" s="160"/>
      <c r="AN243" s="160"/>
      <c r="AO243" s="161"/>
      <c r="AP243" s="162"/>
      <c r="AQ243" s="158"/>
      <c r="AR243" s="154"/>
      <c r="AS243" s="161"/>
      <c r="AT243" s="161"/>
      <c r="AU243" s="161"/>
      <c r="AV243" s="177"/>
      <c r="AW243" s="158"/>
      <c r="AX243" s="154"/>
      <c r="AY243" s="161"/>
      <c r="AZ243" s="161"/>
      <c r="BA243" s="161"/>
      <c r="BB243" s="177"/>
      <c r="BC243" s="158"/>
      <c r="BD243" s="163"/>
      <c r="BE243" s="158"/>
      <c r="BF243" s="158"/>
      <c r="BG243" s="158"/>
      <c r="BH243" s="163"/>
      <c r="BI243" s="158"/>
      <c r="BJ243" s="163"/>
      <c r="BK243" s="158"/>
      <c r="BL243" s="158"/>
      <c r="BM243" s="158"/>
      <c r="BN243" s="163"/>
      <c r="BO243" s="158"/>
      <c r="BP243" s="163"/>
      <c r="BQ243" s="158"/>
      <c r="BR243" s="158"/>
      <c r="BS243" s="158"/>
      <c r="BT243" s="163"/>
      <c r="BU243" s="158"/>
      <c r="BV243" s="163"/>
      <c r="BW243" s="158"/>
      <c r="BX243" s="158"/>
      <c r="BY243" s="158"/>
      <c r="BZ243" s="163"/>
      <c r="CA243" s="158"/>
      <c r="CB243" s="163"/>
      <c r="CC243" s="158"/>
      <c r="CD243" s="158"/>
      <c r="CE243" s="158"/>
      <c r="CF243" s="158"/>
    </row>
    <row r="244" spans="1:84" x14ac:dyDescent="0.5">
      <c r="A244" s="262"/>
      <c r="B244" s="135"/>
      <c r="C244" s="276"/>
      <c r="D244" s="277"/>
      <c r="E244" s="1054"/>
      <c r="F244" s="278"/>
      <c r="G244" s="279"/>
      <c r="H244" s="280"/>
      <c r="I244" s="281"/>
      <c r="J244" s="836"/>
      <c r="K244" s="280"/>
      <c r="L244" s="135"/>
      <c r="M244" s="141"/>
      <c r="N244" s="135"/>
      <c r="O244" s="142"/>
      <c r="P244" s="142"/>
      <c r="Q244" s="142"/>
      <c r="R244" s="213"/>
      <c r="S244" s="172"/>
      <c r="T244" s="173"/>
      <c r="U244" s="174"/>
      <c r="V244" s="175"/>
      <c r="W244" s="282"/>
      <c r="X244" s="175"/>
      <c r="Y244" s="175"/>
      <c r="Z244" s="282"/>
      <c r="AA244" s="283"/>
      <c r="AB244" s="154">
        <v>19120524</v>
      </c>
      <c r="AC244" s="155">
        <v>20250</v>
      </c>
      <c r="AD244" s="156">
        <f t="shared" si="60"/>
        <v>1417.5</v>
      </c>
      <c r="AE244" s="156">
        <f t="shared" si="61"/>
        <v>21667.5</v>
      </c>
      <c r="AF244" s="157">
        <v>43847</v>
      </c>
      <c r="AG244" s="152" t="s">
        <v>869</v>
      </c>
      <c r="AH244" s="152"/>
      <c r="AI244" s="152"/>
      <c r="AJ244" s="134" t="s">
        <v>4038</v>
      </c>
      <c r="AK244" s="158"/>
      <c r="AL244" s="159"/>
      <c r="AM244" s="160"/>
      <c r="AN244" s="160"/>
      <c r="AO244" s="161"/>
      <c r="AP244" s="162"/>
      <c r="AQ244" s="158"/>
      <c r="AR244" s="154"/>
      <c r="AS244" s="161"/>
      <c r="AT244" s="161"/>
      <c r="AU244" s="161"/>
      <c r="AV244" s="177"/>
      <c r="AW244" s="158"/>
      <c r="AX244" s="154"/>
      <c r="AY244" s="161"/>
      <c r="AZ244" s="161"/>
      <c r="BA244" s="161"/>
      <c r="BB244" s="177"/>
      <c r="BC244" s="158"/>
      <c r="BD244" s="163"/>
      <c r="BE244" s="158"/>
      <c r="BF244" s="158"/>
      <c r="BG244" s="158"/>
      <c r="BH244" s="163"/>
      <c r="BI244" s="158"/>
      <c r="BJ244" s="163"/>
      <c r="BK244" s="158"/>
      <c r="BL244" s="158"/>
      <c r="BM244" s="158"/>
      <c r="BN244" s="163"/>
      <c r="BO244" s="158"/>
      <c r="BP244" s="163"/>
      <c r="BQ244" s="158"/>
      <c r="BR244" s="158"/>
      <c r="BS244" s="158"/>
      <c r="BT244" s="163"/>
      <c r="BU244" s="158"/>
      <c r="BV244" s="163"/>
      <c r="BW244" s="158"/>
      <c r="BX244" s="158"/>
      <c r="BY244" s="158"/>
      <c r="BZ244" s="163"/>
      <c r="CA244" s="158"/>
      <c r="CB244" s="163"/>
      <c r="CC244" s="158"/>
      <c r="CD244" s="158"/>
      <c r="CE244" s="158"/>
      <c r="CF244" s="158"/>
    </row>
    <row r="245" spans="1:84" x14ac:dyDescent="0.5">
      <c r="A245" s="259">
        <v>19086315</v>
      </c>
      <c r="B245" s="104">
        <v>19080690</v>
      </c>
      <c r="C245" s="242"/>
      <c r="D245" s="243"/>
      <c r="E245" s="912"/>
      <c r="F245" s="244"/>
      <c r="G245" s="245"/>
      <c r="H245" s="246"/>
      <c r="I245" s="247"/>
      <c r="J245" s="306"/>
      <c r="K245" s="246"/>
      <c r="L245" s="104" t="s">
        <v>2563</v>
      </c>
      <c r="M245" s="110" t="s">
        <v>2516</v>
      </c>
      <c r="N245" s="104" t="s">
        <v>51</v>
      </c>
      <c r="O245" s="111">
        <v>51750</v>
      </c>
      <c r="P245" s="111">
        <f t="shared" si="58"/>
        <v>3622.5</v>
      </c>
      <c r="Q245" s="111">
        <f t="shared" si="59"/>
        <v>55372.5</v>
      </c>
      <c r="R245" s="212"/>
      <c r="S245" s="165"/>
      <c r="T245" s="166"/>
      <c r="U245" s="167"/>
      <c r="V245" s="168"/>
      <c r="W245" s="231"/>
      <c r="X245" s="168"/>
      <c r="Y245" s="168"/>
      <c r="Z245" s="231"/>
      <c r="AA245" s="232"/>
      <c r="AB245" s="229">
        <v>19080314</v>
      </c>
      <c r="AC245" s="230">
        <v>17250</v>
      </c>
      <c r="AD245" s="233">
        <f t="shared" si="60"/>
        <v>1207.5</v>
      </c>
      <c r="AE245" s="233">
        <f t="shared" si="61"/>
        <v>18457.5</v>
      </c>
      <c r="AF245" s="221">
        <v>43728</v>
      </c>
      <c r="AG245" s="121" t="s">
        <v>869</v>
      </c>
      <c r="AH245" s="121"/>
      <c r="AI245" s="121"/>
      <c r="AJ245" s="222" t="s">
        <v>3322</v>
      </c>
      <c r="AK245" s="128">
        <v>1</v>
      </c>
      <c r="AL245" s="129" t="s">
        <v>610</v>
      </c>
      <c r="AM245" s="130"/>
      <c r="AN245" s="130"/>
      <c r="AO245" s="131">
        <v>1</v>
      </c>
      <c r="AP245" s="132" t="s">
        <v>628</v>
      </c>
      <c r="AQ245" s="128">
        <v>2</v>
      </c>
      <c r="AR245" s="123" t="s">
        <v>610</v>
      </c>
      <c r="AS245" s="131"/>
      <c r="AT245" s="131"/>
      <c r="AU245" s="131">
        <v>1</v>
      </c>
      <c r="AV245" s="169" t="s">
        <v>628</v>
      </c>
      <c r="AW245" s="128">
        <v>3</v>
      </c>
      <c r="AX245" s="123" t="s">
        <v>610</v>
      </c>
      <c r="AY245" s="131"/>
      <c r="AZ245" s="131"/>
      <c r="BA245" s="131">
        <v>1</v>
      </c>
      <c r="BB245" s="169" t="s">
        <v>628</v>
      </c>
      <c r="BC245" s="128"/>
      <c r="BD245" s="133"/>
      <c r="BE245" s="128"/>
      <c r="BF245" s="128"/>
      <c r="BG245" s="128"/>
      <c r="BH245" s="133"/>
      <c r="BI245" s="128"/>
      <c r="BJ245" s="133"/>
      <c r="BK245" s="128"/>
      <c r="BL245" s="128"/>
      <c r="BM245" s="128"/>
      <c r="BN245" s="133"/>
      <c r="BO245" s="128"/>
      <c r="BP245" s="133"/>
      <c r="BQ245" s="128"/>
      <c r="BR245" s="128"/>
      <c r="BS245" s="128"/>
      <c r="BT245" s="133"/>
      <c r="BU245" s="128"/>
      <c r="BV245" s="133"/>
      <c r="BW245" s="128"/>
      <c r="BX245" s="128"/>
      <c r="BY245" s="128"/>
      <c r="BZ245" s="133"/>
      <c r="CA245" s="128"/>
      <c r="CB245" s="133"/>
      <c r="CC245" s="128"/>
      <c r="CD245" s="128"/>
      <c r="CE245" s="128"/>
      <c r="CF245" s="128"/>
    </row>
    <row r="246" spans="1:84" x14ac:dyDescent="0.5">
      <c r="A246" s="262"/>
      <c r="B246" s="135"/>
      <c r="C246" s="276"/>
      <c r="D246" s="277"/>
      <c r="E246" s="1054"/>
      <c r="F246" s="278"/>
      <c r="G246" s="279"/>
      <c r="H246" s="280"/>
      <c r="I246" s="281"/>
      <c r="J246" s="836"/>
      <c r="K246" s="280"/>
      <c r="L246" s="135"/>
      <c r="M246" s="141"/>
      <c r="N246" s="135"/>
      <c r="O246" s="142"/>
      <c r="P246" s="142"/>
      <c r="Q246" s="142"/>
      <c r="R246" s="213"/>
      <c r="S246" s="172"/>
      <c r="T246" s="173"/>
      <c r="U246" s="174"/>
      <c r="V246" s="175"/>
      <c r="W246" s="282"/>
      <c r="X246" s="175"/>
      <c r="Y246" s="175"/>
      <c r="Z246" s="282"/>
      <c r="AA246" s="283"/>
      <c r="AB246" s="292">
        <v>19100432</v>
      </c>
      <c r="AC246" s="293">
        <v>17250</v>
      </c>
      <c r="AD246" s="294">
        <f t="shared" si="60"/>
        <v>1207.5</v>
      </c>
      <c r="AE246" s="294">
        <f t="shared" si="61"/>
        <v>18457.5</v>
      </c>
      <c r="AF246" s="295">
        <v>43796</v>
      </c>
      <c r="AG246" s="296" t="s">
        <v>869</v>
      </c>
      <c r="AH246" s="296"/>
      <c r="AI246" s="296"/>
      <c r="AJ246" s="308" t="s">
        <v>3628</v>
      </c>
      <c r="AK246" s="158"/>
      <c r="AL246" s="159"/>
      <c r="AM246" s="160"/>
      <c r="AN246" s="160"/>
      <c r="AO246" s="161"/>
      <c r="AP246" s="162"/>
      <c r="AQ246" s="158"/>
      <c r="AR246" s="154"/>
      <c r="AS246" s="161"/>
      <c r="AT246" s="161"/>
      <c r="AU246" s="161"/>
      <c r="AV246" s="177"/>
      <c r="AW246" s="158"/>
      <c r="AX246" s="154"/>
      <c r="AY246" s="161"/>
      <c r="AZ246" s="161"/>
      <c r="BA246" s="161"/>
      <c r="BB246" s="177"/>
      <c r="BC246" s="158"/>
      <c r="BD246" s="163"/>
      <c r="BE246" s="158"/>
      <c r="BF246" s="158"/>
      <c r="BG246" s="158"/>
      <c r="BH246" s="163"/>
      <c r="BI246" s="158"/>
      <c r="BJ246" s="163"/>
      <c r="BK246" s="158"/>
      <c r="BL246" s="158"/>
      <c r="BM246" s="158"/>
      <c r="BN246" s="163"/>
      <c r="BO246" s="158"/>
      <c r="BP246" s="163"/>
      <c r="BQ246" s="158"/>
      <c r="BR246" s="158"/>
      <c r="BS246" s="158"/>
      <c r="BT246" s="163"/>
      <c r="BU246" s="158"/>
      <c r="BV246" s="163"/>
      <c r="BW246" s="158"/>
      <c r="BX246" s="158"/>
      <c r="BY246" s="158"/>
      <c r="BZ246" s="163"/>
      <c r="CA246" s="158"/>
      <c r="CB246" s="163"/>
      <c r="CC246" s="158"/>
      <c r="CD246" s="158"/>
      <c r="CE246" s="158"/>
      <c r="CF246" s="158"/>
    </row>
    <row r="247" spans="1:84" x14ac:dyDescent="0.5">
      <c r="A247" s="262"/>
      <c r="B247" s="135"/>
      <c r="C247" s="276"/>
      <c r="D247" s="277"/>
      <c r="E247" s="1054"/>
      <c r="F247" s="278"/>
      <c r="G247" s="279"/>
      <c r="H247" s="280"/>
      <c r="I247" s="281"/>
      <c r="J247" s="836"/>
      <c r="K247" s="280"/>
      <c r="L247" s="135"/>
      <c r="M247" s="141"/>
      <c r="N247" s="135"/>
      <c r="O247" s="142"/>
      <c r="P247" s="142"/>
      <c r="Q247" s="142"/>
      <c r="R247" s="213"/>
      <c r="S247" s="172"/>
      <c r="T247" s="173"/>
      <c r="U247" s="174"/>
      <c r="V247" s="175"/>
      <c r="W247" s="282"/>
      <c r="X247" s="175"/>
      <c r="Y247" s="175"/>
      <c r="Z247" s="282"/>
      <c r="AA247" s="283"/>
      <c r="AB247" s="154">
        <v>19120518</v>
      </c>
      <c r="AC247" s="155">
        <v>17250</v>
      </c>
      <c r="AD247" s="253">
        <f t="shared" si="60"/>
        <v>1207.5</v>
      </c>
      <c r="AE247" s="253">
        <f t="shared" si="61"/>
        <v>18457.5</v>
      </c>
      <c r="AF247" s="157">
        <v>43847</v>
      </c>
      <c r="AG247" s="152" t="s">
        <v>869</v>
      </c>
      <c r="AH247" s="152"/>
      <c r="AI247" s="152"/>
      <c r="AJ247" s="134" t="s">
        <v>3707</v>
      </c>
      <c r="AK247" s="158"/>
      <c r="AL247" s="159"/>
      <c r="AM247" s="160"/>
      <c r="AN247" s="160"/>
      <c r="AO247" s="161"/>
      <c r="AP247" s="162"/>
      <c r="AQ247" s="158"/>
      <c r="AR247" s="154"/>
      <c r="AS247" s="161"/>
      <c r="AT247" s="161"/>
      <c r="AU247" s="161"/>
      <c r="AV247" s="177"/>
      <c r="AW247" s="158"/>
      <c r="AX247" s="154"/>
      <c r="AY247" s="161"/>
      <c r="AZ247" s="161"/>
      <c r="BA247" s="161"/>
      <c r="BB247" s="177"/>
      <c r="BC247" s="158"/>
      <c r="BD247" s="163"/>
      <c r="BE247" s="158"/>
      <c r="BF247" s="158"/>
      <c r="BG247" s="158"/>
      <c r="BH247" s="163"/>
      <c r="BI247" s="158"/>
      <c r="BJ247" s="163"/>
      <c r="BK247" s="158"/>
      <c r="BL247" s="158"/>
      <c r="BM247" s="158"/>
      <c r="BN247" s="163"/>
      <c r="BO247" s="158"/>
      <c r="BP247" s="163"/>
      <c r="BQ247" s="158"/>
      <c r="BR247" s="158"/>
      <c r="BS247" s="158"/>
      <c r="BT247" s="163"/>
      <c r="BU247" s="158"/>
      <c r="BV247" s="163"/>
      <c r="BW247" s="158"/>
      <c r="BX247" s="158"/>
      <c r="BY247" s="158"/>
      <c r="BZ247" s="163"/>
      <c r="CA247" s="158"/>
      <c r="CB247" s="163"/>
      <c r="CC247" s="158"/>
      <c r="CD247" s="158"/>
      <c r="CE247" s="158"/>
      <c r="CF247" s="158"/>
    </row>
    <row r="248" spans="1:84" x14ac:dyDescent="0.5">
      <c r="A248" s="259">
        <v>19086314</v>
      </c>
      <c r="B248" s="104">
        <v>19080689</v>
      </c>
      <c r="C248" s="242"/>
      <c r="D248" s="243"/>
      <c r="E248" s="912"/>
      <c r="F248" s="244"/>
      <c r="G248" s="245"/>
      <c r="H248" s="246"/>
      <c r="I248" s="247"/>
      <c r="J248" s="306"/>
      <c r="K248" s="246"/>
      <c r="L248" s="104" t="s">
        <v>2521</v>
      </c>
      <c r="M248" s="110" t="s">
        <v>2516</v>
      </c>
      <c r="N248" s="104" t="s">
        <v>51</v>
      </c>
      <c r="O248" s="111">
        <v>51750</v>
      </c>
      <c r="P248" s="111">
        <f t="shared" si="58"/>
        <v>3622.5</v>
      </c>
      <c r="Q248" s="111">
        <f t="shared" si="59"/>
        <v>55372.5</v>
      </c>
      <c r="R248" s="212"/>
      <c r="S248" s="165"/>
      <c r="T248" s="166"/>
      <c r="U248" s="167"/>
      <c r="V248" s="168"/>
      <c r="W248" s="231"/>
      <c r="X248" s="168"/>
      <c r="Y248" s="168"/>
      <c r="Z248" s="231"/>
      <c r="AA248" s="232"/>
      <c r="AB248" s="229">
        <v>19080291</v>
      </c>
      <c r="AC248" s="230">
        <v>17250</v>
      </c>
      <c r="AD248" s="220">
        <f t="shared" si="60"/>
        <v>1207.5</v>
      </c>
      <c r="AE248" s="220">
        <f t="shared" si="61"/>
        <v>18457.5</v>
      </c>
      <c r="AF248" s="221">
        <v>43726</v>
      </c>
      <c r="AG248" s="121" t="s">
        <v>869</v>
      </c>
      <c r="AH248" s="121"/>
      <c r="AI248" s="121"/>
      <c r="AJ248" s="222" t="s">
        <v>3066</v>
      </c>
      <c r="AK248" s="128">
        <v>1</v>
      </c>
      <c r="AL248" s="129" t="s">
        <v>604</v>
      </c>
      <c r="AM248" s="130"/>
      <c r="AN248" s="130"/>
      <c r="AO248" s="131">
        <v>1</v>
      </c>
      <c r="AP248" s="132" t="s">
        <v>628</v>
      </c>
      <c r="AQ248" s="128">
        <v>2</v>
      </c>
      <c r="AR248" s="123" t="s">
        <v>604</v>
      </c>
      <c r="AS248" s="131"/>
      <c r="AT248" s="131"/>
      <c r="AU248" s="131">
        <v>1</v>
      </c>
      <c r="AV248" s="169" t="s">
        <v>628</v>
      </c>
      <c r="AW248" s="128">
        <v>3</v>
      </c>
      <c r="AX248" s="123" t="s">
        <v>604</v>
      </c>
      <c r="AY248" s="131"/>
      <c r="AZ248" s="131"/>
      <c r="BA248" s="131">
        <v>1</v>
      </c>
      <c r="BB248" s="169" t="s">
        <v>628</v>
      </c>
      <c r="BC248" s="128"/>
      <c r="BD248" s="133"/>
      <c r="BE248" s="128"/>
      <c r="BF248" s="128"/>
      <c r="BG248" s="128"/>
      <c r="BH248" s="133"/>
      <c r="BI248" s="128"/>
      <c r="BJ248" s="133"/>
      <c r="BK248" s="128"/>
      <c r="BL248" s="128"/>
      <c r="BM248" s="128"/>
      <c r="BN248" s="133"/>
      <c r="BO248" s="128"/>
      <c r="BP248" s="133"/>
      <c r="BQ248" s="128"/>
      <c r="BR248" s="128"/>
      <c r="BS248" s="128"/>
      <c r="BT248" s="133"/>
      <c r="BU248" s="128"/>
      <c r="BV248" s="133"/>
      <c r="BW248" s="128"/>
      <c r="BX248" s="128"/>
      <c r="BY248" s="128"/>
      <c r="BZ248" s="133"/>
      <c r="CA248" s="128"/>
      <c r="CB248" s="133"/>
      <c r="CC248" s="128"/>
      <c r="CD248" s="128"/>
      <c r="CE248" s="128"/>
      <c r="CF248" s="128"/>
    </row>
    <row r="249" spans="1:84" x14ac:dyDescent="0.5">
      <c r="A249" s="262"/>
      <c r="B249" s="135"/>
      <c r="C249" s="276"/>
      <c r="D249" s="277"/>
      <c r="E249" s="1054"/>
      <c r="F249" s="278"/>
      <c r="G249" s="279"/>
      <c r="H249" s="280"/>
      <c r="I249" s="281"/>
      <c r="J249" s="836"/>
      <c r="K249" s="280"/>
      <c r="L249" s="135"/>
      <c r="M249" s="141"/>
      <c r="N249" s="135"/>
      <c r="O249" s="142"/>
      <c r="P249" s="142"/>
      <c r="Q249" s="142"/>
      <c r="R249" s="213"/>
      <c r="S249" s="172"/>
      <c r="T249" s="173"/>
      <c r="U249" s="174"/>
      <c r="V249" s="175"/>
      <c r="W249" s="282"/>
      <c r="X249" s="175"/>
      <c r="Y249" s="175"/>
      <c r="Z249" s="282"/>
      <c r="AA249" s="283"/>
      <c r="AB249" s="292">
        <v>19100434</v>
      </c>
      <c r="AC249" s="293">
        <v>17250</v>
      </c>
      <c r="AD249" s="307">
        <f t="shared" si="60"/>
        <v>1207.5</v>
      </c>
      <c r="AE249" s="307">
        <f t="shared" si="61"/>
        <v>18457.5</v>
      </c>
      <c r="AF249" s="295">
        <v>43796</v>
      </c>
      <c r="AG249" s="296" t="s">
        <v>869</v>
      </c>
      <c r="AH249" s="296"/>
      <c r="AI249" s="296"/>
      <c r="AJ249" s="308" t="s">
        <v>3498</v>
      </c>
      <c r="AK249" s="158"/>
      <c r="AL249" s="159"/>
      <c r="AM249" s="160"/>
      <c r="AN249" s="160"/>
      <c r="AO249" s="161"/>
      <c r="AP249" s="162"/>
      <c r="AQ249" s="158"/>
      <c r="AR249" s="154"/>
      <c r="AS249" s="161"/>
      <c r="AT249" s="161"/>
      <c r="AU249" s="161"/>
      <c r="AV249" s="177"/>
      <c r="AW249" s="158"/>
      <c r="AX249" s="154"/>
      <c r="AY249" s="161"/>
      <c r="AZ249" s="161"/>
      <c r="BA249" s="161"/>
      <c r="BB249" s="177"/>
      <c r="BC249" s="158"/>
      <c r="BD249" s="163"/>
      <c r="BE249" s="158"/>
      <c r="BF249" s="158"/>
      <c r="BG249" s="158"/>
      <c r="BH249" s="163"/>
      <c r="BI249" s="158"/>
      <c r="BJ249" s="163"/>
      <c r="BK249" s="158"/>
      <c r="BL249" s="158"/>
      <c r="BM249" s="158"/>
      <c r="BN249" s="163"/>
      <c r="BO249" s="158"/>
      <c r="BP249" s="163"/>
      <c r="BQ249" s="158"/>
      <c r="BR249" s="158"/>
      <c r="BS249" s="158"/>
      <c r="BT249" s="163"/>
      <c r="BU249" s="158"/>
      <c r="BV249" s="163"/>
      <c r="BW249" s="158"/>
      <c r="BX249" s="158"/>
      <c r="BY249" s="158"/>
      <c r="BZ249" s="163"/>
      <c r="CA249" s="158"/>
      <c r="CB249" s="163"/>
      <c r="CC249" s="158"/>
      <c r="CD249" s="158"/>
      <c r="CE249" s="158"/>
      <c r="CF249" s="158"/>
    </row>
    <row r="250" spans="1:84" x14ac:dyDescent="0.5">
      <c r="A250" s="262"/>
      <c r="B250" s="135"/>
      <c r="C250" s="276"/>
      <c r="D250" s="277"/>
      <c r="E250" s="1054"/>
      <c r="F250" s="278"/>
      <c r="G250" s="279"/>
      <c r="H250" s="280"/>
      <c r="I250" s="281"/>
      <c r="J250" s="836"/>
      <c r="K250" s="280"/>
      <c r="L250" s="135"/>
      <c r="M250" s="141"/>
      <c r="N250" s="135"/>
      <c r="O250" s="142"/>
      <c r="P250" s="142"/>
      <c r="Q250" s="142"/>
      <c r="R250" s="213"/>
      <c r="S250" s="172"/>
      <c r="T250" s="173"/>
      <c r="U250" s="174"/>
      <c r="V250" s="175"/>
      <c r="W250" s="282"/>
      <c r="X250" s="175"/>
      <c r="Y250" s="175"/>
      <c r="Z250" s="282"/>
      <c r="AA250" s="283"/>
      <c r="AB250" s="154">
        <v>19120521</v>
      </c>
      <c r="AC250" s="155">
        <v>17250</v>
      </c>
      <c r="AD250" s="156">
        <f t="shared" si="60"/>
        <v>1207.5</v>
      </c>
      <c r="AE250" s="156">
        <f t="shared" si="61"/>
        <v>18457.5</v>
      </c>
      <c r="AF250" s="157">
        <v>43847</v>
      </c>
      <c r="AG250" s="152" t="s">
        <v>869</v>
      </c>
      <c r="AH250" s="152"/>
      <c r="AI250" s="152"/>
      <c r="AJ250" s="134" t="s">
        <v>3629</v>
      </c>
      <c r="AK250" s="158"/>
      <c r="AL250" s="159"/>
      <c r="AM250" s="160"/>
      <c r="AN250" s="160"/>
      <c r="AO250" s="161"/>
      <c r="AP250" s="162"/>
      <c r="AQ250" s="158"/>
      <c r="AR250" s="154"/>
      <c r="AS250" s="161"/>
      <c r="AT250" s="161"/>
      <c r="AU250" s="161"/>
      <c r="AV250" s="177"/>
      <c r="AW250" s="158"/>
      <c r="AX250" s="154"/>
      <c r="AY250" s="161"/>
      <c r="AZ250" s="161"/>
      <c r="BA250" s="161"/>
      <c r="BB250" s="177"/>
      <c r="BC250" s="158"/>
      <c r="BD250" s="163"/>
      <c r="BE250" s="158"/>
      <c r="BF250" s="158"/>
      <c r="BG250" s="158"/>
      <c r="BH250" s="163"/>
      <c r="BI250" s="158"/>
      <c r="BJ250" s="163"/>
      <c r="BK250" s="158"/>
      <c r="BL250" s="158"/>
      <c r="BM250" s="158"/>
      <c r="BN250" s="163"/>
      <c r="BO250" s="158"/>
      <c r="BP250" s="163"/>
      <c r="BQ250" s="158"/>
      <c r="BR250" s="158"/>
      <c r="BS250" s="158"/>
      <c r="BT250" s="163"/>
      <c r="BU250" s="158"/>
      <c r="BV250" s="163"/>
      <c r="BW250" s="158"/>
      <c r="BX250" s="158"/>
      <c r="BY250" s="158"/>
      <c r="BZ250" s="163"/>
      <c r="CA250" s="158"/>
      <c r="CB250" s="163"/>
      <c r="CC250" s="158"/>
      <c r="CD250" s="158"/>
      <c r="CE250" s="158"/>
      <c r="CF250" s="158"/>
    </row>
    <row r="251" spans="1:84" x14ac:dyDescent="0.5">
      <c r="A251" s="259">
        <v>19086313</v>
      </c>
      <c r="B251" s="104">
        <v>19080688</v>
      </c>
      <c r="C251" s="242"/>
      <c r="D251" s="243"/>
      <c r="E251" s="912"/>
      <c r="F251" s="244"/>
      <c r="G251" s="245"/>
      <c r="H251" s="246"/>
      <c r="I251" s="247"/>
      <c r="J251" s="306"/>
      <c r="K251" s="246"/>
      <c r="L251" s="104" t="s">
        <v>2522</v>
      </c>
      <c r="M251" s="110" t="s">
        <v>2516</v>
      </c>
      <c r="N251" s="104" t="s">
        <v>51</v>
      </c>
      <c r="O251" s="111">
        <v>51500</v>
      </c>
      <c r="P251" s="111">
        <f t="shared" si="58"/>
        <v>3605</v>
      </c>
      <c r="Q251" s="111">
        <f t="shared" si="59"/>
        <v>55105</v>
      </c>
      <c r="R251" s="212"/>
      <c r="S251" s="165"/>
      <c r="T251" s="166"/>
      <c r="U251" s="167"/>
      <c r="V251" s="168"/>
      <c r="W251" s="231"/>
      <c r="X251" s="168"/>
      <c r="Y251" s="168"/>
      <c r="Z251" s="231"/>
      <c r="AA251" s="232"/>
      <c r="AB251" s="229">
        <v>19080296</v>
      </c>
      <c r="AC251" s="230">
        <v>25750</v>
      </c>
      <c r="AD251" s="233">
        <f t="shared" si="60"/>
        <v>1802.5</v>
      </c>
      <c r="AE251" s="233">
        <f t="shared" si="61"/>
        <v>27552.5</v>
      </c>
      <c r="AF251" s="221">
        <v>43726</v>
      </c>
      <c r="AG251" s="121" t="s">
        <v>869</v>
      </c>
      <c r="AH251" s="121"/>
      <c r="AI251" s="121"/>
      <c r="AJ251" s="222" t="s">
        <v>3356</v>
      </c>
      <c r="AK251" s="128">
        <v>1</v>
      </c>
      <c r="AL251" s="129" t="s">
        <v>605</v>
      </c>
      <c r="AM251" s="130"/>
      <c r="AN251" s="130"/>
      <c r="AO251" s="131">
        <v>1</v>
      </c>
      <c r="AP251" s="132" t="s">
        <v>628</v>
      </c>
      <c r="AQ251" s="128">
        <v>2</v>
      </c>
      <c r="AR251" s="123" t="s">
        <v>605</v>
      </c>
      <c r="AS251" s="131"/>
      <c r="AT251" s="131"/>
      <c r="AU251" s="131">
        <v>1</v>
      </c>
      <c r="AV251" s="169" t="s">
        <v>628</v>
      </c>
      <c r="AW251" s="128"/>
      <c r="AX251" s="133"/>
      <c r="AY251" s="128"/>
      <c r="AZ251" s="128"/>
      <c r="BA251" s="128"/>
      <c r="BB251" s="133"/>
      <c r="BC251" s="128"/>
      <c r="BD251" s="133"/>
      <c r="BE251" s="128"/>
      <c r="BF251" s="128"/>
      <c r="BG251" s="128"/>
      <c r="BH251" s="133"/>
      <c r="BI251" s="128"/>
      <c r="BJ251" s="133"/>
      <c r="BK251" s="128"/>
      <c r="BL251" s="128"/>
      <c r="BM251" s="128"/>
      <c r="BN251" s="133"/>
      <c r="BO251" s="128"/>
      <c r="BP251" s="133"/>
      <c r="BQ251" s="128"/>
      <c r="BR251" s="128"/>
      <c r="BS251" s="128"/>
      <c r="BT251" s="133"/>
      <c r="BU251" s="128"/>
      <c r="BV251" s="133"/>
      <c r="BW251" s="128"/>
      <c r="BX251" s="128"/>
      <c r="BY251" s="128"/>
      <c r="BZ251" s="133"/>
      <c r="CA251" s="128"/>
      <c r="CB251" s="133"/>
      <c r="CC251" s="128"/>
      <c r="CD251" s="128"/>
      <c r="CE251" s="128"/>
      <c r="CF251" s="128"/>
    </row>
    <row r="252" spans="1:84" x14ac:dyDescent="0.5">
      <c r="A252" s="262"/>
      <c r="B252" s="135"/>
      <c r="C252" s="276"/>
      <c r="D252" s="277"/>
      <c r="E252" s="1054"/>
      <c r="F252" s="278"/>
      <c r="G252" s="279"/>
      <c r="H252" s="280"/>
      <c r="I252" s="281"/>
      <c r="J252" s="836"/>
      <c r="K252" s="280"/>
      <c r="L252" s="135"/>
      <c r="M252" s="141"/>
      <c r="N252" s="135"/>
      <c r="O252" s="142"/>
      <c r="P252" s="142"/>
      <c r="Q252" s="142"/>
      <c r="R252" s="213"/>
      <c r="S252" s="172"/>
      <c r="T252" s="173"/>
      <c r="U252" s="174"/>
      <c r="V252" s="175"/>
      <c r="W252" s="282"/>
      <c r="X252" s="175"/>
      <c r="Y252" s="175"/>
      <c r="Z252" s="282"/>
      <c r="AA252" s="283"/>
      <c r="AB252" s="154" t="s">
        <v>3129</v>
      </c>
      <c r="AC252" s="155">
        <v>25750</v>
      </c>
      <c r="AD252" s="253">
        <f t="shared" si="60"/>
        <v>1802.5</v>
      </c>
      <c r="AE252" s="253">
        <f t="shared" si="61"/>
        <v>27552.5</v>
      </c>
      <c r="AF252" s="157">
        <v>43823</v>
      </c>
      <c r="AG252" s="152" t="s">
        <v>869</v>
      </c>
      <c r="AH252" s="152"/>
      <c r="AI252" s="152"/>
      <c r="AJ252" s="134" t="s">
        <v>3497</v>
      </c>
      <c r="AK252" s="158"/>
      <c r="AL252" s="159"/>
      <c r="AM252" s="160"/>
      <c r="AN252" s="160"/>
      <c r="AO252" s="161"/>
      <c r="AP252" s="162"/>
      <c r="AQ252" s="158"/>
      <c r="AR252" s="154"/>
      <c r="AS252" s="161"/>
      <c r="AT252" s="161"/>
      <c r="AU252" s="161"/>
      <c r="AV252" s="177"/>
      <c r="AW252" s="158"/>
      <c r="AX252" s="163"/>
      <c r="AY252" s="158"/>
      <c r="AZ252" s="158"/>
      <c r="BA252" s="158"/>
      <c r="BB252" s="163"/>
      <c r="BC252" s="158"/>
      <c r="BD252" s="163"/>
      <c r="BE252" s="158"/>
      <c r="BF252" s="158"/>
      <c r="BG252" s="158"/>
      <c r="BH252" s="163"/>
      <c r="BI252" s="158"/>
      <c r="BJ252" s="163"/>
      <c r="BK252" s="158"/>
      <c r="BL252" s="158"/>
      <c r="BM252" s="158"/>
      <c r="BN252" s="163"/>
      <c r="BO252" s="158"/>
      <c r="BP252" s="163"/>
      <c r="BQ252" s="158"/>
      <c r="BR252" s="158"/>
      <c r="BS252" s="158"/>
      <c r="BT252" s="163"/>
      <c r="BU252" s="158"/>
      <c r="BV252" s="163"/>
      <c r="BW252" s="158"/>
      <c r="BX252" s="158"/>
      <c r="BY252" s="158"/>
      <c r="BZ252" s="163"/>
      <c r="CA252" s="158"/>
      <c r="CB252" s="163"/>
      <c r="CC252" s="158"/>
      <c r="CD252" s="158"/>
      <c r="CE252" s="158"/>
      <c r="CF252" s="158"/>
    </row>
    <row r="253" spans="1:84" x14ac:dyDescent="0.5">
      <c r="A253" s="103">
        <v>19086312</v>
      </c>
      <c r="B253" s="104">
        <v>19080687</v>
      </c>
      <c r="C253" s="242"/>
      <c r="D253" s="243"/>
      <c r="E253" s="912"/>
      <c r="F253" s="244"/>
      <c r="G253" s="245"/>
      <c r="H253" s="246"/>
      <c r="I253" s="247"/>
      <c r="J253" s="306"/>
      <c r="K253" s="246"/>
      <c r="L253" s="104" t="s">
        <v>2523</v>
      </c>
      <c r="M253" s="110" t="s">
        <v>2516</v>
      </c>
      <c r="N253" s="104" t="s">
        <v>51</v>
      </c>
      <c r="O253" s="111">
        <v>50250</v>
      </c>
      <c r="P253" s="111">
        <f t="shared" si="58"/>
        <v>3517.5</v>
      </c>
      <c r="Q253" s="111">
        <f t="shared" si="59"/>
        <v>53767.5</v>
      </c>
      <c r="R253" s="212"/>
      <c r="S253" s="165"/>
      <c r="T253" s="166"/>
      <c r="U253" s="167"/>
      <c r="V253" s="168"/>
      <c r="W253" s="231"/>
      <c r="X253" s="168"/>
      <c r="Y253" s="168"/>
      <c r="Z253" s="231"/>
      <c r="AA253" s="232"/>
      <c r="AB253" s="771">
        <v>19080290</v>
      </c>
      <c r="AC253" s="819">
        <v>16750</v>
      </c>
      <c r="AD253" s="821">
        <f t="shared" si="60"/>
        <v>1172.5</v>
      </c>
      <c r="AE253" s="821">
        <f t="shared" si="61"/>
        <v>17922.5</v>
      </c>
      <c r="AF253" s="822">
        <v>43726</v>
      </c>
      <c r="AG253" s="775"/>
      <c r="AH253" s="775"/>
      <c r="AI253" s="775" t="s">
        <v>869</v>
      </c>
      <c r="AJ253" s="776" t="s">
        <v>1025</v>
      </c>
      <c r="AK253" s="128">
        <v>1</v>
      </c>
      <c r="AL253" s="129" t="s">
        <v>602</v>
      </c>
      <c r="AM253" s="130"/>
      <c r="AN253" s="130"/>
      <c r="AO253" s="131">
        <v>1</v>
      </c>
      <c r="AP253" s="132" t="s">
        <v>628</v>
      </c>
      <c r="AQ253" s="128">
        <v>2</v>
      </c>
      <c r="AR253" s="123" t="s">
        <v>602</v>
      </c>
      <c r="AS253" s="131"/>
      <c r="AT253" s="131"/>
      <c r="AU253" s="131">
        <v>1</v>
      </c>
      <c r="AV253" s="169" t="s">
        <v>628</v>
      </c>
      <c r="AW253" s="128">
        <v>3</v>
      </c>
      <c r="AX253" s="123" t="s">
        <v>602</v>
      </c>
      <c r="AY253" s="131"/>
      <c r="AZ253" s="131"/>
      <c r="BA253" s="131">
        <v>1</v>
      </c>
      <c r="BB253" s="169" t="s">
        <v>628</v>
      </c>
      <c r="BC253" s="128"/>
      <c r="BD253" s="133"/>
      <c r="BE253" s="128"/>
      <c r="BF253" s="128"/>
      <c r="BG253" s="128"/>
      <c r="BH253" s="133"/>
      <c r="BI253" s="128"/>
      <c r="BJ253" s="133"/>
      <c r="BK253" s="128"/>
      <c r="BL253" s="128"/>
      <c r="BM253" s="128"/>
      <c r="BN253" s="133"/>
      <c r="BO253" s="128"/>
      <c r="BP253" s="133"/>
      <c r="BQ253" s="128"/>
      <c r="BR253" s="128"/>
      <c r="BS253" s="128"/>
      <c r="BT253" s="133"/>
      <c r="BU253" s="128"/>
      <c r="BV253" s="133"/>
      <c r="BW253" s="128"/>
      <c r="BX253" s="128"/>
      <c r="BY253" s="128"/>
      <c r="BZ253" s="133"/>
      <c r="CA253" s="128"/>
      <c r="CB253" s="133"/>
      <c r="CC253" s="128"/>
      <c r="CD253" s="128"/>
      <c r="CE253" s="128"/>
      <c r="CF253" s="128"/>
    </row>
    <row r="254" spans="1:84" x14ac:dyDescent="0.5">
      <c r="A254" s="134"/>
      <c r="B254" s="135"/>
      <c r="C254" s="276"/>
      <c r="D254" s="277"/>
      <c r="E254" s="1054"/>
      <c r="F254" s="278"/>
      <c r="G254" s="279"/>
      <c r="H254" s="280"/>
      <c r="I254" s="281"/>
      <c r="J254" s="836"/>
      <c r="K254" s="280"/>
      <c r="L254" s="135"/>
      <c r="M254" s="141"/>
      <c r="N254" s="135"/>
      <c r="O254" s="142"/>
      <c r="P254" s="142"/>
      <c r="Q254" s="142"/>
      <c r="R254" s="213"/>
      <c r="S254" s="172"/>
      <c r="T254" s="173"/>
      <c r="U254" s="174"/>
      <c r="V254" s="175"/>
      <c r="W254" s="282"/>
      <c r="X254" s="175"/>
      <c r="Y254" s="175"/>
      <c r="Z254" s="282"/>
      <c r="AA254" s="283"/>
      <c r="AB254" s="857">
        <v>19100433</v>
      </c>
      <c r="AC254" s="858">
        <v>16750</v>
      </c>
      <c r="AD254" s="915">
        <f t="shared" si="60"/>
        <v>1172.5</v>
      </c>
      <c r="AE254" s="915">
        <f t="shared" si="61"/>
        <v>17922.5</v>
      </c>
      <c r="AF254" s="860">
        <v>43796</v>
      </c>
      <c r="AG254" s="861"/>
      <c r="AH254" s="861"/>
      <c r="AI254" s="861" t="s">
        <v>869</v>
      </c>
      <c r="AJ254" s="862" t="s">
        <v>1206</v>
      </c>
      <c r="AK254" s="158"/>
      <c r="AL254" s="159"/>
      <c r="AM254" s="160"/>
      <c r="AN254" s="160"/>
      <c r="AO254" s="161"/>
      <c r="AP254" s="162"/>
      <c r="AQ254" s="158"/>
      <c r="AR254" s="154"/>
      <c r="AS254" s="161"/>
      <c r="AT254" s="161"/>
      <c r="AU254" s="161"/>
      <c r="AV254" s="177"/>
      <c r="AW254" s="158"/>
      <c r="AX254" s="154"/>
      <c r="AY254" s="161"/>
      <c r="AZ254" s="161"/>
      <c r="BA254" s="161"/>
      <c r="BB254" s="177"/>
      <c r="BC254" s="158"/>
      <c r="BD254" s="163"/>
      <c r="BE254" s="158"/>
      <c r="BF254" s="158"/>
      <c r="BG254" s="158"/>
      <c r="BH254" s="163"/>
      <c r="BI254" s="158"/>
      <c r="BJ254" s="163"/>
      <c r="BK254" s="158"/>
      <c r="BL254" s="158"/>
      <c r="BM254" s="158"/>
      <c r="BN254" s="163"/>
      <c r="BO254" s="158"/>
      <c r="BP254" s="163"/>
      <c r="BQ254" s="158"/>
      <c r="BR254" s="158"/>
      <c r="BS254" s="158"/>
      <c r="BT254" s="163"/>
      <c r="BU254" s="158"/>
      <c r="BV254" s="163"/>
      <c r="BW254" s="158"/>
      <c r="BX254" s="158"/>
      <c r="BY254" s="158"/>
      <c r="BZ254" s="163"/>
      <c r="CA254" s="158"/>
      <c r="CB254" s="163"/>
      <c r="CC254" s="158"/>
      <c r="CD254" s="158"/>
      <c r="CE254" s="158"/>
      <c r="CF254" s="158"/>
    </row>
    <row r="255" spans="1:84" x14ac:dyDescent="0.5">
      <c r="A255" s="134"/>
      <c r="B255" s="135"/>
      <c r="C255" s="276"/>
      <c r="D255" s="277"/>
      <c r="E255" s="1054"/>
      <c r="F255" s="278"/>
      <c r="G255" s="279"/>
      <c r="H255" s="280"/>
      <c r="I255" s="281"/>
      <c r="J255" s="836"/>
      <c r="K255" s="280"/>
      <c r="L255" s="135"/>
      <c r="M255" s="141"/>
      <c r="N255" s="135"/>
      <c r="O255" s="142"/>
      <c r="P255" s="142"/>
      <c r="Q255" s="142"/>
      <c r="R255" s="213"/>
      <c r="S255" s="172"/>
      <c r="T255" s="173"/>
      <c r="U255" s="174"/>
      <c r="V255" s="175"/>
      <c r="W255" s="282"/>
      <c r="X255" s="175"/>
      <c r="Y255" s="175"/>
      <c r="Z255" s="282"/>
      <c r="AA255" s="283"/>
      <c r="AB255" s="857">
        <v>19120519</v>
      </c>
      <c r="AC255" s="858">
        <v>16750</v>
      </c>
      <c r="AD255" s="915">
        <f t="shared" si="60"/>
        <v>1172.5</v>
      </c>
      <c r="AE255" s="915">
        <f t="shared" si="61"/>
        <v>17922.5</v>
      </c>
      <c r="AF255" s="860">
        <v>43847</v>
      </c>
      <c r="AG255" s="861"/>
      <c r="AH255" s="861"/>
      <c r="AI255" s="861" t="s">
        <v>869</v>
      </c>
      <c r="AJ255" s="862" t="s">
        <v>1022</v>
      </c>
      <c r="AK255" s="158"/>
      <c r="AL255" s="159"/>
      <c r="AM255" s="160"/>
      <c r="AN255" s="160"/>
      <c r="AO255" s="161"/>
      <c r="AP255" s="162"/>
      <c r="AQ255" s="158"/>
      <c r="AR255" s="154"/>
      <c r="AS255" s="161"/>
      <c r="AT255" s="161"/>
      <c r="AU255" s="161"/>
      <c r="AV255" s="177"/>
      <c r="AW255" s="158"/>
      <c r="AX255" s="154"/>
      <c r="AY255" s="161"/>
      <c r="AZ255" s="161"/>
      <c r="BA255" s="161"/>
      <c r="BB255" s="177"/>
      <c r="BC255" s="158"/>
      <c r="BD255" s="163"/>
      <c r="BE255" s="158"/>
      <c r="BF255" s="158"/>
      <c r="BG255" s="158"/>
      <c r="BH255" s="163"/>
      <c r="BI255" s="158"/>
      <c r="BJ255" s="163"/>
      <c r="BK255" s="158"/>
      <c r="BL255" s="158"/>
      <c r="BM255" s="158"/>
      <c r="BN255" s="163"/>
      <c r="BO255" s="158"/>
      <c r="BP255" s="163"/>
      <c r="BQ255" s="158"/>
      <c r="BR255" s="158"/>
      <c r="BS255" s="158"/>
      <c r="BT255" s="163"/>
      <c r="BU255" s="158"/>
      <c r="BV255" s="163"/>
      <c r="BW255" s="158"/>
      <c r="BX255" s="158"/>
      <c r="BY255" s="158"/>
      <c r="BZ255" s="163"/>
      <c r="CA255" s="158"/>
      <c r="CB255" s="163"/>
      <c r="CC255" s="158"/>
      <c r="CD255" s="158"/>
      <c r="CE255" s="158"/>
      <c r="CF255" s="158"/>
    </row>
    <row r="256" spans="1:84" x14ac:dyDescent="0.5">
      <c r="A256" s="134"/>
      <c r="B256" s="135"/>
      <c r="C256" s="276"/>
      <c r="D256" s="277"/>
      <c r="E256" s="1054"/>
      <c r="F256" s="278"/>
      <c r="G256" s="279"/>
      <c r="H256" s="280"/>
      <c r="I256" s="281"/>
      <c r="J256" s="836"/>
      <c r="K256" s="280"/>
      <c r="L256" s="135"/>
      <c r="M256" s="141"/>
      <c r="N256" s="135"/>
      <c r="O256" s="142"/>
      <c r="P256" s="142"/>
      <c r="Q256" s="142"/>
      <c r="R256" s="213"/>
      <c r="S256" s="172"/>
      <c r="T256" s="173"/>
      <c r="U256" s="174"/>
      <c r="V256" s="175"/>
      <c r="W256" s="282"/>
      <c r="X256" s="175"/>
      <c r="Y256" s="175"/>
      <c r="Z256" s="282"/>
      <c r="AA256" s="283"/>
      <c r="AB256" s="292" t="s">
        <v>4291</v>
      </c>
      <c r="AC256" s="293">
        <v>16750</v>
      </c>
      <c r="AD256" s="307">
        <f>AC256*7%</f>
        <v>1172.5</v>
      </c>
      <c r="AE256" s="307">
        <f>AC256+AD256</f>
        <v>17922.5</v>
      </c>
      <c r="AF256" s="295">
        <v>44104</v>
      </c>
      <c r="AG256" s="296"/>
      <c r="AH256" s="296"/>
      <c r="AI256" s="296" t="s">
        <v>869</v>
      </c>
      <c r="AJ256" s="308" t="s">
        <v>1025</v>
      </c>
      <c r="AK256" s="158"/>
      <c r="AL256" s="159"/>
      <c r="AM256" s="160"/>
      <c r="AN256" s="160"/>
      <c r="AO256" s="161"/>
      <c r="AP256" s="162"/>
      <c r="AQ256" s="158"/>
      <c r="AR256" s="154"/>
      <c r="AS256" s="161"/>
      <c r="AT256" s="161"/>
      <c r="AU256" s="161"/>
      <c r="AV256" s="177"/>
      <c r="AW256" s="158"/>
      <c r="AX256" s="154"/>
      <c r="AY256" s="161"/>
      <c r="AZ256" s="161"/>
      <c r="BA256" s="161"/>
      <c r="BB256" s="177"/>
      <c r="BC256" s="158"/>
      <c r="BD256" s="163"/>
      <c r="BE256" s="158"/>
      <c r="BF256" s="158"/>
      <c r="BG256" s="158"/>
      <c r="BH256" s="163"/>
      <c r="BI256" s="158"/>
      <c r="BJ256" s="163"/>
      <c r="BK256" s="158"/>
      <c r="BL256" s="158"/>
      <c r="BM256" s="158"/>
      <c r="BN256" s="163"/>
      <c r="BO256" s="158"/>
      <c r="BP256" s="163"/>
      <c r="BQ256" s="158"/>
      <c r="BR256" s="158"/>
      <c r="BS256" s="158"/>
      <c r="BT256" s="163"/>
      <c r="BU256" s="158"/>
      <c r="BV256" s="163"/>
      <c r="BW256" s="158"/>
      <c r="BX256" s="158"/>
      <c r="BY256" s="158"/>
      <c r="BZ256" s="163"/>
      <c r="CA256" s="158"/>
      <c r="CB256" s="163"/>
      <c r="CC256" s="158"/>
      <c r="CD256" s="158"/>
      <c r="CE256" s="158"/>
      <c r="CF256" s="158"/>
    </row>
    <row r="257" spans="1:84" x14ac:dyDescent="0.5">
      <c r="A257" s="134"/>
      <c r="B257" s="135"/>
      <c r="C257" s="276"/>
      <c r="D257" s="277"/>
      <c r="E257" s="1054"/>
      <c r="F257" s="278"/>
      <c r="G257" s="279"/>
      <c r="H257" s="280"/>
      <c r="I257" s="281"/>
      <c r="J257" s="836"/>
      <c r="K257" s="280"/>
      <c r="L257" s="135"/>
      <c r="M257" s="141"/>
      <c r="N257" s="135"/>
      <c r="O257" s="142"/>
      <c r="P257" s="142"/>
      <c r="Q257" s="142"/>
      <c r="R257" s="213"/>
      <c r="S257" s="172"/>
      <c r="T257" s="173"/>
      <c r="U257" s="174"/>
      <c r="V257" s="175"/>
      <c r="W257" s="282"/>
      <c r="X257" s="175"/>
      <c r="Y257" s="175"/>
      <c r="Z257" s="282"/>
      <c r="AA257" s="283"/>
      <c r="AB257" s="292" t="s">
        <v>4293</v>
      </c>
      <c r="AC257" s="293">
        <v>16750</v>
      </c>
      <c r="AD257" s="307">
        <f>AC257*7%</f>
        <v>1172.5</v>
      </c>
      <c r="AE257" s="307">
        <f>AC257+AD257</f>
        <v>17922.5</v>
      </c>
      <c r="AF257" s="295">
        <v>44104</v>
      </c>
      <c r="AG257" s="296"/>
      <c r="AH257" s="296"/>
      <c r="AI257" s="296" t="s">
        <v>869</v>
      </c>
      <c r="AJ257" s="308" t="s">
        <v>1206</v>
      </c>
      <c r="AK257" s="158"/>
      <c r="AL257" s="159"/>
      <c r="AM257" s="160"/>
      <c r="AN257" s="160"/>
      <c r="AO257" s="161"/>
      <c r="AP257" s="162"/>
      <c r="AQ257" s="158"/>
      <c r="AR257" s="154"/>
      <c r="AS257" s="161"/>
      <c r="AT257" s="161"/>
      <c r="AU257" s="161"/>
      <c r="AV257" s="177"/>
      <c r="AW257" s="158"/>
      <c r="AX257" s="154"/>
      <c r="AY257" s="161"/>
      <c r="AZ257" s="161"/>
      <c r="BA257" s="161"/>
      <c r="BB257" s="177"/>
      <c r="BC257" s="158"/>
      <c r="BD257" s="163"/>
      <c r="BE257" s="158"/>
      <c r="BF257" s="158"/>
      <c r="BG257" s="158"/>
      <c r="BH257" s="163"/>
      <c r="BI257" s="158"/>
      <c r="BJ257" s="163"/>
      <c r="BK257" s="158"/>
      <c r="BL257" s="158"/>
      <c r="BM257" s="158"/>
      <c r="BN257" s="163"/>
      <c r="BO257" s="158"/>
      <c r="BP257" s="163"/>
      <c r="BQ257" s="158"/>
      <c r="BR257" s="158"/>
      <c r="BS257" s="158"/>
      <c r="BT257" s="163"/>
      <c r="BU257" s="158"/>
      <c r="BV257" s="163"/>
      <c r="BW257" s="158"/>
      <c r="BX257" s="158"/>
      <c r="BY257" s="158"/>
      <c r="BZ257" s="163"/>
      <c r="CA257" s="158"/>
      <c r="CB257" s="163"/>
      <c r="CC257" s="158"/>
      <c r="CD257" s="158"/>
      <c r="CE257" s="158"/>
      <c r="CF257" s="158"/>
    </row>
    <row r="258" spans="1:84" x14ac:dyDescent="0.5">
      <c r="A258" s="134"/>
      <c r="B258" s="135"/>
      <c r="C258" s="276"/>
      <c r="D258" s="277"/>
      <c r="E258" s="1054"/>
      <c r="F258" s="278"/>
      <c r="G258" s="279"/>
      <c r="H258" s="280"/>
      <c r="I258" s="281"/>
      <c r="J258" s="836"/>
      <c r="K258" s="280"/>
      <c r="L258" s="135"/>
      <c r="M258" s="141"/>
      <c r="N258" s="135"/>
      <c r="O258" s="142"/>
      <c r="P258" s="142"/>
      <c r="Q258" s="142"/>
      <c r="R258" s="213"/>
      <c r="S258" s="172"/>
      <c r="T258" s="173"/>
      <c r="U258" s="174"/>
      <c r="V258" s="175"/>
      <c r="W258" s="282"/>
      <c r="X258" s="175"/>
      <c r="Y258" s="175"/>
      <c r="Z258" s="282"/>
      <c r="AA258" s="283"/>
      <c r="AB258" s="154" t="s">
        <v>4294</v>
      </c>
      <c r="AC258" s="155">
        <v>16750</v>
      </c>
      <c r="AD258" s="156">
        <f>AC258*7%</f>
        <v>1172.5</v>
      </c>
      <c r="AE258" s="156">
        <f>AC258+AD258</f>
        <v>17922.5</v>
      </c>
      <c r="AF258" s="157">
        <v>44104</v>
      </c>
      <c r="AG258" s="152"/>
      <c r="AH258" s="152"/>
      <c r="AI258" s="152" t="s">
        <v>869</v>
      </c>
      <c r="AJ258" s="134" t="s">
        <v>1022</v>
      </c>
      <c r="AK258" s="158"/>
      <c r="AL258" s="159"/>
      <c r="AM258" s="160"/>
      <c r="AN258" s="160"/>
      <c r="AO258" s="161"/>
      <c r="AP258" s="162"/>
      <c r="AQ258" s="158"/>
      <c r="AR258" s="154"/>
      <c r="AS258" s="161"/>
      <c r="AT258" s="161"/>
      <c r="AU258" s="161"/>
      <c r="AV258" s="177"/>
      <c r="AW258" s="158"/>
      <c r="AX258" s="154"/>
      <c r="AY258" s="161"/>
      <c r="AZ258" s="161"/>
      <c r="BA258" s="161"/>
      <c r="BB258" s="177"/>
      <c r="BC258" s="158"/>
      <c r="BD258" s="163"/>
      <c r="BE258" s="158"/>
      <c r="BF258" s="158"/>
      <c r="BG258" s="158"/>
      <c r="BH258" s="163"/>
      <c r="BI258" s="158"/>
      <c r="BJ258" s="163"/>
      <c r="BK258" s="158"/>
      <c r="BL258" s="158"/>
      <c r="BM258" s="158"/>
      <c r="BN258" s="163"/>
      <c r="BO258" s="158"/>
      <c r="BP258" s="163"/>
      <c r="BQ258" s="158"/>
      <c r="BR258" s="158"/>
      <c r="BS258" s="158"/>
      <c r="BT258" s="163"/>
      <c r="BU258" s="158"/>
      <c r="BV258" s="163"/>
      <c r="BW258" s="158"/>
      <c r="BX258" s="158"/>
      <c r="BY258" s="158"/>
      <c r="BZ258" s="163"/>
      <c r="CA258" s="158"/>
      <c r="CB258" s="163"/>
      <c r="CC258" s="158"/>
      <c r="CD258" s="158"/>
      <c r="CE258" s="158"/>
      <c r="CF258" s="158"/>
    </row>
    <row r="259" spans="1:84" x14ac:dyDescent="0.5">
      <c r="A259" s="259">
        <v>19086311</v>
      </c>
      <c r="B259" s="104">
        <v>19080686</v>
      </c>
      <c r="C259" s="242"/>
      <c r="D259" s="243"/>
      <c r="E259" s="912"/>
      <c r="F259" s="244"/>
      <c r="G259" s="245"/>
      <c r="H259" s="246"/>
      <c r="I259" s="247"/>
      <c r="J259" s="306"/>
      <c r="K259" s="246"/>
      <c r="L259" s="104" t="s">
        <v>2524</v>
      </c>
      <c r="M259" s="110" t="s">
        <v>2516</v>
      </c>
      <c r="N259" s="104" t="s">
        <v>51</v>
      </c>
      <c r="O259" s="111">
        <v>57750</v>
      </c>
      <c r="P259" s="111">
        <f t="shared" si="58"/>
        <v>4042.5</v>
      </c>
      <c r="Q259" s="111">
        <f t="shared" si="59"/>
        <v>61792.5</v>
      </c>
      <c r="R259" s="212"/>
      <c r="S259" s="165"/>
      <c r="T259" s="166"/>
      <c r="U259" s="167"/>
      <c r="V259" s="168"/>
      <c r="W259" s="231"/>
      <c r="X259" s="168"/>
      <c r="Y259" s="168"/>
      <c r="Z259" s="231"/>
      <c r="AA259" s="232"/>
      <c r="AB259" s="229">
        <v>19080289</v>
      </c>
      <c r="AC259" s="230">
        <v>19250</v>
      </c>
      <c r="AD259" s="220">
        <f t="shared" si="60"/>
        <v>1347.5</v>
      </c>
      <c r="AE259" s="220">
        <f t="shared" si="61"/>
        <v>20597.5</v>
      </c>
      <c r="AF259" s="221">
        <v>43726</v>
      </c>
      <c r="AG259" s="121" t="s">
        <v>869</v>
      </c>
      <c r="AH259" s="121"/>
      <c r="AI259" s="121"/>
      <c r="AJ259" s="222" t="s">
        <v>3357</v>
      </c>
      <c r="AK259" s="128">
        <v>1</v>
      </c>
      <c r="AL259" s="129" t="s">
        <v>606</v>
      </c>
      <c r="AM259" s="130"/>
      <c r="AN259" s="130"/>
      <c r="AO259" s="131">
        <v>1</v>
      </c>
      <c r="AP259" s="132" t="s">
        <v>628</v>
      </c>
      <c r="AQ259" s="128">
        <v>2</v>
      </c>
      <c r="AR259" s="123" t="s">
        <v>606</v>
      </c>
      <c r="AS259" s="131"/>
      <c r="AT259" s="131"/>
      <c r="AU259" s="131">
        <v>1</v>
      </c>
      <c r="AV259" s="169" t="s">
        <v>628</v>
      </c>
      <c r="AW259" s="128">
        <v>3</v>
      </c>
      <c r="AX259" s="123" t="s">
        <v>606</v>
      </c>
      <c r="AY259" s="131"/>
      <c r="AZ259" s="131"/>
      <c r="BA259" s="131">
        <v>1</v>
      </c>
      <c r="BB259" s="169" t="s">
        <v>628</v>
      </c>
      <c r="BC259" s="128"/>
      <c r="BD259" s="133"/>
      <c r="BE259" s="128"/>
      <c r="BF259" s="128"/>
      <c r="BG259" s="128"/>
      <c r="BH259" s="133"/>
      <c r="BI259" s="128"/>
      <c r="BJ259" s="133"/>
      <c r="BK259" s="128"/>
      <c r="BL259" s="128"/>
      <c r="BM259" s="128"/>
      <c r="BN259" s="133"/>
      <c r="BO259" s="128"/>
      <c r="BP259" s="133"/>
      <c r="BQ259" s="128"/>
      <c r="BR259" s="128"/>
      <c r="BS259" s="128"/>
      <c r="BT259" s="133"/>
      <c r="BU259" s="128"/>
      <c r="BV259" s="133"/>
      <c r="BW259" s="128"/>
      <c r="BX259" s="128"/>
      <c r="BY259" s="128"/>
      <c r="BZ259" s="133"/>
      <c r="CA259" s="128"/>
      <c r="CB259" s="133"/>
      <c r="CC259" s="128"/>
      <c r="CD259" s="128"/>
      <c r="CE259" s="128"/>
      <c r="CF259" s="128"/>
    </row>
    <row r="260" spans="1:84" x14ac:dyDescent="0.5">
      <c r="A260" s="262"/>
      <c r="B260" s="135"/>
      <c r="C260" s="276"/>
      <c r="D260" s="277"/>
      <c r="E260" s="1054"/>
      <c r="F260" s="278"/>
      <c r="G260" s="279"/>
      <c r="H260" s="280"/>
      <c r="I260" s="281"/>
      <c r="J260" s="836"/>
      <c r="K260" s="280"/>
      <c r="L260" s="135"/>
      <c r="M260" s="141"/>
      <c r="N260" s="135"/>
      <c r="O260" s="142"/>
      <c r="P260" s="142"/>
      <c r="Q260" s="142"/>
      <c r="R260" s="213"/>
      <c r="S260" s="172"/>
      <c r="T260" s="173"/>
      <c r="U260" s="174"/>
      <c r="V260" s="175"/>
      <c r="W260" s="282"/>
      <c r="X260" s="175"/>
      <c r="Y260" s="175"/>
      <c r="Z260" s="282"/>
      <c r="AA260" s="283"/>
      <c r="AB260" s="857">
        <v>19100435</v>
      </c>
      <c r="AC260" s="858">
        <v>19250</v>
      </c>
      <c r="AD260" s="915">
        <f t="shared" si="60"/>
        <v>1347.5</v>
      </c>
      <c r="AE260" s="915">
        <f t="shared" si="61"/>
        <v>20597.5</v>
      </c>
      <c r="AF260" s="860">
        <v>43796</v>
      </c>
      <c r="AG260" s="861"/>
      <c r="AH260" s="861"/>
      <c r="AI260" s="861" t="s">
        <v>869</v>
      </c>
      <c r="AJ260" s="862" t="s">
        <v>1206</v>
      </c>
      <c r="AK260" s="158"/>
      <c r="AL260" s="159"/>
      <c r="AM260" s="160"/>
      <c r="AN260" s="160"/>
      <c r="AO260" s="161"/>
      <c r="AP260" s="162"/>
      <c r="AQ260" s="158"/>
      <c r="AR260" s="154"/>
      <c r="AS260" s="161"/>
      <c r="AT260" s="161"/>
      <c r="AU260" s="161"/>
      <c r="AV260" s="177"/>
      <c r="AW260" s="158"/>
      <c r="AX260" s="154"/>
      <c r="AY260" s="161"/>
      <c r="AZ260" s="161"/>
      <c r="BA260" s="161"/>
      <c r="BB260" s="177"/>
      <c r="BC260" s="158"/>
      <c r="BD260" s="163"/>
      <c r="BE260" s="158"/>
      <c r="BF260" s="158"/>
      <c r="BG260" s="158"/>
      <c r="BH260" s="163"/>
      <c r="BI260" s="158"/>
      <c r="BJ260" s="163"/>
      <c r="BK260" s="158"/>
      <c r="BL260" s="158"/>
      <c r="BM260" s="158"/>
      <c r="BN260" s="163"/>
      <c r="BO260" s="158"/>
      <c r="BP260" s="163"/>
      <c r="BQ260" s="158"/>
      <c r="BR260" s="158"/>
      <c r="BS260" s="158"/>
      <c r="BT260" s="163"/>
      <c r="BU260" s="158"/>
      <c r="BV260" s="163"/>
      <c r="BW260" s="158"/>
      <c r="BX260" s="158"/>
      <c r="BY260" s="158"/>
      <c r="BZ260" s="163"/>
      <c r="CA260" s="158"/>
      <c r="CB260" s="163"/>
      <c r="CC260" s="158"/>
      <c r="CD260" s="158"/>
      <c r="CE260" s="158"/>
      <c r="CF260" s="158"/>
    </row>
    <row r="261" spans="1:84" x14ac:dyDescent="0.5">
      <c r="A261" s="262"/>
      <c r="B261" s="135"/>
      <c r="C261" s="276"/>
      <c r="D261" s="277"/>
      <c r="E261" s="1054"/>
      <c r="F261" s="278"/>
      <c r="G261" s="279"/>
      <c r="H261" s="280"/>
      <c r="I261" s="281"/>
      <c r="J261" s="836"/>
      <c r="K261" s="280"/>
      <c r="L261" s="135"/>
      <c r="M261" s="141"/>
      <c r="N261" s="135"/>
      <c r="O261" s="142"/>
      <c r="P261" s="142"/>
      <c r="Q261" s="142"/>
      <c r="R261" s="213"/>
      <c r="S261" s="172"/>
      <c r="T261" s="173"/>
      <c r="U261" s="174"/>
      <c r="V261" s="175"/>
      <c r="W261" s="282"/>
      <c r="X261" s="175"/>
      <c r="Y261" s="175"/>
      <c r="Z261" s="282"/>
      <c r="AA261" s="283"/>
      <c r="AB261" s="292">
        <v>19120523</v>
      </c>
      <c r="AC261" s="293">
        <v>19250</v>
      </c>
      <c r="AD261" s="307">
        <f t="shared" si="60"/>
        <v>1347.5</v>
      </c>
      <c r="AE261" s="307">
        <f t="shared" si="61"/>
        <v>20597.5</v>
      </c>
      <c r="AF261" s="295">
        <v>43847</v>
      </c>
      <c r="AG261" s="296" t="s">
        <v>869</v>
      </c>
      <c r="AH261" s="296"/>
      <c r="AI261" s="296"/>
      <c r="AJ261" s="308" t="s">
        <v>4112</v>
      </c>
      <c r="AK261" s="158"/>
      <c r="AL261" s="159"/>
      <c r="AM261" s="160"/>
      <c r="AN261" s="160"/>
      <c r="AO261" s="161"/>
      <c r="AP261" s="162"/>
      <c r="AQ261" s="158"/>
      <c r="AR261" s="154"/>
      <c r="AS261" s="161"/>
      <c r="AT261" s="161"/>
      <c r="AU261" s="161"/>
      <c r="AV261" s="177"/>
      <c r="AW261" s="158"/>
      <c r="AX261" s="154"/>
      <c r="AY261" s="161"/>
      <c r="AZ261" s="161"/>
      <c r="BA261" s="161"/>
      <c r="BB261" s="177"/>
      <c r="BC261" s="158"/>
      <c r="BD261" s="163"/>
      <c r="BE261" s="158"/>
      <c r="BF261" s="158"/>
      <c r="BG261" s="158"/>
      <c r="BH261" s="163"/>
      <c r="BI261" s="158"/>
      <c r="BJ261" s="163"/>
      <c r="BK261" s="158"/>
      <c r="BL261" s="158"/>
      <c r="BM261" s="158"/>
      <c r="BN261" s="163"/>
      <c r="BO261" s="158"/>
      <c r="BP261" s="163"/>
      <c r="BQ261" s="158"/>
      <c r="BR261" s="158"/>
      <c r="BS261" s="158"/>
      <c r="BT261" s="163"/>
      <c r="BU261" s="158"/>
      <c r="BV261" s="163"/>
      <c r="BW261" s="158"/>
      <c r="BX261" s="158"/>
      <c r="BY261" s="158"/>
      <c r="BZ261" s="163"/>
      <c r="CA261" s="158"/>
      <c r="CB261" s="163"/>
      <c r="CC261" s="158"/>
      <c r="CD261" s="158"/>
      <c r="CE261" s="158"/>
      <c r="CF261" s="158"/>
    </row>
    <row r="262" spans="1:84" x14ac:dyDescent="0.5">
      <c r="A262" s="268"/>
      <c r="B262" s="181"/>
      <c r="C262" s="285"/>
      <c r="D262" s="286"/>
      <c r="E262" s="913"/>
      <c r="F262" s="287"/>
      <c r="G262" s="288"/>
      <c r="H262" s="289"/>
      <c r="I262" s="290"/>
      <c r="J262" s="832"/>
      <c r="K262" s="289"/>
      <c r="L262" s="181"/>
      <c r="M262" s="188"/>
      <c r="N262" s="181"/>
      <c r="O262" s="189"/>
      <c r="P262" s="189"/>
      <c r="Q262" s="189"/>
      <c r="R262" s="214"/>
      <c r="S262" s="191"/>
      <c r="T262" s="192"/>
      <c r="U262" s="193"/>
      <c r="V262" s="194"/>
      <c r="W262" s="235"/>
      <c r="X262" s="194"/>
      <c r="Y262" s="194"/>
      <c r="Z262" s="235"/>
      <c r="AA262" s="236"/>
      <c r="AB262" s="200" t="s">
        <v>3761</v>
      </c>
      <c r="AC262" s="201">
        <v>19250</v>
      </c>
      <c r="AD262" s="202">
        <f t="shared" si="60"/>
        <v>1347.5</v>
      </c>
      <c r="AE262" s="202">
        <f t="shared" si="61"/>
        <v>20597.5</v>
      </c>
      <c r="AF262" s="203">
        <v>43942</v>
      </c>
      <c r="AG262" s="199" t="s">
        <v>869</v>
      </c>
      <c r="AH262" s="199"/>
      <c r="AI262" s="199"/>
      <c r="AJ262" s="180" t="s">
        <v>4113</v>
      </c>
      <c r="AK262" s="204"/>
      <c r="AL262" s="205"/>
      <c r="AM262" s="206"/>
      <c r="AN262" s="206"/>
      <c r="AO262" s="207"/>
      <c r="AP262" s="208"/>
      <c r="AQ262" s="204"/>
      <c r="AR262" s="200"/>
      <c r="AS262" s="207"/>
      <c r="AT262" s="207"/>
      <c r="AU262" s="207"/>
      <c r="AV262" s="209"/>
      <c r="AW262" s="204"/>
      <c r="AX262" s="200"/>
      <c r="AY262" s="207"/>
      <c r="AZ262" s="207"/>
      <c r="BA262" s="207"/>
      <c r="BB262" s="209"/>
      <c r="BC262" s="204"/>
      <c r="BD262" s="210"/>
      <c r="BE262" s="204"/>
      <c r="BF262" s="204"/>
      <c r="BG262" s="204"/>
      <c r="BH262" s="210"/>
      <c r="BI262" s="204"/>
      <c r="BJ262" s="210"/>
      <c r="BK262" s="204"/>
      <c r="BL262" s="204"/>
      <c r="BM262" s="204"/>
      <c r="BN262" s="210"/>
      <c r="BO262" s="204"/>
      <c r="BP262" s="210"/>
      <c r="BQ262" s="204"/>
      <c r="BR262" s="204"/>
      <c r="BS262" s="204"/>
      <c r="BT262" s="210"/>
      <c r="BU262" s="204"/>
      <c r="BV262" s="210"/>
      <c r="BW262" s="204"/>
      <c r="BX262" s="204"/>
      <c r="BY262" s="204"/>
      <c r="BZ262" s="210"/>
      <c r="CA262" s="204"/>
      <c r="CB262" s="210"/>
      <c r="CC262" s="204"/>
      <c r="CD262" s="204"/>
      <c r="CE262" s="204"/>
      <c r="CF262" s="204"/>
    </row>
    <row r="263" spans="1:84" x14ac:dyDescent="0.5">
      <c r="A263" s="227">
        <v>19086310</v>
      </c>
      <c r="B263" s="22">
        <v>19080685</v>
      </c>
      <c r="C263" s="55"/>
      <c r="D263" s="56"/>
      <c r="E263" s="910"/>
      <c r="F263" s="57"/>
      <c r="G263" s="58"/>
      <c r="H263" s="59"/>
      <c r="I263" s="60"/>
      <c r="J263" s="269"/>
      <c r="K263" s="59"/>
      <c r="L263" s="22" t="s">
        <v>2278</v>
      </c>
      <c r="M263" s="28" t="s">
        <v>2525</v>
      </c>
      <c r="N263" s="22" t="s">
        <v>51</v>
      </c>
      <c r="O263" s="29">
        <v>4400</v>
      </c>
      <c r="P263" s="29">
        <f t="shared" si="58"/>
        <v>308</v>
      </c>
      <c r="Q263" s="29">
        <f t="shared" si="59"/>
        <v>4708</v>
      </c>
      <c r="R263" s="61"/>
      <c r="S263" s="96"/>
      <c r="T263" s="97"/>
      <c r="U263" s="98"/>
      <c r="V263" s="99"/>
      <c r="W263" s="100"/>
      <c r="X263" s="99"/>
      <c r="Y263" s="99"/>
      <c r="Z263" s="100"/>
      <c r="AA263" s="101"/>
      <c r="AB263" s="40">
        <v>19080303</v>
      </c>
      <c r="AC263" s="41">
        <v>4400</v>
      </c>
      <c r="AD263" s="63">
        <f t="shared" si="60"/>
        <v>308</v>
      </c>
      <c r="AE263" s="63">
        <f t="shared" si="61"/>
        <v>4708</v>
      </c>
      <c r="AF263" s="53">
        <v>43727</v>
      </c>
      <c r="AG263" s="39" t="s">
        <v>869</v>
      </c>
      <c r="AH263" s="39"/>
      <c r="AI263" s="39"/>
      <c r="AJ263" s="21" t="s">
        <v>2836</v>
      </c>
      <c r="AK263" s="985">
        <v>1</v>
      </c>
      <c r="AL263" s="45" t="s">
        <v>404</v>
      </c>
      <c r="AM263" s="46"/>
      <c r="AN263" s="46"/>
      <c r="AO263" s="47">
        <v>1</v>
      </c>
      <c r="AP263" s="102"/>
      <c r="AQ263" s="989"/>
      <c r="AR263" s="54"/>
      <c r="AS263" s="989"/>
      <c r="AT263" s="989"/>
      <c r="AU263" s="989"/>
      <c r="AV263" s="54"/>
      <c r="AW263" s="989"/>
      <c r="AX263" s="54"/>
      <c r="AY263" s="989"/>
      <c r="AZ263" s="989"/>
      <c r="BA263" s="989"/>
      <c r="BB263" s="54"/>
      <c r="BC263" s="989"/>
      <c r="BD263" s="54"/>
      <c r="BE263" s="989"/>
      <c r="BF263" s="989"/>
      <c r="BG263" s="989"/>
      <c r="BH263" s="54"/>
      <c r="BI263" s="989"/>
      <c r="BJ263" s="54"/>
      <c r="BK263" s="989"/>
      <c r="BL263" s="989"/>
      <c r="BM263" s="989"/>
      <c r="BN263" s="54"/>
      <c r="BO263" s="989"/>
      <c r="BP263" s="54"/>
      <c r="BQ263" s="989"/>
      <c r="BR263" s="989"/>
      <c r="BS263" s="989"/>
      <c r="BT263" s="54"/>
      <c r="BU263" s="989"/>
      <c r="BV263" s="54"/>
      <c r="BW263" s="989"/>
      <c r="BX263" s="989"/>
      <c r="BY263" s="989"/>
      <c r="BZ263" s="54"/>
      <c r="CA263" s="989"/>
      <c r="CB263" s="54"/>
      <c r="CC263" s="989"/>
      <c r="CD263" s="989"/>
      <c r="CE263" s="989"/>
      <c r="CF263" s="989"/>
    </row>
    <row r="264" spans="1:84" x14ac:dyDescent="0.5">
      <c r="A264" s="227">
        <v>19086309</v>
      </c>
      <c r="B264" s="22">
        <v>19080684</v>
      </c>
      <c r="C264" s="55"/>
      <c r="D264" s="56"/>
      <c r="E264" s="910"/>
      <c r="F264" s="57"/>
      <c r="G264" s="58"/>
      <c r="H264" s="59"/>
      <c r="I264" s="60"/>
      <c r="J264" s="269"/>
      <c r="K264" s="59"/>
      <c r="L264" s="22" t="s">
        <v>2278</v>
      </c>
      <c r="M264" s="28" t="s">
        <v>2526</v>
      </c>
      <c r="N264" s="22" t="s">
        <v>51</v>
      </c>
      <c r="O264" s="29">
        <v>7000</v>
      </c>
      <c r="P264" s="29">
        <f t="shared" si="58"/>
        <v>490</v>
      </c>
      <c r="Q264" s="29">
        <f t="shared" si="59"/>
        <v>7490</v>
      </c>
      <c r="R264" s="61"/>
      <c r="S264" s="96"/>
      <c r="T264" s="97"/>
      <c r="U264" s="98"/>
      <c r="V264" s="99"/>
      <c r="W264" s="100"/>
      <c r="X264" s="99"/>
      <c r="Y264" s="99"/>
      <c r="Z264" s="100"/>
      <c r="AA264" s="101"/>
      <c r="AB264" s="40">
        <v>19080304</v>
      </c>
      <c r="AC264" s="41">
        <v>7000</v>
      </c>
      <c r="AD264" s="63">
        <f t="shared" si="60"/>
        <v>490</v>
      </c>
      <c r="AE264" s="63">
        <f t="shared" si="61"/>
        <v>7490</v>
      </c>
      <c r="AF264" s="53">
        <v>43727</v>
      </c>
      <c r="AG264" s="39" t="s">
        <v>869</v>
      </c>
      <c r="AH264" s="39"/>
      <c r="AI264" s="39"/>
      <c r="AJ264" s="21" t="s">
        <v>2836</v>
      </c>
      <c r="AK264" s="985">
        <v>1</v>
      </c>
      <c r="AL264" s="45" t="s">
        <v>404</v>
      </c>
      <c r="AM264" s="46"/>
      <c r="AN264" s="46"/>
      <c r="AO264" s="47">
        <v>1</v>
      </c>
      <c r="AP264" s="102"/>
      <c r="AQ264" s="989"/>
      <c r="AR264" s="54"/>
      <c r="AS264" s="989"/>
      <c r="AT264" s="989"/>
      <c r="AU264" s="989"/>
      <c r="AV264" s="54"/>
      <c r="AW264" s="989"/>
      <c r="AX264" s="54"/>
      <c r="AY264" s="989"/>
      <c r="AZ264" s="989"/>
      <c r="BA264" s="989"/>
      <c r="BB264" s="54"/>
      <c r="BC264" s="989"/>
      <c r="BD264" s="54"/>
      <c r="BE264" s="989"/>
      <c r="BF264" s="989"/>
      <c r="BG264" s="989"/>
      <c r="BH264" s="54"/>
      <c r="BI264" s="989"/>
      <c r="BJ264" s="54"/>
      <c r="BK264" s="989"/>
      <c r="BL264" s="989"/>
      <c r="BM264" s="989"/>
      <c r="BN264" s="54"/>
      <c r="BO264" s="989"/>
      <c r="BP264" s="54"/>
      <c r="BQ264" s="989"/>
      <c r="BR264" s="989"/>
      <c r="BS264" s="989"/>
      <c r="BT264" s="54"/>
      <c r="BU264" s="989"/>
      <c r="BV264" s="54"/>
      <c r="BW264" s="989"/>
      <c r="BX264" s="989"/>
      <c r="BY264" s="989"/>
      <c r="BZ264" s="54"/>
      <c r="CA264" s="989"/>
      <c r="CB264" s="54"/>
      <c r="CC264" s="989"/>
      <c r="CD264" s="989"/>
      <c r="CE264" s="989"/>
      <c r="CF264" s="989"/>
    </row>
    <row r="265" spans="1:84" x14ac:dyDescent="0.5">
      <c r="A265" s="259">
        <v>19086308</v>
      </c>
      <c r="B265" s="104">
        <v>19080708</v>
      </c>
      <c r="C265" s="105" t="s">
        <v>2542</v>
      </c>
      <c r="D265" s="106" t="s">
        <v>1323</v>
      </c>
      <c r="E265" s="302">
        <v>43704</v>
      </c>
      <c r="F265" s="936" t="s">
        <v>1324</v>
      </c>
      <c r="G265" s="937" t="s">
        <v>2478</v>
      </c>
      <c r="H265" s="122">
        <v>43699</v>
      </c>
      <c r="I265" s="109">
        <v>19250</v>
      </c>
      <c r="J265" s="960" t="s">
        <v>869</v>
      </c>
      <c r="K265" s="965">
        <v>43700</v>
      </c>
      <c r="L265" s="104" t="s">
        <v>2543</v>
      </c>
      <c r="M265" s="110" t="s">
        <v>2544</v>
      </c>
      <c r="N265" s="104" t="s">
        <v>1523</v>
      </c>
      <c r="O265" s="111">
        <v>118000</v>
      </c>
      <c r="P265" s="111">
        <f t="shared" si="58"/>
        <v>8260</v>
      </c>
      <c r="Q265" s="111">
        <f t="shared" si="59"/>
        <v>126260</v>
      </c>
      <c r="R265" s="212"/>
      <c r="S265" s="113" t="s">
        <v>1310</v>
      </c>
      <c r="T265" s="114">
        <f>O265</f>
        <v>118000</v>
      </c>
      <c r="U265" s="115">
        <v>5</v>
      </c>
      <c r="V265" s="116">
        <f>T265*U265/100</f>
        <v>5900</v>
      </c>
      <c r="W265" s="117">
        <f>T265-V265</f>
        <v>112100</v>
      </c>
      <c r="X265" s="118">
        <v>0.32</v>
      </c>
      <c r="Y265" s="118">
        <f>W265*X265/100</f>
        <v>358.72</v>
      </c>
      <c r="Z265" s="119">
        <v>0.2</v>
      </c>
      <c r="AA265" s="120">
        <f>W265*Z265/100</f>
        <v>224.2</v>
      </c>
      <c r="AB265" s="229">
        <v>19080270</v>
      </c>
      <c r="AC265" s="230">
        <v>35514.019999999997</v>
      </c>
      <c r="AD265" s="220">
        <f t="shared" si="60"/>
        <v>2485.9813999999997</v>
      </c>
      <c r="AE265" s="220">
        <f t="shared" si="61"/>
        <v>38000.001399999994</v>
      </c>
      <c r="AF265" s="221">
        <v>43690</v>
      </c>
      <c r="AG265" s="121" t="s">
        <v>869</v>
      </c>
      <c r="AH265" s="121"/>
      <c r="AI265" s="121"/>
      <c r="AJ265" s="222" t="s">
        <v>2716</v>
      </c>
      <c r="AK265" s="128">
        <v>1</v>
      </c>
      <c r="AL265" s="129" t="s">
        <v>829</v>
      </c>
      <c r="AM265" s="130"/>
      <c r="AN265" s="130" t="s">
        <v>869</v>
      </c>
      <c r="AO265" s="131">
        <v>1</v>
      </c>
      <c r="AP265" s="132" t="s">
        <v>634</v>
      </c>
      <c r="AQ265" s="128">
        <v>2</v>
      </c>
      <c r="AR265" s="123" t="s">
        <v>2545</v>
      </c>
      <c r="AS265" s="131"/>
      <c r="AT265" s="131" t="s">
        <v>869</v>
      </c>
      <c r="AU265" s="131">
        <v>2</v>
      </c>
      <c r="AV265" s="169" t="s">
        <v>634</v>
      </c>
      <c r="AW265" s="128">
        <v>3</v>
      </c>
      <c r="AX265" s="123" t="s">
        <v>1499</v>
      </c>
      <c r="AY265" s="131" t="s">
        <v>869</v>
      </c>
      <c r="AZ265" s="131"/>
      <c r="BA265" s="131">
        <v>2</v>
      </c>
      <c r="BB265" s="169" t="s">
        <v>636</v>
      </c>
      <c r="BC265" s="128"/>
      <c r="BD265" s="133"/>
      <c r="BE265" s="128"/>
      <c r="BF265" s="128"/>
      <c r="BG265" s="128"/>
      <c r="BH265" s="133"/>
      <c r="BI265" s="128"/>
      <c r="BJ265" s="133"/>
      <c r="BK265" s="128"/>
      <c r="BL265" s="128"/>
      <c r="BM265" s="128"/>
      <c r="BN265" s="133"/>
      <c r="BO265" s="128"/>
      <c r="BP265" s="133"/>
      <c r="BQ265" s="128"/>
      <c r="BR265" s="128"/>
      <c r="BS265" s="128"/>
      <c r="BT265" s="133"/>
      <c r="BU265" s="128"/>
      <c r="BV265" s="133"/>
      <c r="BW265" s="128"/>
      <c r="BX265" s="128"/>
      <c r="BY265" s="128"/>
      <c r="BZ265" s="133"/>
      <c r="CA265" s="128"/>
      <c r="CB265" s="133"/>
      <c r="CC265" s="128"/>
      <c r="CD265" s="128"/>
      <c r="CE265" s="128"/>
      <c r="CF265" s="128"/>
    </row>
    <row r="266" spans="1:84" x14ac:dyDescent="0.5">
      <c r="A266" s="262"/>
      <c r="B266" s="135"/>
      <c r="C266" s="136"/>
      <c r="D266" s="137"/>
      <c r="E266" s="1030">
        <v>43713</v>
      </c>
      <c r="F266" s="940"/>
      <c r="G266" s="941"/>
      <c r="H266" s="179">
        <v>43699</v>
      </c>
      <c r="I266" s="140">
        <v>19251</v>
      </c>
      <c r="J266" s="963"/>
      <c r="K266" s="964"/>
      <c r="L266" s="135"/>
      <c r="M266" s="141"/>
      <c r="N266" s="135"/>
      <c r="O266" s="142"/>
      <c r="P266" s="142"/>
      <c r="Q266" s="142"/>
      <c r="R266" s="213"/>
      <c r="S266" s="144"/>
      <c r="T266" s="145"/>
      <c r="U266" s="146"/>
      <c r="V266" s="147"/>
      <c r="W266" s="148"/>
      <c r="X266" s="149"/>
      <c r="Y266" s="149"/>
      <c r="Z266" s="150"/>
      <c r="AA266" s="151"/>
      <c r="AB266" s="154">
        <v>19080295</v>
      </c>
      <c r="AC266" s="155">
        <v>82485.98</v>
      </c>
      <c r="AD266" s="156">
        <f t="shared" si="60"/>
        <v>5774.0185999999994</v>
      </c>
      <c r="AE266" s="156">
        <f t="shared" si="61"/>
        <v>88259.998599999992</v>
      </c>
      <c r="AF266" s="157">
        <v>43696</v>
      </c>
      <c r="AG266" s="152" t="s">
        <v>869</v>
      </c>
      <c r="AH266" s="152"/>
      <c r="AI266" s="152"/>
      <c r="AJ266" s="134" t="s">
        <v>2709</v>
      </c>
      <c r="AK266" s="158"/>
      <c r="AL266" s="159"/>
      <c r="AM266" s="160"/>
      <c r="AN266" s="160"/>
      <c r="AO266" s="161"/>
      <c r="AP266" s="162"/>
      <c r="AQ266" s="158"/>
      <c r="AR266" s="154"/>
      <c r="AS266" s="161"/>
      <c r="AT266" s="161"/>
      <c r="AU266" s="161"/>
      <c r="AV266" s="177"/>
      <c r="AW266" s="158"/>
      <c r="AX266" s="154"/>
      <c r="AY266" s="161"/>
      <c r="AZ266" s="161"/>
      <c r="BA266" s="161"/>
      <c r="BB266" s="177"/>
      <c r="BC266" s="158"/>
      <c r="BD266" s="163"/>
      <c r="BE266" s="158"/>
      <c r="BF266" s="158"/>
      <c r="BG266" s="158"/>
      <c r="BH266" s="163"/>
      <c r="BI266" s="158"/>
      <c r="BJ266" s="163"/>
      <c r="BK266" s="158"/>
      <c r="BL266" s="158"/>
      <c r="BM266" s="158"/>
      <c r="BN266" s="163"/>
      <c r="BO266" s="158"/>
      <c r="BP266" s="163"/>
      <c r="BQ266" s="158"/>
      <c r="BR266" s="158"/>
      <c r="BS266" s="158"/>
      <c r="BT266" s="163"/>
      <c r="BU266" s="158"/>
      <c r="BV266" s="163"/>
      <c r="BW266" s="158"/>
      <c r="BX266" s="158"/>
      <c r="BY266" s="158"/>
      <c r="BZ266" s="163"/>
      <c r="CA266" s="158"/>
      <c r="CB266" s="163"/>
      <c r="CC266" s="158"/>
      <c r="CD266" s="158"/>
      <c r="CE266" s="158"/>
      <c r="CF266" s="158"/>
    </row>
    <row r="267" spans="1:84" x14ac:dyDescent="0.5">
      <c r="A267" s="262"/>
      <c r="B267" s="135"/>
      <c r="C267" s="136"/>
      <c r="D267" s="137"/>
      <c r="E267" s="906"/>
      <c r="F267" s="940" t="s">
        <v>1324</v>
      </c>
      <c r="G267" s="941" t="s">
        <v>3202</v>
      </c>
      <c r="H267" s="179">
        <v>43811</v>
      </c>
      <c r="I267" s="140">
        <v>19395</v>
      </c>
      <c r="J267" s="963"/>
      <c r="K267" s="964">
        <v>43812</v>
      </c>
      <c r="L267" s="135"/>
      <c r="M267" s="141"/>
      <c r="N267" s="135"/>
      <c r="O267" s="142"/>
      <c r="P267" s="142"/>
      <c r="Q267" s="142"/>
      <c r="R267" s="213"/>
      <c r="S267" s="144"/>
      <c r="T267" s="145"/>
      <c r="U267" s="146"/>
      <c r="V267" s="147"/>
      <c r="W267" s="148"/>
      <c r="X267" s="149"/>
      <c r="Y267" s="149"/>
      <c r="Z267" s="150"/>
      <c r="AA267" s="151"/>
      <c r="AB267" s="154"/>
      <c r="AC267" s="155"/>
      <c r="AD267" s="156"/>
      <c r="AE267" s="156"/>
      <c r="AF267" s="157"/>
      <c r="AG267" s="152"/>
      <c r="AH267" s="152"/>
      <c r="AI267" s="152"/>
      <c r="AJ267" s="134"/>
      <c r="AK267" s="158"/>
      <c r="AL267" s="159"/>
      <c r="AM267" s="160"/>
      <c r="AN267" s="160"/>
      <c r="AO267" s="161"/>
      <c r="AP267" s="162"/>
      <c r="AQ267" s="158"/>
      <c r="AR267" s="154"/>
      <c r="AS267" s="161"/>
      <c r="AT267" s="161"/>
      <c r="AU267" s="161"/>
      <c r="AV267" s="177"/>
      <c r="AW267" s="158"/>
      <c r="AX267" s="154"/>
      <c r="AY267" s="161"/>
      <c r="AZ267" s="161"/>
      <c r="BA267" s="161"/>
      <c r="BB267" s="177"/>
      <c r="BC267" s="158"/>
      <c r="BD267" s="163"/>
      <c r="BE267" s="158"/>
      <c r="BF267" s="158"/>
      <c r="BG267" s="158"/>
      <c r="BH267" s="163"/>
      <c r="BI267" s="158"/>
      <c r="BJ267" s="163"/>
      <c r="BK267" s="158"/>
      <c r="BL267" s="158"/>
      <c r="BM267" s="158"/>
      <c r="BN267" s="163"/>
      <c r="BO267" s="158"/>
      <c r="BP267" s="163"/>
      <c r="BQ267" s="158"/>
      <c r="BR267" s="158"/>
      <c r="BS267" s="158"/>
      <c r="BT267" s="163"/>
      <c r="BU267" s="158"/>
      <c r="BV267" s="163"/>
      <c r="BW267" s="158"/>
      <c r="BX267" s="158"/>
      <c r="BY267" s="158"/>
      <c r="BZ267" s="163"/>
      <c r="CA267" s="158"/>
      <c r="CB267" s="163"/>
      <c r="CC267" s="158"/>
      <c r="CD267" s="158"/>
      <c r="CE267" s="158"/>
      <c r="CF267" s="158"/>
    </row>
    <row r="268" spans="1:84" x14ac:dyDescent="0.5">
      <c r="A268" s="259">
        <v>19086307</v>
      </c>
      <c r="B268" s="104">
        <v>19040386</v>
      </c>
      <c r="C268" s="105" t="s">
        <v>2546</v>
      </c>
      <c r="D268" s="106" t="s">
        <v>1323</v>
      </c>
      <c r="E268" s="302">
        <v>43739</v>
      </c>
      <c r="F268" s="936" t="s">
        <v>1324</v>
      </c>
      <c r="G268" s="937" t="s">
        <v>2920</v>
      </c>
      <c r="H268" s="211">
        <v>43759</v>
      </c>
      <c r="I268" s="164">
        <v>19332</v>
      </c>
      <c r="J268" s="960" t="s">
        <v>869</v>
      </c>
      <c r="K268" s="965">
        <v>43760</v>
      </c>
      <c r="L268" s="104" t="s">
        <v>1223</v>
      </c>
      <c r="M268" s="110" t="s">
        <v>2547</v>
      </c>
      <c r="N268" s="104" t="s">
        <v>52</v>
      </c>
      <c r="O268" s="111">
        <v>200000</v>
      </c>
      <c r="P268" s="111">
        <f>O268*7/100</f>
        <v>14000</v>
      </c>
      <c r="Q268" s="111">
        <f>O268+P268</f>
        <v>214000</v>
      </c>
      <c r="R268" s="212"/>
      <c r="S268" s="113" t="s">
        <v>2696</v>
      </c>
      <c r="T268" s="114">
        <f>O268</f>
        <v>200000</v>
      </c>
      <c r="U268" s="115">
        <v>5</v>
      </c>
      <c r="V268" s="116">
        <f>T268*U268/100</f>
        <v>10000</v>
      </c>
      <c r="W268" s="117">
        <f>T268-V268</f>
        <v>190000</v>
      </c>
      <c r="X268" s="118">
        <v>0.37</v>
      </c>
      <c r="Y268" s="118">
        <f>W268*X268/100</f>
        <v>703</v>
      </c>
      <c r="Z268" s="119">
        <v>0.2</v>
      </c>
      <c r="AA268" s="120">
        <f>W268*Z268/100</f>
        <v>380</v>
      </c>
      <c r="AB268" s="229">
        <v>19100412</v>
      </c>
      <c r="AC268" s="230">
        <v>60000</v>
      </c>
      <c r="AD268" s="220">
        <f>AC268*7/100</f>
        <v>4200</v>
      </c>
      <c r="AE268" s="233">
        <f t="shared" si="61"/>
        <v>64200</v>
      </c>
      <c r="AF268" s="221">
        <v>43756</v>
      </c>
      <c r="AG268" s="121" t="s">
        <v>869</v>
      </c>
      <c r="AH268" s="121"/>
      <c r="AI268" s="121"/>
      <c r="AJ268" s="979" t="s">
        <v>3039</v>
      </c>
      <c r="AK268" s="128">
        <v>1</v>
      </c>
      <c r="AL268" s="129" t="s">
        <v>648</v>
      </c>
      <c r="AM268" s="130"/>
      <c r="AN268" s="130" t="s">
        <v>869</v>
      </c>
      <c r="AO268" s="131">
        <v>8</v>
      </c>
      <c r="AP268" s="132" t="s">
        <v>634</v>
      </c>
      <c r="AQ268" s="128"/>
      <c r="AR268" s="133"/>
      <c r="AS268" s="128"/>
      <c r="AT268" s="128"/>
      <c r="AU268" s="128"/>
      <c r="AV268" s="133"/>
      <c r="AW268" s="128"/>
      <c r="AX268" s="133"/>
      <c r="AY268" s="128"/>
      <c r="AZ268" s="128"/>
      <c r="BA268" s="128"/>
      <c r="BB268" s="133"/>
      <c r="BC268" s="128"/>
      <c r="BD268" s="133"/>
      <c r="BE268" s="128"/>
      <c r="BF268" s="128"/>
      <c r="BG268" s="128"/>
      <c r="BH268" s="133"/>
      <c r="BI268" s="128"/>
      <c r="BJ268" s="133"/>
      <c r="BK268" s="128"/>
      <c r="BL268" s="128"/>
      <c r="BM268" s="128"/>
      <c r="BN268" s="133"/>
      <c r="BO268" s="128"/>
      <c r="BP268" s="133"/>
      <c r="BQ268" s="128"/>
      <c r="BR268" s="128"/>
      <c r="BS268" s="128"/>
      <c r="BT268" s="133"/>
      <c r="BU268" s="128"/>
      <c r="BV268" s="133"/>
      <c r="BW268" s="128"/>
      <c r="BX268" s="128"/>
      <c r="BY268" s="128"/>
      <c r="BZ268" s="133"/>
      <c r="CA268" s="128"/>
      <c r="CB268" s="133"/>
      <c r="CC268" s="128"/>
      <c r="CD268" s="128"/>
      <c r="CE268" s="128"/>
      <c r="CF268" s="128"/>
    </row>
    <row r="269" spans="1:84" x14ac:dyDescent="0.5">
      <c r="A269" s="262"/>
      <c r="B269" s="135"/>
      <c r="C269" s="136"/>
      <c r="D269" s="137"/>
      <c r="E269" s="906"/>
      <c r="F269" s="940"/>
      <c r="G269" s="941"/>
      <c r="H269" s="178">
        <v>43759</v>
      </c>
      <c r="I269" s="171">
        <v>19333</v>
      </c>
      <c r="J269" s="963"/>
      <c r="K269" s="154"/>
      <c r="L269" s="135"/>
      <c r="M269" s="141"/>
      <c r="N269" s="135"/>
      <c r="O269" s="142"/>
      <c r="P269" s="142"/>
      <c r="Q269" s="142"/>
      <c r="R269" s="213"/>
      <c r="S269" s="144"/>
      <c r="T269" s="145"/>
      <c r="U269" s="146"/>
      <c r="V269" s="147"/>
      <c r="W269" s="148"/>
      <c r="X269" s="149"/>
      <c r="Y269" s="149"/>
      <c r="Z269" s="150"/>
      <c r="AA269" s="151"/>
      <c r="AB269" s="154">
        <v>19100413</v>
      </c>
      <c r="AC269" s="155">
        <v>140000</v>
      </c>
      <c r="AD269" s="156">
        <f>AC269*7/100</f>
        <v>9800</v>
      </c>
      <c r="AE269" s="253">
        <f t="shared" si="61"/>
        <v>149800</v>
      </c>
      <c r="AF269" s="157">
        <v>43756</v>
      </c>
      <c r="AG269" s="152" t="s">
        <v>869</v>
      </c>
      <c r="AH269" s="152"/>
      <c r="AI269" s="152"/>
      <c r="AJ269" s="842" t="s">
        <v>3040</v>
      </c>
      <c r="AK269" s="158"/>
      <c r="AL269" s="159"/>
      <c r="AM269" s="160"/>
      <c r="AN269" s="160"/>
      <c r="AO269" s="161"/>
      <c r="AP269" s="162"/>
      <c r="AQ269" s="158"/>
      <c r="AR269" s="163"/>
      <c r="AS269" s="158"/>
      <c r="AT269" s="158"/>
      <c r="AU269" s="158"/>
      <c r="AV269" s="163"/>
      <c r="AW269" s="158"/>
      <c r="AX269" s="163"/>
      <c r="AY269" s="158"/>
      <c r="AZ269" s="158"/>
      <c r="BA269" s="158"/>
      <c r="BB269" s="163"/>
      <c r="BC269" s="158"/>
      <c r="BD269" s="163"/>
      <c r="BE269" s="158"/>
      <c r="BF269" s="158"/>
      <c r="BG269" s="158"/>
      <c r="BH269" s="163"/>
      <c r="BI269" s="158"/>
      <c r="BJ269" s="163"/>
      <c r="BK269" s="158"/>
      <c r="BL269" s="158"/>
      <c r="BM269" s="158"/>
      <c r="BN269" s="163"/>
      <c r="BO269" s="158"/>
      <c r="BP269" s="163"/>
      <c r="BQ269" s="158"/>
      <c r="BR269" s="158"/>
      <c r="BS269" s="158"/>
      <c r="BT269" s="163"/>
      <c r="BU269" s="158"/>
      <c r="BV269" s="163"/>
      <c r="BW269" s="158"/>
      <c r="BX269" s="158"/>
      <c r="BY269" s="158"/>
      <c r="BZ269" s="163"/>
      <c r="CA269" s="158"/>
      <c r="CB269" s="163"/>
      <c r="CC269" s="158"/>
      <c r="CD269" s="158"/>
      <c r="CE269" s="158"/>
      <c r="CF269" s="158"/>
    </row>
    <row r="270" spans="1:84" x14ac:dyDescent="0.5">
      <c r="A270" s="268"/>
      <c r="B270" s="181"/>
      <c r="C270" s="182"/>
      <c r="D270" s="183"/>
      <c r="E270" s="749"/>
      <c r="F270" s="938"/>
      <c r="G270" s="939"/>
      <c r="H270" s="186">
        <v>43759</v>
      </c>
      <c r="I270" s="187">
        <v>19334</v>
      </c>
      <c r="J270" s="961"/>
      <c r="K270" s="200"/>
      <c r="L270" s="181"/>
      <c r="M270" s="188"/>
      <c r="N270" s="181"/>
      <c r="O270" s="189"/>
      <c r="P270" s="189"/>
      <c r="Q270" s="189"/>
      <c r="R270" s="214"/>
      <c r="S270" s="215"/>
      <c r="T270" s="216"/>
      <c r="U270" s="217"/>
      <c r="V270" s="218"/>
      <c r="W270" s="195"/>
      <c r="X270" s="196"/>
      <c r="Y270" s="196"/>
      <c r="Z270" s="197"/>
      <c r="AA270" s="198"/>
      <c r="AB270" s="200"/>
      <c r="AC270" s="201"/>
      <c r="AD270" s="202"/>
      <c r="AE270" s="237"/>
      <c r="AF270" s="203"/>
      <c r="AG270" s="199"/>
      <c r="AH270" s="199"/>
      <c r="AI270" s="199"/>
      <c r="AJ270" s="843"/>
      <c r="AK270" s="204"/>
      <c r="AL270" s="205"/>
      <c r="AM270" s="206"/>
      <c r="AN270" s="206"/>
      <c r="AO270" s="207"/>
      <c r="AP270" s="208"/>
      <c r="AQ270" s="204"/>
      <c r="AR270" s="210"/>
      <c r="AS270" s="204"/>
      <c r="AT270" s="204"/>
      <c r="AU270" s="204"/>
      <c r="AV270" s="210"/>
      <c r="AW270" s="204"/>
      <c r="AX270" s="210"/>
      <c r="AY270" s="204"/>
      <c r="AZ270" s="204"/>
      <c r="BA270" s="204"/>
      <c r="BB270" s="210"/>
      <c r="BC270" s="204"/>
      <c r="BD270" s="210"/>
      <c r="BE270" s="204"/>
      <c r="BF270" s="204"/>
      <c r="BG270" s="204"/>
      <c r="BH270" s="210"/>
      <c r="BI270" s="204"/>
      <c r="BJ270" s="210"/>
      <c r="BK270" s="204"/>
      <c r="BL270" s="204"/>
      <c r="BM270" s="204"/>
      <c r="BN270" s="210"/>
      <c r="BO270" s="204"/>
      <c r="BP270" s="210"/>
      <c r="BQ270" s="204"/>
      <c r="BR270" s="204"/>
      <c r="BS270" s="204"/>
      <c r="BT270" s="210"/>
      <c r="BU270" s="204"/>
      <c r="BV270" s="210"/>
      <c r="BW270" s="204"/>
      <c r="BX270" s="204"/>
      <c r="BY270" s="204"/>
      <c r="BZ270" s="210"/>
      <c r="CA270" s="204"/>
      <c r="CB270" s="210"/>
      <c r="CC270" s="204"/>
      <c r="CD270" s="204"/>
      <c r="CE270" s="204"/>
      <c r="CF270" s="204"/>
    </row>
    <row r="271" spans="1:84" s="95" customFormat="1" x14ac:dyDescent="0.5">
      <c r="A271" s="65">
        <v>19086306</v>
      </c>
      <c r="B271" s="66">
        <v>19080679</v>
      </c>
      <c r="C271" s="312"/>
      <c r="D271" s="313"/>
      <c r="E271" s="929"/>
      <c r="F271" s="314"/>
      <c r="G271" s="315"/>
      <c r="H271" s="316"/>
      <c r="I271" s="317"/>
      <c r="J271" s="835"/>
      <c r="K271" s="316"/>
      <c r="L271" s="66" t="s">
        <v>2531</v>
      </c>
      <c r="M271" s="72" t="s">
        <v>2532</v>
      </c>
      <c r="N271" s="66" t="s">
        <v>50</v>
      </c>
      <c r="O271" s="73">
        <v>32000</v>
      </c>
      <c r="P271" s="73">
        <f>O271*7/100</f>
        <v>2240</v>
      </c>
      <c r="Q271" s="73">
        <f>O271+P271</f>
        <v>34240</v>
      </c>
      <c r="R271" s="318"/>
      <c r="S271" s="319"/>
      <c r="T271" s="320"/>
      <c r="U271" s="321"/>
      <c r="V271" s="322"/>
      <c r="W271" s="323"/>
      <c r="X271" s="322"/>
      <c r="Y271" s="322"/>
      <c r="Z271" s="323"/>
      <c r="AA271" s="324"/>
      <c r="AB271" s="84"/>
      <c r="AC271" s="85"/>
      <c r="AD271" s="86"/>
      <c r="AE271" s="86"/>
      <c r="AF271" s="87"/>
      <c r="AG271" s="83"/>
      <c r="AH271" s="83"/>
      <c r="AI271" s="83"/>
      <c r="AJ271" s="65"/>
      <c r="AK271" s="88">
        <v>1</v>
      </c>
      <c r="AL271" s="89" t="s">
        <v>404</v>
      </c>
      <c r="AM271" s="90"/>
      <c r="AN271" s="90"/>
      <c r="AO271" s="91">
        <v>1</v>
      </c>
      <c r="AP271" s="633"/>
      <c r="AQ271" s="88"/>
      <c r="AR271" s="94"/>
      <c r="AS271" s="88"/>
      <c r="AT271" s="88"/>
      <c r="AU271" s="88"/>
      <c r="AV271" s="94"/>
      <c r="AW271" s="88"/>
      <c r="AX271" s="94"/>
      <c r="AY271" s="88"/>
      <c r="AZ271" s="88"/>
      <c r="BA271" s="88"/>
      <c r="BB271" s="94"/>
      <c r="BC271" s="88"/>
      <c r="BD271" s="94"/>
      <c r="BE271" s="88"/>
      <c r="BF271" s="88"/>
      <c r="BG271" s="88"/>
      <c r="BH271" s="94"/>
      <c r="BI271" s="88"/>
      <c r="BJ271" s="94"/>
      <c r="BK271" s="88"/>
      <c r="BL271" s="88"/>
      <c r="BM271" s="88"/>
      <c r="BN271" s="94"/>
      <c r="BO271" s="88"/>
      <c r="BP271" s="94"/>
      <c r="BQ271" s="88"/>
      <c r="BR271" s="88"/>
      <c r="BS271" s="88"/>
      <c r="BT271" s="94"/>
      <c r="BU271" s="88"/>
      <c r="BV271" s="94"/>
      <c r="BW271" s="88"/>
      <c r="BX271" s="88"/>
      <c r="BY271" s="88"/>
      <c r="BZ271" s="94"/>
      <c r="CA271" s="88"/>
      <c r="CB271" s="94"/>
      <c r="CC271" s="88"/>
      <c r="CD271" s="88"/>
      <c r="CE271" s="88"/>
      <c r="CF271" s="88"/>
    </row>
    <row r="272" spans="1:84" x14ac:dyDescent="0.5">
      <c r="A272" s="259">
        <v>19086305</v>
      </c>
      <c r="B272" s="104">
        <v>19080678</v>
      </c>
      <c r="C272" s="105" t="s">
        <v>2533</v>
      </c>
      <c r="D272" s="106" t="s">
        <v>1323</v>
      </c>
      <c r="E272" s="302">
        <v>43706</v>
      </c>
      <c r="F272" s="936" t="s">
        <v>1324</v>
      </c>
      <c r="G272" s="937" t="s">
        <v>2659</v>
      </c>
      <c r="H272" s="122">
        <v>43713</v>
      </c>
      <c r="I272" s="109">
        <v>19272</v>
      </c>
      <c r="J272" s="960" t="s">
        <v>869</v>
      </c>
      <c r="K272" s="965">
        <v>43714</v>
      </c>
      <c r="L272" s="104" t="s">
        <v>2531</v>
      </c>
      <c r="M272" s="110" t="s">
        <v>2534</v>
      </c>
      <c r="N272" s="104" t="s">
        <v>50</v>
      </c>
      <c r="O272" s="111">
        <v>112528</v>
      </c>
      <c r="P272" s="111">
        <f>O272*7/100</f>
        <v>7876.96</v>
      </c>
      <c r="Q272" s="111">
        <f>O272+P272</f>
        <v>120404.96</v>
      </c>
      <c r="R272" s="212"/>
      <c r="S272" s="113" t="s">
        <v>1197</v>
      </c>
      <c r="T272" s="114">
        <f>O272</f>
        <v>112528</v>
      </c>
      <c r="U272" s="115">
        <v>5</v>
      </c>
      <c r="V272" s="116">
        <f>T272*U272/100</f>
        <v>5626.4</v>
      </c>
      <c r="W272" s="117">
        <f>T272-V272</f>
        <v>106901.6</v>
      </c>
      <c r="X272" s="118">
        <v>0.49</v>
      </c>
      <c r="Y272" s="118">
        <f>W272*X272/100</f>
        <v>523.81784000000005</v>
      </c>
      <c r="Z272" s="119">
        <v>0.2</v>
      </c>
      <c r="AA272" s="120">
        <f>W272*Z272/100</f>
        <v>213.80320000000003</v>
      </c>
      <c r="AB272" s="229">
        <v>19080268</v>
      </c>
      <c r="AC272" s="230">
        <v>33758.400000000001</v>
      </c>
      <c r="AD272" s="220">
        <f>AC272*7/100</f>
        <v>2363.0880000000002</v>
      </c>
      <c r="AE272" s="220">
        <f>AC272+AD272</f>
        <v>36121.488000000005</v>
      </c>
      <c r="AF272" s="221">
        <v>43687</v>
      </c>
      <c r="AG272" s="121" t="s">
        <v>869</v>
      </c>
      <c r="AH272" s="121"/>
      <c r="AI272" s="121"/>
      <c r="AJ272" s="222" t="s">
        <v>2719</v>
      </c>
      <c r="AK272" s="128">
        <v>1</v>
      </c>
      <c r="AL272" s="129" t="s">
        <v>840</v>
      </c>
      <c r="AM272" s="130"/>
      <c r="AN272" s="130" t="s">
        <v>869</v>
      </c>
      <c r="AO272" s="131">
        <v>1</v>
      </c>
      <c r="AP272" s="132" t="s">
        <v>634</v>
      </c>
      <c r="AQ272" s="128">
        <v>2</v>
      </c>
      <c r="AR272" s="123" t="s">
        <v>2535</v>
      </c>
      <c r="AS272" s="131"/>
      <c r="AT272" s="131" t="s">
        <v>869</v>
      </c>
      <c r="AU272" s="131">
        <v>1</v>
      </c>
      <c r="AV272" s="169" t="s">
        <v>634</v>
      </c>
      <c r="AW272" s="128">
        <v>3</v>
      </c>
      <c r="AX272" s="123" t="s">
        <v>2536</v>
      </c>
      <c r="AY272" s="131"/>
      <c r="AZ272" s="131" t="s">
        <v>869</v>
      </c>
      <c r="BA272" s="131">
        <v>1</v>
      </c>
      <c r="BB272" s="169" t="s">
        <v>634</v>
      </c>
      <c r="BC272" s="128">
        <v>4</v>
      </c>
      <c r="BD272" s="123" t="s">
        <v>755</v>
      </c>
      <c r="BE272" s="131" t="s">
        <v>869</v>
      </c>
      <c r="BF272" s="131"/>
      <c r="BG272" s="131">
        <v>1</v>
      </c>
      <c r="BH272" s="169" t="s">
        <v>634</v>
      </c>
      <c r="BI272" s="128">
        <v>5</v>
      </c>
      <c r="BJ272" s="123" t="s">
        <v>2537</v>
      </c>
      <c r="BK272" s="131" t="s">
        <v>869</v>
      </c>
      <c r="BL272" s="131"/>
      <c r="BM272" s="131">
        <v>1</v>
      </c>
      <c r="BN272" s="169" t="s">
        <v>634</v>
      </c>
      <c r="BO272" s="128"/>
      <c r="BP272" s="133"/>
      <c r="BQ272" s="128"/>
      <c r="BR272" s="128"/>
      <c r="BS272" s="128"/>
      <c r="BT272" s="133"/>
      <c r="BU272" s="128"/>
      <c r="BV272" s="133"/>
      <c r="BW272" s="128"/>
      <c r="BX272" s="128"/>
      <c r="BY272" s="128"/>
      <c r="BZ272" s="133"/>
      <c r="CA272" s="128"/>
      <c r="CB272" s="133"/>
      <c r="CC272" s="128"/>
      <c r="CD272" s="128"/>
      <c r="CE272" s="128"/>
      <c r="CF272" s="128"/>
    </row>
    <row r="273" spans="1:84" x14ac:dyDescent="0.5">
      <c r="A273" s="268"/>
      <c r="B273" s="181"/>
      <c r="C273" s="182"/>
      <c r="D273" s="183"/>
      <c r="E273" s="749"/>
      <c r="F273" s="938"/>
      <c r="G273" s="939"/>
      <c r="H273" s="186"/>
      <c r="I273" s="187"/>
      <c r="J273" s="961"/>
      <c r="K273" s="966"/>
      <c r="L273" s="181"/>
      <c r="M273" s="188"/>
      <c r="N273" s="181"/>
      <c r="O273" s="189"/>
      <c r="P273" s="189"/>
      <c r="Q273" s="189"/>
      <c r="R273" s="214"/>
      <c r="S273" s="215"/>
      <c r="T273" s="216"/>
      <c r="U273" s="217"/>
      <c r="V273" s="218"/>
      <c r="W273" s="195"/>
      <c r="X273" s="196"/>
      <c r="Y273" s="196"/>
      <c r="Z273" s="197"/>
      <c r="AA273" s="198"/>
      <c r="AB273" s="200">
        <v>19090328</v>
      </c>
      <c r="AC273" s="201">
        <v>78769.600000000006</v>
      </c>
      <c r="AD273" s="202">
        <f>AC273*7/100</f>
        <v>5513.8720000000003</v>
      </c>
      <c r="AE273" s="202">
        <f>AC273+AD273</f>
        <v>84283.472000000009</v>
      </c>
      <c r="AF273" s="203">
        <v>43712</v>
      </c>
      <c r="AG273" s="199" t="s">
        <v>869</v>
      </c>
      <c r="AH273" s="199"/>
      <c r="AI273" s="199"/>
      <c r="AJ273" s="180" t="s">
        <v>2861</v>
      </c>
      <c r="AK273" s="204"/>
      <c r="AL273" s="205"/>
      <c r="AM273" s="206"/>
      <c r="AN273" s="206"/>
      <c r="AO273" s="207"/>
      <c r="AP273" s="208"/>
      <c r="AQ273" s="204"/>
      <c r="AR273" s="200"/>
      <c r="AS273" s="207"/>
      <c r="AT273" s="207"/>
      <c r="AU273" s="207"/>
      <c r="AV273" s="209"/>
      <c r="AW273" s="204"/>
      <c r="AX273" s="200"/>
      <c r="AY273" s="207"/>
      <c r="AZ273" s="207"/>
      <c r="BA273" s="207"/>
      <c r="BB273" s="209"/>
      <c r="BC273" s="204"/>
      <c r="BD273" s="200"/>
      <c r="BE273" s="207"/>
      <c r="BF273" s="207"/>
      <c r="BG273" s="207"/>
      <c r="BH273" s="209"/>
      <c r="BI273" s="204"/>
      <c r="BJ273" s="200"/>
      <c r="BK273" s="207"/>
      <c r="BL273" s="207"/>
      <c r="BM273" s="207"/>
      <c r="BN273" s="209"/>
      <c r="BO273" s="204"/>
      <c r="BP273" s="210"/>
      <c r="BQ273" s="204"/>
      <c r="BR273" s="204"/>
      <c r="BS273" s="204"/>
      <c r="BT273" s="210"/>
      <c r="BU273" s="204"/>
      <c r="BV273" s="210"/>
      <c r="BW273" s="204"/>
      <c r="BX273" s="204"/>
      <c r="BY273" s="204"/>
      <c r="BZ273" s="210"/>
      <c r="CA273" s="204"/>
      <c r="CB273" s="210"/>
      <c r="CC273" s="204"/>
      <c r="CD273" s="204"/>
      <c r="CE273" s="204"/>
      <c r="CF273" s="204"/>
    </row>
    <row r="274" spans="1:84" x14ac:dyDescent="0.5">
      <c r="A274" s="227">
        <v>19086304</v>
      </c>
      <c r="B274" s="22">
        <v>19080674</v>
      </c>
      <c r="C274" s="55"/>
      <c r="D274" s="56"/>
      <c r="E274" s="910"/>
      <c r="F274" s="57"/>
      <c r="G274" s="58"/>
      <c r="H274" s="59"/>
      <c r="I274" s="60"/>
      <c r="J274" s="269"/>
      <c r="K274" s="59"/>
      <c r="L274" s="22" t="s">
        <v>547</v>
      </c>
      <c r="M274" s="28" t="s">
        <v>548</v>
      </c>
      <c r="N274" s="22" t="s">
        <v>1523</v>
      </c>
      <c r="O274" s="29">
        <v>33644.86</v>
      </c>
      <c r="P274" s="29">
        <f>O274*7/100</f>
        <v>2355.1402000000003</v>
      </c>
      <c r="Q274" s="29">
        <f>O274+P274</f>
        <v>36000.000200000002</v>
      </c>
      <c r="R274" s="61"/>
      <c r="S274" s="96"/>
      <c r="T274" s="97"/>
      <c r="U274" s="98"/>
      <c r="V274" s="99"/>
      <c r="W274" s="35">
        <f>O274</f>
        <v>33644.86</v>
      </c>
      <c r="X274" s="36">
        <v>1</v>
      </c>
      <c r="Y274" s="36">
        <f>W274*X274/100</f>
        <v>336.4486</v>
      </c>
      <c r="Z274" s="100"/>
      <c r="AA274" s="101"/>
      <c r="AB274" s="40">
        <v>19080288</v>
      </c>
      <c r="AC274" s="41">
        <v>33644.86</v>
      </c>
      <c r="AD274" s="52">
        <f>AC274*7/100</f>
        <v>2355.1402000000003</v>
      </c>
      <c r="AE274" s="52">
        <f>AC274+AD274</f>
        <v>36000.000200000002</v>
      </c>
      <c r="AF274" s="53">
        <v>43691</v>
      </c>
      <c r="AG274" s="39" t="s">
        <v>869</v>
      </c>
      <c r="AH274" s="39"/>
      <c r="AI274" s="39"/>
      <c r="AJ274" s="21" t="s">
        <v>2594</v>
      </c>
      <c r="AK274" s="983">
        <v>1</v>
      </c>
      <c r="AL274" s="45" t="s">
        <v>548</v>
      </c>
      <c r="AM274" s="46"/>
      <c r="AN274" s="46"/>
      <c r="AO274" s="47">
        <v>30</v>
      </c>
      <c r="AP274" s="48" t="s">
        <v>628</v>
      </c>
      <c r="AQ274" s="989"/>
      <c r="AR274" s="54"/>
      <c r="AS274" s="989"/>
      <c r="AT274" s="989"/>
      <c r="AU274" s="989"/>
      <c r="AV274" s="54"/>
      <c r="AW274" s="989"/>
      <c r="AX274" s="54"/>
      <c r="AY274" s="989"/>
      <c r="AZ274" s="989"/>
      <c r="BA274" s="989"/>
      <c r="BB274" s="54"/>
      <c r="BC274" s="989"/>
      <c r="BD274" s="54"/>
      <c r="BE274" s="989"/>
      <c r="BF274" s="989"/>
      <c r="BG274" s="989"/>
      <c r="BH274" s="54"/>
      <c r="BI274" s="989"/>
      <c r="BJ274" s="54"/>
      <c r="BK274" s="989"/>
      <c r="BL274" s="989"/>
      <c r="BM274" s="989"/>
      <c r="BN274" s="54"/>
      <c r="BO274" s="989"/>
      <c r="BP274" s="54"/>
      <c r="BQ274" s="989"/>
      <c r="BR274" s="989"/>
      <c r="BS274" s="989"/>
      <c r="BT274" s="54"/>
      <c r="BU274" s="989"/>
      <c r="BV274" s="54"/>
      <c r="BW274" s="989"/>
      <c r="BX274" s="989"/>
      <c r="BY274" s="989"/>
      <c r="BZ274" s="54"/>
      <c r="CA274" s="989"/>
      <c r="CB274" s="54"/>
      <c r="CC274" s="989"/>
      <c r="CD274" s="989"/>
      <c r="CE274" s="989"/>
      <c r="CF274" s="989"/>
    </row>
    <row r="275" spans="1:84" x14ac:dyDescent="0.5">
      <c r="A275" s="227" t="s">
        <v>2506</v>
      </c>
      <c r="B275" s="22">
        <v>19080728</v>
      </c>
      <c r="C275" s="23" t="s">
        <v>2507</v>
      </c>
      <c r="D275" s="24" t="s">
        <v>1323</v>
      </c>
      <c r="E275" s="884">
        <v>43699</v>
      </c>
      <c r="F275" s="932" t="s">
        <v>1324</v>
      </c>
      <c r="G275" s="933" t="s">
        <v>2870</v>
      </c>
      <c r="H275" s="62">
        <v>43747</v>
      </c>
      <c r="I275" s="27">
        <v>19314</v>
      </c>
      <c r="J275" s="931" t="s">
        <v>869</v>
      </c>
      <c r="K275" s="957">
        <v>43749</v>
      </c>
      <c r="L275" s="22" t="s">
        <v>2508</v>
      </c>
      <c r="M275" s="28" t="s">
        <v>415</v>
      </c>
      <c r="N275" s="22" t="s">
        <v>51</v>
      </c>
      <c r="O275" s="29">
        <v>100000</v>
      </c>
      <c r="P275" s="29" t="s">
        <v>402</v>
      </c>
      <c r="Q275" s="29">
        <f>O275</f>
        <v>100000</v>
      </c>
      <c r="R275" s="61"/>
      <c r="S275" s="96"/>
      <c r="T275" s="97"/>
      <c r="U275" s="98"/>
      <c r="V275" s="99"/>
      <c r="W275" s="100"/>
      <c r="X275" s="99"/>
      <c r="Y275" s="99"/>
      <c r="Z275" s="100"/>
      <c r="AA275" s="101"/>
      <c r="AB275" s="59"/>
      <c r="AC275" s="867"/>
      <c r="AD275" s="96"/>
      <c r="AE275" s="96"/>
      <c r="AF275" s="868"/>
      <c r="AG275" s="39" t="s">
        <v>869</v>
      </c>
      <c r="AH275" s="39"/>
      <c r="AI275" s="39"/>
      <c r="AJ275" s="21"/>
      <c r="AK275" s="984">
        <v>1</v>
      </c>
      <c r="AL275" s="45" t="s">
        <v>2509</v>
      </c>
      <c r="AM275" s="46" t="s">
        <v>869</v>
      </c>
      <c r="AN275" s="46"/>
      <c r="AO275" s="47">
        <v>2</v>
      </c>
      <c r="AP275" s="48" t="s">
        <v>635</v>
      </c>
      <c r="AQ275" s="985"/>
      <c r="AR275" s="54"/>
      <c r="AS275" s="985"/>
      <c r="AT275" s="985"/>
      <c r="AU275" s="985"/>
      <c r="AV275" s="54"/>
      <c r="AW275" s="985"/>
      <c r="AX275" s="54"/>
      <c r="AY275" s="985"/>
      <c r="AZ275" s="985"/>
      <c r="BA275" s="985"/>
      <c r="BB275" s="54"/>
      <c r="BC275" s="985"/>
      <c r="BD275" s="54"/>
      <c r="BE275" s="985"/>
      <c r="BF275" s="985"/>
      <c r="BG275" s="985"/>
      <c r="BH275" s="54"/>
      <c r="BI275" s="985"/>
      <c r="BJ275" s="54"/>
      <c r="BK275" s="985"/>
      <c r="BL275" s="985"/>
      <c r="BM275" s="985"/>
      <c r="BN275" s="54"/>
      <c r="BO275" s="985"/>
      <c r="BP275" s="54"/>
      <c r="BQ275" s="985"/>
      <c r="BR275" s="985"/>
      <c r="BS275" s="985"/>
      <c r="BT275" s="54"/>
      <c r="BU275" s="985"/>
      <c r="BV275" s="54"/>
      <c r="BW275" s="985"/>
      <c r="BX275" s="985"/>
      <c r="BY275" s="985"/>
      <c r="BZ275" s="54"/>
      <c r="CA275" s="985"/>
      <c r="CB275" s="54"/>
      <c r="CC275" s="985"/>
      <c r="CD275" s="985"/>
      <c r="CE275" s="985"/>
      <c r="CF275" s="985"/>
    </row>
    <row r="276" spans="1:84" x14ac:dyDescent="0.5">
      <c r="A276" s="227" t="s">
        <v>2501</v>
      </c>
      <c r="B276" s="22">
        <v>19080721</v>
      </c>
      <c r="C276" s="23" t="s">
        <v>2502</v>
      </c>
      <c r="D276" s="24" t="s">
        <v>1323</v>
      </c>
      <c r="E276" s="884">
        <v>43707</v>
      </c>
      <c r="F276" s="932" t="s">
        <v>1324</v>
      </c>
      <c r="G276" s="933" t="s">
        <v>2587</v>
      </c>
      <c r="H276" s="62">
        <v>43708</v>
      </c>
      <c r="I276" s="27">
        <v>19263</v>
      </c>
      <c r="J276" s="931" t="s">
        <v>869</v>
      </c>
      <c r="K276" s="957">
        <v>43708</v>
      </c>
      <c r="L276" s="22" t="s">
        <v>2503</v>
      </c>
      <c r="M276" s="28" t="s">
        <v>2504</v>
      </c>
      <c r="N276" s="22" t="s">
        <v>2505</v>
      </c>
      <c r="O276" s="29">
        <v>28000</v>
      </c>
      <c r="P276" s="29" t="s">
        <v>402</v>
      </c>
      <c r="Q276" s="29">
        <f>O276</f>
        <v>28000</v>
      </c>
      <c r="R276" s="61"/>
      <c r="S276" s="96"/>
      <c r="T276" s="97"/>
      <c r="U276" s="98"/>
      <c r="V276" s="99"/>
      <c r="W276" s="100"/>
      <c r="X276" s="99"/>
      <c r="Y276" s="99"/>
      <c r="Z276" s="100"/>
      <c r="AA276" s="101"/>
      <c r="AB276" s="59"/>
      <c r="AC276" s="867"/>
      <c r="AD276" s="96"/>
      <c r="AE276" s="96"/>
      <c r="AF276" s="868"/>
      <c r="AG276" s="39" t="s">
        <v>869</v>
      </c>
      <c r="AH276" s="39"/>
      <c r="AI276" s="39"/>
      <c r="AJ276" s="21" t="s">
        <v>2702</v>
      </c>
      <c r="AK276" s="984">
        <v>1</v>
      </c>
      <c r="AL276" s="45" t="s">
        <v>1606</v>
      </c>
      <c r="AM276" s="46" t="s">
        <v>869</v>
      </c>
      <c r="AN276" s="46"/>
      <c r="AO276" s="47">
        <v>4</v>
      </c>
      <c r="AP276" s="48" t="s">
        <v>636</v>
      </c>
      <c r="AQ276" s="985"/>
      <c r="AR276" s="54"/>
      <c r="AS276" s="985"/>
      <c r="AT276" s="985"/>
      <c r="AU276" s="985"/>
      <c r="AV276" s="54"/>
      <c r="AW276" s="985"/>
      <c r="AX276" s="54"/>
      <c r="AY276" s="985"/>
      <c r="AZ276" s="985"/>
      <c r="BA276" s="985"/>
      <c r="BB276" s="54"/>
      <c r="BC276" s="985"/>
      <c r="BD276" s="54"/>
      <c r="BE276" s="985"/>
      <c r="BF276" s="985"/>
      <c r="BG276" s="985"/>
      <c r="BH276" s="54"/>
      <c r="BI276" s="985"/>
      <c r="BJ276" s="54"/>
      <c r="BK276" s="985"/>
      <c r="BL276" s="985"/>
      <c r="BM276" s="985"/>
      <c r="BN276" s="54"/>
      <c r="BO276" s="985"/>
      <c r="BP276" s="54"/>
      <c r="BQ276" s="985"/>
      <c r="BR276" s="985"/>
      <c r="BS276" s="985"/>
      <c r="BT276" s="54"/>
      <c r="BU276" s="985"/>
      <c r="BV276" s="54"/>
      <c r="BW276" s="985"/>
      <c r="BX276" s="985"/>
      <c r="BY276" s="985"/>
      <c r="BZ276" s="54"/>
      <c r="CA276" s="985"/>
      <c r="CB276" s="54"/>
      <c r="CC276" s="985"/>
      <c r="CD276" s="985"/>
      <c r="CE276" s="985"/>
      <c r="CF276" s="985"/>
    </row>
    <row r="277" spans="1:84" x14ac:dyDescent="0.5">
      <c r="A277" s="227" t="s">
        <v>2499</v>
      </c>
      <c r="B277" s="22">
        <v>19080673</v>
      </c>
      <c r="C277" s="55"/>
      <c r="D277" s="56"/>
      <c r="E277" s="910"/>
      <c r="F277" s="57"/>
      <c r="G277" s="58"/>
      <c r="H277" s="59"/>
      <c r="I277" s="60"/>
      <c r="J277" s="269"/>
      <c r="K277" s="59"/>
      <c r="L277" s="22" t="s">
        <v>2500</v>
      </c>
      <c r="M277" s="28" t="s">
        <v>548</v>
      </c>
      <c r="N277" s="22" t="s">
        <v>1523</v>
      </c>
      <c r="O277" s="29">
        <v>2400</v>
      </c>
      <c r="P277" s="29" t="s">
        <v>402</v>
      </c>
      <c r="Q277" s="29">
        <f>O277</f>
        <v>2400</v>
      </c>
      <c r="R277" s="61"/>
      <c r="S277" s="96"/>
      <c r="T277" s="97"/>
      <c r="U277" s="98"/>
      <c r="V277" s="99"/>
      <c r="W277" s="100"/>
      <c r="X277" s="99"/>
      <c r="Y277" s="99"/>
      <c r="Z277" s="100"/>
      <c r="AA277" s="101"/>
      <c r="AB277" s="59"/>
      <c r="AC277" s="867"/>
      <c r="AD277" s="96"/>
      <c r="AE277" s="96"/>
      <c r="AF277" s="868"/>
      <c r="AG277" s="39" t="s">
        <v>869</v>
      </c>
      <c r="AH277" s="39"/>
      <c r="AI277" s="39"/>
      <c r="AJ277" s="21" t="s">
        <v>2737</v>
      </c>
      <c r="AK277" s="984">
        <v>1</v>
      </c>
      <c r="AL277" s="45" t="s">
        <v>548</v>
      </c>
      <c r="AM277" s="46"/>
      <c r="AN277" s="46"/>
      <c r="AO277" s="47">
        <v>2</v>
      </c>
      <c r="AP277" s="48" t="s">
        <v>628</v>
      </c>
      <c r="AQ277" s="985"/>
      <c r="AR277" s="54"/>
      <c r="AS277" s="985"/>
      <c r="AT277" s="985"/>
      <c r="AU277" s="985"/>
      <c r="AV277" s="54"/>
      <c r="AW277" s="985"/>
      <c r="AX277" s="54"/>
      <c r="AY277" s="985"/>
      <c r="AZ277" s="985"/>
      <c r="BA277" s="985"/>
      <c r="BB277" s="54"/>
      <c r="BC277" s="985"/>
      <c r="BD277" s="54"/>
      <c r="BE277" s="985"/>
      <c r="BF277" s="985"/>
      <c r="BG277" s="985"/>
      <c r="BH277" s="54"/>
      <c r="BI277" s="985"/>
      <c r="BJ277" s="54"/>
      <c r="BK277" s="985"/>
      <c r="BL277" s="985"/>
      <c r="BM277" s="985"/>
      <c r="BN277" s="54"/>
      <c r="BO277" s="985"/>
      <c r="BP277" s="54"/>
      <c r="BQ277" s="985"/>
      <c r="BR277" s="985"/>
      <c r="BS277" s="985"/>
      <c r="BT277" s="54"/>
      <c r="BU277" s="985"/>
      <c r="BV277" s="54"/>
      <c r="BW277" s="985"/>
      <c r="BX277" s="985"/>
      <c r="BY277" s="985"/>
      <c r="BZ277" s="54"/>
      <c r="CA277" s="985"/>
      <c r="CB277" s="54"/>
      <c r="CC277" s="985"/>
      <c r="CD277" s="985"/>
      <c r="CE277" s="985"/>
      <c r="CF277" s="985"/>
    </row>
    <row r="278" spans="1:84" x14ac:dyDescent="0.5">
      <c r="A278" s="227">
        <v>19086303</v>
      </c>
      <c r="B278" s="22">
        <v>19080672</v>
      </c>
      <c r="C278" s="23" t="s">
        <v>2478</v>
      </c>
      <c r="D278" s="24" t="s">
        <v>1323</v>
      </c>
      <c r="E278" s="884">
        <v>43703</v>
      </c>
      <c r="F278" s="932" t="s">
        <v>1324</v>
      </c>
      <c r="G278" s="933" t="s">
        <v>2546</v>
      </c>
      <c r="H278" s="62">
        <v>43703</v>
      </c>
      <c r="I278" s="27">
        <v>19254</v>
      </c>
      <c r="J278" s="931" t="s">
        <v>869</v>
      </c>
      <c r="K278" s="957">
        <v>43703</v>
      </c>
      <c r="L278" s="22" t="s">
        <v>10</v>
      </c>
      <c r="M278" s="28" t="s">
        <v>2409</v>
      </c>
      <c r="N278" s="22" t="s">
        <v>51</v>
      </c>
      <c r="O278" s="29">
        <v>200000</v>
      </c>
      <c r="P278" s="29">
        <f t="shared" ref="P278:P289" si="62">O278*7/100</f>
        <v>14000</v>
      </c>
      <c r="Q278" s="29">
        <f t="shared" ref="Q278:Q289" si="63">O278+P278</f>
        <v>214000</v>
      </c>
      <c r="R278" s="61"/>
      <c r="S278" s="96"/>
      <c r="T278" s="97"/>
      <c r="U278" s="98"/>
      <c r="V278" s="99"/>
      <c r="W278" s="100"/>
      <c r="X278" s="99"/>
      <c r="Y278" s="99"/>
      <c r="Z278" s="100"/>
      <c r="AA278" s="101"/>
      <c r="AB278" s="40">
        <v>19090320</v>
      </c>
      <c r="AC278" s="41">
        <v>200000</v>
      </c>
      <c r="AD278" s="52">
        <f t="shared" ref="AD278:AD287" si="64">AC278*7/100</f>
        <v>14000</v>
      </c>
      <c r="AE278" s="52">
        <f t="shared" ref="AE278:AE287" si="65">AC278+AD278</f>
        <v>214000</v>
      </c>
      <c r="AF278" s="53">
        <v>43755</v>
      </c>
      <c r="AG278" s="39" t="s">
        <v>869</v>
      </c>
      <c r="AH278" s="39"/>
      <c r="AI278" s="39"/>
      <c r="AJ278" s="21" t="s">
        <v>3043</v>
      </c>
      <c r="AK278" s="984">
        <v>1</v>
      </c>
      <c r="AL278" s="45" t="s">
        <v>2410</v>
      </c>
      <c r="AM278" s="46"/>
      <c r="AN278" s="46" t="s">
        <v>869</v>
      </c>
      <c r="AO278" s="47">
        <v>1</v>
      </c>
      <c r="AP278" s="48" t="s">
        <v>633</v>
      </c>
      <c r="AQ278" s="984"/>
      <c r="AR278" s="54"/>
      <c r="AS278" s="984"/>
      <c r="AT278" s="984"/>
      <c r="AU278" s="984"/>
      <c r="AV278" s="54"/>
      <c r="AW278" s="984"/>
      <c r="AX278" s="54"/>
      <c r="AY278" s="984"/>
      <c r="AZ278" s="984"/>
      <c r="BA278" s="984"/>
      <c r="BB278" s="54"/>
      <c r="BC278" s="984"/>
      <c r="BD278" s="54"/>
      <c r="BE278" s="984"/>
      <c r="BF278" s="984"/>
      <c r="BG278" s="984"/>
      <c r="BH278" s="54"/>
      <c r="BI278" s="984"/>
      <c r="BJ278" s="54"/>
      <c r="BK278" s="984"/>
      <c r="BL278" s="984"/>
      <c r="BM278" s="984"/>
      <c r="BN278" s="54"/>
      <c r="BO278" s="984"/>
      <c r="BP278" s="54"/>
      <c r="BQ278" s="984"/>
      <c r="BR278" s="984"/>
      <c r="BS278" s="984"/>
      <c r="BT278" s="54"/>
      <c r="BU278" s="984"/>
      <c r="BV278" s="54"/>
      <c r="BW278" s="984"/>
      <c r="BX278" s="984"/>
      <c r="BY278" s="984"/>
      <c r="BZ278" s="54"/>
      <c r="CA278" s="984"/>
      <c r="CB278" s="54"/>
      <c r="CC278" s="984"/>
      <c r="CD278" s="984"/>
      <c r="CE278" s="984"/>
      <c r="CF278" s="984"/>
    </row>
    <row r="279" spans="1:84" x14ac:dyDescent="0.5">
      <c r="A279" s="227">
        <v>19086302</v>
      </c>
      <c r="B279" s="22">
        <v>19080671</v>
      </c>
      <c r="C279" s="23" t="s">
        <v>2479</v>
      </c>
      <c r="D279" s="24" t="s">
        <v>1323</v>
      </c>
      <c r="E279" s="884">
        <v>43697</v>
      </c>
      <c r="F279" s="932" t="s">
        <v>1324</v>
      </c>
      <c r="G279" s="933" t="s">
        <v>2160</v>
      </c>
      <c r="H279" s="62">
        <v>43693</v>
      </c>
      <c r="I279" s="27">
        <v>19239</v>
      </c>
      <c r="J279" s="931" t="s">
        <v>869</v>
      </c>
      <c r="K279" s="957">
        <v>43693</v>
      </c>
      <c r="L279" s="22" t="s">
        <v>23</v>
      </c>
      <c r="M279" s="28" t="s">
        <v>152</v>
      </c>
      <c r="N279" s="22" t="s">
        <v>51</v>
      </c>
      <c r="O279" s="29">
        <v>208000</v>
      </c>
      <c r="P279" s="29">
        <f t="shared" si="62"/>
        <v>14560</v>
      </c>
      <c r="Q279" s="29">
        <f t="shared" si="63"/>
        <v>222560</v>
      </c>
      <c r="R279" s="61"/>
      <c r="S279" s="96"/>
      <c r="T279" s="97"/>
      <c r="U279" s="98"/>
      <c r="V279" s="99"/>
      <c r="W279" s="100"/>
      <c r="X279" s="99"/>
      <c r="Y279" s="99"/>
      <c r="Z279" s="100"/>
      <c r="AA279" s="101"/>
      <c r="AB279" s="40">
        <v>19080305</v>
      </c>
      <c r="AC279" s="41">
        <v>208000</v>
      </c>
      <c r="AD279" s="52">
        <f t="shared" si="64"/>
        <v>14560</v>
      </c>
      <c r="AE279" s="52">
        <f t="shared" si="65"/>
        <v>222560</v>
      </c>
      <c r="AF279" s="53">
        <v>43727</v>
      </c>
      <c r="AG279" s="39" t="s">
        <v>869</v>
      </c>
      <c r="AH279" s="39"/>
      <c r="AI279" s="39"/>
      <c r="AJ279" s="21" t="s">
        <v>2838</v>
      </c>
      <c r="AK279" s="983">
        <v>1</v>
      </c>
      <c r="AL279" s="45" t="s">
        <v>2480</v>
      </c>
      <c r="AM279" s="46"/>
      <c r="AN279" s="46" t="s">
        <v>869</v>
      </c>
      <c r="AO279" s="47">
        <v>2</v>
      </c>
      <c r="AP279" s="48" t="s">
        <v>635</v>
      </c>
      <c r="AQ279" s="984"/>
      <c r="AR279" s="54"/>
      <c r="AS279" s="984"/>
      <c r="AT279" s="984"/>
      <c r="AU279" s="984"/>
      <c r="AV279" s="54"/>
      <c r="AW279" s="984"/>
      <c r="AX279" s="54"/>
      <c r="AY279" s="984"/>
      <c r="AZ279" s="984"/>
      <c r="BA279" s="984"/>
      <c r="BB279" s="54"/>
      <c r="BC279" s="984"/>
      <c r="BD279" s="54"/>
      <c r="BE279" s="984"/>
      <c r="BF279" s="984"/>
      <c r="BG279" s="984"/>
      <c r="BH279" s="54"/>
      <c r="BI279" s="984"/>
      <c r="BJ279" s="54"/>
      <c r="BK279" s="984"/>
      <c r="BL279" s="984"/>
      <c r="BM279" s="984"/>
      <c r="BN279" s="54"/>
      <c r="BO279" s="984"/>
      <c r="BP279" s="54"/>
      <c r="BQ279" s="984"/>
      <c r="BR279" s="984"/>
      <c r="BS279" s="984"/>
      <c r="BT279" s="54"/>
      <c r="BU279" s="984"/>
      <c r="BV279" s="54"/>
      <c r="BW279" s="984"/>
      <c r="BX279" s="984"/>
      <c r="BY279" s="984"/>
      <c r="BZ279" s="54"/>
      <c r="CA279" s="984"/>
      <c r="CB279" s="54"/>
      <c r="CC279" s="984"/>
      <c r="CD279" s="984"/>
      <c r="CE279" s="984"/>
      <c r="CF279" s="984"/>
    </row>
    <row r="280" spans="1:84" x14ac:dyDescent="0.5">
      <c r="A280" s="227">
        <v>19086301</v>
      </c>
      <c r="B280" s="22">
        <v>19080669</v>
      </c>
      <c r="C280" s="23" t="s">
        <v>2481</v>
      </c>
      <c r="D280" s="24" t="s">
        <v>1323</v>
      </c>
      <c r="E280" s="884">
        <v>43697</v>
      </c>
      <c r="F280" s="932" t="s">
        <v>1324</v>
      </c>
      <c r="G280" s="933" t="s">
        <v>2533</v>
      </c>
      <c r="H280" s="62">
        <v>43710</v>
      </c>
      <c r="I280" s="27">
        <v>19264</v>
      </c>
      <c r="J280" s="931" t="s">
        <v>869</v>
      </c>
      <c r="K280" s="957">
        <v>43710</v>
      </c>
      <c r="L280" s="22" t="s">
        <v>1221</v>
      </c>
      <c r="M280" s="28" t="s">
        <v>2482</v>
      </c>
      <c r="N280" s="22" t="s">
        <v>51</v>
      </c>
      <c r="O280" s="29">
        <v>168000</v>
      </c>
      <c r="P280" s="29">
        <f t="shared" si="62"/>
        <v>11760</v>
      </c>
      <c r="Q280" s="29">
        <f t="shared" si="63"/>
        <v>179760</v>
      </c>
      <c r="R280" s="61"/>
      <c r="S280" s="96"/>
      <c r="T280" s="97"/>
      <c r="U280" s="98"/>
      <c r="V280" s="99"/>
      <c r="W280" s="100"/>
      <c r="X280" s="99"/>
      <c r="Y280" s="99"/>
      <c r="Z280" s="100"/>
      <c r="AA280" s="101"/>
      <c r="AB280" s="40">
        <v>19090322</v>
      </c>
      <c r="AC280" s="41">
        <v>168000</v>
      </c>
      <c r="AD280" s="52">
        <f t="shared" si="64"/>
        <v>11760</v>
      </c>
      <c r="AE280" s="52">
        <f t="shared" si="65"/>
        <v>179760</v>
      </c>
      <c r="AF280" s="53">
        <v>43755</v>
      </c>
      <c r="AG280" s="39" t="s">
        <v>869</v>
      </c>
      <c r="AH280" s="39"/>
      <c r="AI280" s="39"/>
      <c r="AJ280" s="21" t="s">
        <v>3044</v>
      </c>
      <c r="AK280" s="983">
        <v>1</v>
      </c>
      <c r="AL280" s="45" t="s">
        <v>2483</v>
      </c>
      <c r="AM280" s="46"/>
      <c r="AN280" s="46" t="s">
        <v>869</v>
      </c>
      <c r="AO280" s="47">
        <v>1</v>
      </c>
      <c r="AP280" s="48" t="s">
        <v>633</v>
      </c>
      <c r="AQ280" s="984"/>
      <c r="AR280" s="54"/>
      <c r="AS280" s="984"/>
      <c r="AT280" s="984"/>
      <c r="AU280" s="984"/>
      <c r="AV280" s="54"/>
      <c r="AW280" s="984"/>
      <c r="AX280" s="54"/>
      <c r="AY280" s="984"/>
      <c r="AZ280" s="984"/>
      <c r="BA280" s="984"/>
      <c r="BB280" s="54"/>
      <c r="BC280" s="984"/>
      <c r="BD280" s="54"/>
      <c r="BE280" s="984"/>
      <c r="BF280" s="984"/>
      <c r="BG280" s="984"/>
      <c r="BH280" s="54"/>
      <c r="BI280" s="984"/>
      <c r="BJ280" s="54"/>
      <c r="BK280" s="984"/>
      <c r="BL280" s="984"/>
      <c r="BM280" s="984"/>
      <c r="BN280" s="54"/>
      <c r="BO280" s="984"/>
      <c r="BP280" s="54"/>
      <c r="BQ280" s="984"/>
      <c r="BR280" s="984"/>
      <c r="BS280" s="984"/>
      <c r="BT280" s="54"/>
      <c r="BU280" s="984"/>
      <c r="BV280" s="54"/>
      <c r="BW280" s="984"/>
      <c r="BX280" s="984"/>
      <c r="BY280" s="984"/>
      <c r="BZ280" s="54"/>
      <c r="CA280" s="984"/>
      <c r="CB280" s="54"/>
      <c r="CC280" s="984"/>
      <c r="CD280" s="984"/>
      <c r="CE280" s="984"/>
      <c r="CF280" s="984"/>
    </row>
    <row r="281" spans="1:84" x14ac:dyDescent="0.5">
      <c r="A281" s="227">
        <v>19076300</v>
      </c>
      <c r="B281" s="22">
        <v>19070668</v>
      </c>
      <c r="C281" s="23" t="s">
        <v>2484</v>
      </c>
      <c r="D281" s="24" t="s">
        <v>1323</v>
      </c>
      <c r="E281" s="884">
        <v>43703</v>
      </c>
      <c r="F281" s="932" t="s">
        <v>1324</v>
      </c>
      <c r="G281" s="933" t="s">
        <v>2502</v>
      </c>
      <c r="H281" s="62">
        <v>43706</v>
      </c>
      <c r="I281" s="27">
        <v>19260</v>
      </c>
      <c r="J281" s="931" t="s">
        <v>869</v>
      </c>
      <c r="K281" s="957">
        <v>43707</v>
      </c>
      <c r="L281" s="22" t="s">
        <v>15</v>
      </c>
      <c r="M281" s="28" t="s">
        <v>2485</v>
      </c>
      <c r="N281" s="22" t="s">
        <v>51</v>
      </c>
      <c r="O281" s="29">
        <v>116244</v>
      </c>
      <c r="P281" s="29">
        <f t="shared" si="62"/>
        <v>8137.08</v>
      </c>
      <c r="Q281" s="29">
        <f t="shared" si="63"/>
        <v>124381.08</v>
      </c>
      <c r="R281" s="61"/>
      <c r="S281" s="96"/>
      <c r="T281" s="97"/>
      <c r="U281" s="98"/>
      <c r="V281" s="99"/>
      <c r="W281" s="100"/>
      <c r="X281" s="99"/>
      <c r="Y281" s="99"/>
      <c r="Z281" s="100"/>
      <c r="AA281" s="101"/>
      <c r="AB281" s="40">
        <v>19090319</v>
      </c>
      <c r="AC281" s="41">
        <v>116244</v>
      </c>
      <c r="AD281" s="52">
        <f t="shared" si="64"/>
        <v>8137.08</v>
      </c>
      <c r="AE281" s="52">
        <f t="shared" si="65"/>
        <v>124381.08</v>
      </c>
      <c r="AF281" s="53">
        <v>43755</v>
      </c>
      <c r="AG281" s="39" t="s">
        <v>869</v>
      </c>
      <c r="AH281" s="39"/>
      <c r="AI281" s="39"/>
      <c r="AJ281" s="21" t="s">
        <v>3045</v>
      </c>
      <c r="AK281" s="977">
        <v>1</v>
      </c>
      <c r="AL281" s="45" t="s">
        <v>2486</v>
      </c>
      <c r="AM281" s="46" t="s">
        <v>869</v>
      </c>
      <c r="AN281" s="46"/>
      <c r="AO281" s="47">
        <v>1</v>
      </c>
      <c r="AP281" s="48" t="s">
        <v>633</v>
      </c>
      <c r="AQ281" s="984"/>
      <c r="AR281" s="54"/>
      <c r="AS281" s="984"/>
      <c r="AT281" s="984"/>
      <c r="AU281" s="984"/>
      <c r="AV281" s="54"/>
      <c r="AW281" s="984"/>
      <c r="AX281" s="54"/>
      <c r="AY281" s="984"/>
      <c r="AZ281" s="984"/>
      <c r="BA281" s="984"/>
      <c r="BB281" s="54"/>
      <c r="BC281" s="984"/>
      <c r="BD281" s="54"/>
      <c r="BE281" s="984"/>
      <c r="BF281" s="984"/>
      <c r="BG281" s="984"/>
      <c r="BH281" s="54"/>
      <c r="BI281" s="984"/>
      <c r="BJ281" s="54"/>
      <c r="BK281" s="984"/>
      <c r="BL281" s="984"/>
      <c r="BM281" s="984"/>
      <c r="BN281" s="54"/>
      <c r="BO281" s="984"/>
      <c r="BP281" s="54"/>
      <c r="BQ281" s="984"/>
      <c r="BR281" s="984"/>
      <c r="BS281" s="984"/>
      <c r="BT281" s="54"/>
      <c r="BU281" s="984"/>
      <c r="BV281" s="54"/>
      <c r="BW281" s="984"/>
      <c r="BX281" s="984"/>
      <c r="BY281" s="984"/>
      <c r="BZ281" s="54"/>
      <c r="CA281" s="984"/>
      <c r="CB281" s="54"/>
      <c r="CC281" s="984"/>
      <c r="CD281" s="984"/>
      <c r="CE281" s="984"/>
      <c r="CF281" s="984"/>
    </row>
    <row r="282" spans="1:84" x14ac:dyDescent="0.5">
      <c r="A282" s="227">
        <v>19076299</v>
      </c>
      <c r="B282" s="22">
        <v>19070667</v>
      </c>
      <c r="C282" s="23" t="s">
        <v>2160</v>
      </c>
      <c r="D282" s="24" t="s">
        <v>1323</v>
      </c>
      <c r="E282" s="884">
        <v>43688</v>
      </c>
      <c r="F282" s="932" t="s">
        <v>1324</v>
      </c>
      <c r="G282" s="933" t="s">
        <v>2433</v>
      </c>
      <c r="H282" s="62">
        <v>43687</v>
      </c>
      <c r="I282" s="27">
        <v>19232</v>
      </c>
      <c r="J282" s="931" t="s">
        <v>869</v>
      </c>
      <c r="K282" s="957">
        <v>43690</v>
      </c>
      <c r="L282" s="22" t="s">
        <v>20</v>
      </c>
      <c r="M282" s="28" t="s">
        <v>160</v>
      </c>
      <c r="N282" s="22" t="s">
        <v>51</v>
      </c>
      <c r="O282" s="29">
        <v>35049</v>
      </c>
      <c r="P282" s="29">
        <f t="shared" si="62"/>
        <v>2453.4299999999998</v>
      </c>
      <c r="Q282" s="29">
        <f t="shared" si="63"/>
        <v>37502.43</v>
      </c>
      <c r="R282" s="61"/>
      <c r="S282" s="96"/>
      <c r="T282" s="97"/>
      <c r="U282" s="98"/>
      <c r="V282" s="99"/>
      <c r="W282" s="100"/>
      <c r="X282" s="99"/>
      <c r="Y282" s="99"/>
      <c r="Z282" s="100"/>
      <c r="AA282" s="101"/>
      <c r="AB282" s="40">
        <v>19080302</v>
      </c>
      <c r="AC282" s="41">
        <v>35049</v>
      </c>
      <c r="AD282" s="52">
        <f t="shared" si="64"/>
        <v>2453.4299999999998</v>
      </c>
      <c r="AE282" s="52">
        <f t="shared" si="65"/>
        <v>37502.43</v>
      </c>
      <c r="AF282" s="53">
        <v>43727</v>
      </c>
      <c r="AG282" s="39" t="s">
        <v>869</v>
      </c>
      <c r="AH282" s="39"/>
      <c r="AI282" s="39"/>
      <c r="AJ282" s="21" t="s">
        <v>2836</v>
      </c>
      <c r="AK282" s="982">
        <v>1</v>
      </c>
      <c r="AL282" s="45" t="s">
        <v>2487</v>
      </c>
      <c r="AM282" s="46"/>
      <c r="AN282" s="46" t="s">
        <v>869</v>
      </c>
      <c r="AO282" s="47">
        <v>1</v>
      </c>
      <c r="AP282" s="48" t="s">
        <v>633</v>
      </c>
      <c r="AQ282" s="984"/>
      <c r="AR282" s="54"/>
      <c r="AS282" s="984"/>
      <c r="AT282" s="984"/>
      <c r="AU282" s="984"/>
      <c r="AV282" s="54"/>
      <c r="AW282" s="984"/>
      <c r="AX282" s="54"/>
      <c r="AY282" s="984"/>
      <c r="AZ282" s="984"/>
      <c r="BA282" s="984"/>
      <c r="BB282" s="54"/>
      <c r="BC282" s="984"/>
      <c r="BD282" s="54"/>
      <c r="BE282" s="984"/>
      <c r="BF282" s="984"/>
      <c r="BG282" s="984"/>
      <c r="BH282" s="54"/>
      <c r="BI282" s="984"/>
      <c r="BJ282" s="54"/>
      <c r="BK282" s="984"/>
      <c r="BL282" s="984"/>
      <c r="BM282" s="984"/>
      <c r="BN282" s="54"/>
      <c r="BO282" s="984"/>
      <c r="BP282" s="54"/>
      <c r="BQ282" s="984"/>
      <c r="BR282" s="984"/>
      <c r="BS282" s="984"/>
      <c r="BT282" s="54"/>
      <c r="BU282" s="984"/>
      <c r="BV282" s="54"/>
      <c r="BW282" s="984"/>
      <c r="BX282" s="984"/>
      <c r="BY282" s="984"/>
      <c r="BZ282" s="54"/>
      <c r="CA282" s="984"/>
      <c r="CB282" s="54"/>
      <c r="CC282" s="984"/>
      <c r="CD282" s="984"/>
      <c r="CE282" s="984"/>
      <c r="CF282" s="984"/>
    </row>
    <row r="283" spans="1:84" x14ac:dyDescent="0.5">
      <c r="A283" s="227">
        <v>19076298</v>
      </c>
      <c r="B283" s="22">
        <v>19070656</v>
      </c>
      <c r="C283" s="55"/>
      <c r="D283" s="56"/>
      <c r="E283" s="910"/>
      <c r="F283" s="57"/>
      <c r="G283" s="58"/>
      <c r="H283" s="59"/>
      <c r="I283" s="60"/>
      <c r="J283" s="269"/>
      <c r="K283" s="59"/>
      <c r="L283" s="22" t="s">
        <v>2488</v>
      </c>
      <c r="M283" s="28" t="s">
        <v>821</v>
      </c>
      <c r="N283" s="22" t="s">
        <v>51</v>
      </c>
      <c r="O283" s="29">
        <v>23300</v>
      </c>
      <c r="P283" s="29">
        <f t="shared" si="62"/>
        <v>1631</v>
      </c>
      <c r="Q283" s="29">
        <f t="shared" si="63"/>
        <v>24931</v>
      </c>
      <c r="R283" s="61"/>
      <c r="S283" s="96"/>
      <c r="T283" s="97"/>
      <c r="U283" s="98"/>
      <c r="V283" s="99"/>
      <c r="W283" s="100"/>
      <c r="X283" s="99"/>
      <c r="Y283" s="99"/>
      <c r="Z283" s="100"/>
      <c r="AA283" s="101"/>
      <c r="AB283" s="40">
        <v>19080281</v>
      </c>
      <c r="AC283" s="41">
        <v>23300</v>
      </c>
      <c r="AD283" s="52">
        <f t="shared" si="64"/>
        <v>1631</v>
      </c>
      <c r="AE283" s="52">
        <f t="shared" si="65"/>
        <v>24931</v>
      </c>
      <c r="AF283" s="53">
        <v>43721</v>
      </c>
      <c r="AG283" s="39" t="s">
        <v>869</v>
      </c>
      <c r="AH283" s="39"/>
      <c r="AI283" s="39"/>
      <c r="AJ283" s="21" t="s">
        <v>3055</v>
      </c>
      <c r="AK283" s="982">
        <v>1</v>
      </c>
      <c r="AL283" s="45" t="s">
        <v>2489</v>
      </c>
      <c r="AM283" s="46"/>
      <c r="AN283" s="46"/>
      <c r="AO283" s="47">
        <v>1</v>
      </c>
      <c r="AP283" s="48" t="s">
        <v>628</v>
      </c>
      <c r="AQ283" s="982">
        <v>2</v>
      </c>
      <c r="AR283" s="40" t="s">
        <v>2490</v>
      </c>
      <c r="AS283" s="47"/>
      <c r="AT283" s="47"/>
      <c r="AU283" s="47">
        <v>1</v>
      </c>
      <c r="AV283" s="49" t="s">
        <v>628</v>
      </c>
      <c r="AW283" s="984"/>
      <c r="AX283" s="54"/>
      <c r="AY283" s="984"/>
      <c r="AZ283" s="984"/>
      <c r="BA283" s="984"/>
      <c r="BB283" s="54"/>
      <c r="BC283" s="984"/>
      <c r="BD283" s="54"/>
      <c r="BE283" s="984"/>
      <c r="BF283" s="984"/>
      <c r="BG283" s="984"/>
      <c r="BH283" s="54"/>
      <c r="BI283" s="984"/>
      <c r="BJ283" s="54"/>
      <c r="BK283" s="984"/>
      <c r="BL283" s="984"/>
      <c r="BM283" s="984"/>
      <c r="BN283" s="54"/>
      <c r="BO283" s="984"/>
      <c r="BP283" s="54"/>
      <c r="BQ283" s="984"/>
      <c r="BR283" s="984"/>
      <c r="BS283" s="984"/>
      <c r="BT283" s="54"/>
      <c r="BU283" s="984"/>
      <c r="BV283" s="54"/>
      <c r="BW283" s="984"/>
      <c r="BX283" s="984"/>
      <c r="BY283" s="984"/>
      <c r="BZ283" s="54"/>
      <c r="CA283" s="984"/>
      <c r="CB283" s="54"/>
      <c r="CC283" s="984"/>
      <c r="CD283" s="984"/>
      <c r="CE283" s="984"/>
      <c r="CF283" s="984"/>
    </row>
    <row r="284" spans="1:84" x14ac:dyDescent="0.5">
      <c r="A284" s="259">
        <v>19076297</v>
      </c>
      <c r="B284" s="104">
        <v>19070649</v>
      </c>
      <c r="C284" s="105" t="s">
        <v>2473</v>
      </c>
      <c r="D284" s="106" t="s">
        <v>1323</v>
      </c>
      <c r="E284" s="302">
        <v>43707</v>
      </c>
      <c r="F284" s="936" t="s">
        <v>1324</v>
      </c>
      <c r="G284" s="937" t="s">
        <v>2633</v>
      </c>
      <c r="H284" s="122">
        <v>43727</v>
      </c>
      <c r="I284" s="109">
        <v>19294</v>
      </c>
      <c r="J284" s="960" t="s">
        <v>869</v>
      </c>
      <c r="K284" s="965">
        <v>43728</v>
      </c>
      <c r="L284" s="104" t="s">
        <v>189</v>
      </c>
      <c r="M284" s="110" t="s">
        <v>2474</v>
      </c>
      <c r="N284" s="104" t="s">
        <v>1523</v>
      </c>
      <c r="O284" s="111">
        <v>108000</v>
      </c>
      <c r="P284" s="111">
        <f t="shared" si="62"/>
        <v>7560</v>
      </c>
      <c r="Q284" s="111">
        <f t="shared" si="63"/>
        <v>115560</v>
      </c>
      <c r="R284" s="311">
        <v>16000</v>
      </c>
      <c r="S284" s="113" t="s">
        <v>2697</v>
      </c>
      <c r="T284" s="114">
        <f>O284-R284</f>
        <v>92000</v>
      </c>
      <c r="U284" s="115">
        <v>5</v>
      </c>
      <c r="V284" s="116">
        <f>T284*U284/100</f>
        <v>4600</v>
      </c>
      <c r="W284" s="117">
        <f>T284-V284</f>
        <v>87400</v>
      </c>
      <c r="X284" s="118">
        <v>0.18</v>
      </c>
      <c r="Y284" s="118">
        <f>W284*X284/100</f>
        <v>157.32</v>
      </c>
      <c r="Z284" s="119">
        <v>0.2</v>
      </c>
      <c r="AA284" s="120">
        <f>W284*Z284/100</f>
        <v>174.8</v>
      </c>
      <c r="AB284" s="229">
        <v>19090325</v>
      </c>
      <c r="AC284" s="230">
        <v>32400</v>
      </c>
      <c r="AD284" s="220">
        <f t="shared" si="64"/>
        <v>2268</v>
      </c>
      <c r="AE284" s="220">
        <f t="shared" si="65"/>
        <v>34668</v>
      </c>
      <c r="AF284" s="221">
        <v>43710</v>
      </c>
      <c r="AG284" s="121" t="s">
        <v>869</v>
      </c>
      <c r="AH284" s="121"/>
      <c r="AI284" s="121"/>
      <c r="AJ284" s="979" t="s">
        <v>2842</v>
      </c>
      <c r="AK284" s="128">
        <v>1</v>
      </c>
      <c r="AL284" s="129" t="s">
        <v>2475</v>
      </c>
      <c r="AM284" s="130" t="s">
        <v>869</v>
      </c>
      <c r="AN284" s="130"/>
      <c r="AO284" s="131">
        <v>1</v>
      </c>
      <c r="AP284" s="132" t="s">
        <v>636</v>
      </c>
      <c r="AQ284" s="128">
        <v>2</v>
      </c>
      <c r="AR284" s="123" t="s">
        <v>712</v>
      </c>
      <c r="AS284" s="131" t="s">
        <v>869</v>
      </c>
      <c r="AT284" s="131"/>
      <c r="AU284" s="131">
        <v>1</v>
      </c>
      <c r="AV284" s="169" t="s">
        <v>636</v>
      </c>
      <c r="AW284" s="128"/>
      <c r="AX284" s="133"/>
      <c r="AY284" s="128"/>
      <c r="AZ284" s="128"/>
      <c r="BA284" s="128"/>
      <c r="BB284" s="133"/>
      <c r="BC284" s="128"/>
      <c r="BD284" s="133"/>
      <c r="BE284" s="128"/>
      <c r="BF284" s="128"/>
      <c r="BG284" s="128"/>
      <c r="BH284" s="133"/>
      <c r="BI284" s="128"/>
      <c r="BJ284" s="133"/>
      <c r="BK284" s="128"/>
      <c r="BL284" s="128"/>
      <c r="BM284" s="128"/>
      <c r="BN284" s="133"/>
      <c r="BO284" s="128"/>
      <c r="BP284" s="133"/>
      <c r="BQ284" s="128"/>
      <c r="BR284" s="128"/>
      <c r="BS284" s="128"/>
      <c r="BT284" s="133"/>
      <c r="BU284" s="128"/>
      <c r="BV284" s="133"/>
      <c r="BW284" s="128"/>
      <c r="BX284" s="128"/>
      <c r="BY284" s="128"/>
      <c r="BZ284" s="133"/>
      <c r="CA284" s="128"/>
      <c r="CB284" s="133"/>
      <c r="CC284" s="128"/>
      <c r="CD284" s="128"/>
      <c r="CE284" s="128"/>
      <c r="CF284" s="128"/>
    </row>
    <row r="285" spans="1:84" x14ac:dyDescent="0.5">
      <c r="A285" s="262"/>
      <c r="B285" s="135"/>
      <c r="C285" s="136"/>
      <c r="D285" s="137"/>
      <c r="E285" s="906"/>
      <c r="F285" s="940"/>
      <c r="G285" s="941"/>
      <c r="H285" s="179"/>
      <c r="I285" s="140"/>
      <c r="J285" s="963"/>
      <c r="K285" s="964"/>
      <c r="L285" s="135"/>
      <c r="M285" s="141"/>
      <c r="N285" s="135"/>
      <c r="O285" s="142"/>
      <c r="P285" s="142"/>
      <c r="Q285" s="142"/>
      <c r="R285" s="143"/>
      <c r="S285" s="144"/>
      <c r="T285" s="145"/>
      <c r="U285" s="146"/>
      <c r="V285" s="147"/>
      <c r="W285" s="148"/>
      <c r="X285" s="149"/>
      <c r="Y285" s="149"/>
      <c r="Z285" s="150"/>
      <c r="AA285" s="151"/>
      <c r="AB285" s="154">
        <v>19090326</v>
      </c>
      <c r="AC285" s="155">
        <v>75600</v>
      </c>
      <c r="AD285" s="156">
        <f t="shared" si="64"/>
        <v>5292</v>
      </c>
      <c r="AE285" s="156">
        <f t="shared" si="65"/>
        <v>80892</v>
      </c>
      <c r="AF285" s="157">
        <v>43710</v>
      </c>
      <c r="AG285" s="152" t="s">
        <v>869</v>
      </c>
      <c r="AH285" s="152"/>
      <c r="AI285" s="152"/>
      <c r="AJ285" s="842" t="s">
        <v>2843</v>
      </c>
      <c r="AK285" s="158"/>
      <c r="AL285" s="159"/>
      <c r="AM285" s="160"/>
      <c r="AN285" s="160"/>
      <c r="AO285" s="161"/>
      <c r="AP285" s="162"/>
      <c r="AQ285" s="158"/>
      <c r="AR285" s="154"/>
      <c r="AS285" s="161"/>
      <c r="AT285" s="161"/>
      <c r="AU285" s="161"/>
      <c r="AV285" s="177"/>
      <c r="AW285" s="158"/>
      <c r="AX285" s="163"/>
      <c r="AY285" s="158"/>
      <c r="AZ285" s="158"/>
      <c r="BA285" s="158"/>
      <c r="BB285" s="163"/>
      <c r="BC285" s="158"/>
      <c r="BD285" s="163"/>
      <c r="BE285" s="158"/>
      <c r="BF285" s="158"/>
      <c r="BG285" s="158"/>
      <c r="BH285" s="163"/>
      <c r="BI285" s="158"/>
      <c r="BJ285" s="163"/>
      <c r="BK285" s="158"/>
      <c r="BL285" s="158"/>
      <c r="BM285" s="158"/>
      <c r="BN285" s="163"/>
      <c r="BO285" s="158"/>
      <c r="BP285" s="163"/>
      <c r="BQ285" s="158"/>
      <c r="BR285" s="158"/>
      <c r="BS285" s="158"/>
      <c r="BT285" s="163"/>
      <c r="BU285" s="158"/>
      <c r="BV285" s="163"/>
      <c r="BW285" s="158"/>
      <c r="BX285" s="158"/>
      <c r="BY285" s="158"/>
      <c r="BZ285" s="163"/>
      <c r="CA285" s="158"/>
      <c r="CB285" s="163"/>
      <c r="CC285" s="158"/>
      <c r="CD285" s="158"/>
      <c r="CE285" s="158"/>
      <c r="CF285" s="158"/>
    </row>
    <row r="286" spans="1:84" x14ac:dyDescent="0.5">
      <c r="A286" s="259">
        <v>19076296</v>
      </c>
      <c r="B286" s="104">
        <v>19070648</v>
      </c>
      <c r="C286" s="105" t="s">
        <v>2476</v>
      </c>
      <c r="D286" s="106" t="s">
        <v>1323</v>
      </c>
      <c r="E286" s="302">
        <v>43707</v>
      </c>
      <c r="F286" s="936" t="s">
        <v>1324</v>
      </c>
      <c r="G286" s="937" t="s">
        <v>2636</v>
      </c>
      <c r="H286" s="211">
        <v>43727</v>
      </c>
      <c r="I286" s="164">
        <v>19292</v>
      </c>
      <c r="J286" s="960" t="s">
        <v>869</v>
      </c>
      <c r="K286" s="965">
        <v>43728</v>
      </c>
      <c r="L286" s="104" t="s">
        <v>189</v>
      </c>
      <c r="M286" s="110" t="s">
        <v>2474</v>
      </c>
      <c r="N286" s="104" t="s">
        <v>1523</v>
      </c>
      <c r="O286" s="111">
        <v>416340</v>
      </c>
      <c r="P286" s="111">
        <f t="shared" si="62"/>
        <v>29143.8</v>
      </c>
      <c r="Q286" s="111">
        <f t="shared" si="63"/>
        <v>445483.8</v>
      </c>
      <c r="R286" s="311">
        <v>16000</v>
      </c>
      <c r="S286" s="113" t="s">
        <v>2697</v>
      </c>
      <c r="T286" s="114">
        <f>O286-R286</f>
        <v>400340</v>
      </c>
      <c r="U286" s="115">
        <v>5</v>
      </c>
      <c r="V286" s="116">
        <f>T286*U286/100</f>
        <v>20017</v>
      </c>
      <c r="W286" s="117">
        <f>T286-V286</f>
        <v>380323</v>
      </c>
      <c r="X286" s="118">
        <v>0.27</v>
      </c>
      <c r="Y286" s="118">
        <f>W286*X286/100</f>
        <v>1026.8721</v>
      </c>
      <c r="Z286" s="119">
        <v>0.2</v>
      </c>
      <c r="AA286" s="120">
        <f>W286*Z286/100</f>
        <v>760.64600000000007</v>
      </c>
      <c r="AB286" s="229">
        <v>19090323</v>
      </c>
      <c r="AC286" s="230">
        <v>124902</v>
      </c>
      <c r="AD286" s="233">
        <f t="shared" si="64"/>
        <v>8743.14</v>
      </c>
      <c r="AE286" s="233">
        <f t="shared" si="65"/>
        <v>133645.14000000001</v>
      </c>
      <c r="AF286" s="221">
        <v>43710</v>
      </c>
      <c r="AG286" s="121" t="s">
        <v>869</v>
      </c>
      <c r="AH286" s="121"/>
      <c r="AI286" s="121"/>
      <c r="AJ286" s="979" t="s">
        <v>2842</v>
      </c>
      <c r="AK286" s="128">
        <v>1</v>
      </c>
      <c r="AL286" s="129" t="s">
        <v>2477</v>
      </c>
      <c r="AM286" s="130"/>
      <c r="AN286" s="130" t="s">
        <v>869</v>
      </c>
      <c r="AO286" s="131">
        <v>1</v>
      </c>
      <c r="AP286" s="132" t="s">
        <v>634</v>
      </c>
      <c r="AQ286" s="128">
        <v>2</v>
      </c>
      <c r="AR286" s="123" t="s">
        <v>739</v>
      </c>
      <c r="AS286" s="131"/>
      <c r="AT286" s="131" t="s">
        <v>869</v>
      </c>
      <c r="AU286" s="131">
        <v>1</v>
      </c>
      <c r="AV286" s="169" t="s">
        <v>634</v>
      </c>
      <c r="AW286" s="128"/>
      <c r="AX286" s="133"/>
      <c r="AY286" s="128"/>
      <c r="AZ286" s="128"/>
      <c r="BA286" s="128"/>
      <c r="BB286" s="133"/>
      <c r="BC286" s="128"/>
      <c r="BD286" s="133"/>
      <c r="BE286" s="128"/>
      <c r="BF286" s="128"/>
      <c r="BG286" s="128"/>
      <c r="BH286" s="133"/>
      <c r="BI286" s="128"/>
      <c r="BJ286" s="133"/>
      <c r="BK286" s="128"/>
      <c r="BL286" s="128"/>
      <c r="BM286" s="128"/>
      <c r="BN286" s="133"/>
      <c r="BO286" s="128"/>
      <c r="BP286" s="133"/>
      <c r="BQ286" s="128"/>
      <c r="BR286" s="128"/>
      <c r="BS286" s="128"/>
      <c r="BT286" s="133"/>
      <c r="BU286" s="128"/>
      <c r="BV286" s="133"/>
      <c r="BW286" s="128"/>
      <c r="BX286" s="128"/>
      <c r="BY286" s="128"/>
      <c r="BZ286" s="133"/>
      <c r="CA286" s="128"/>
      <c r="CB286" s="133"/>
      <c r="CC286" s="128"/>
      <c r="CD286" s="128"/>
      <c r="CE286" s="128"/>
      <c r="CF286" s="128"/>
    </row>
    <row r="287" spans="1:84" x14ac:dyDescent="0.5">
      <c r="A287" s="268"/>
      <c r="B287" s="181"/>
      <c r="C287" s="182"/>
      <c r="D287" s="183"/>
      <c r="E287" s="749"/>
      <c r="F287" s="938"/>
      <c r="G287" s="939"/>
      <c r="H287" s="186">
        <v>43727</v>
      </c>
      <c r="I287" s="187">
        <v>19293</v>
      </c>
      <c r="J287" s="961"/>
      <c r="K287" s="966"/>
      <c r="L287" s="181"/>
      <c r="M287" s="188"/>
      <c r="N287" s="181"/>
      <c r="O287" s="189"/>
      <c r="P287" s="189"/>
      <c r="Q287" s="189"/>
      <c r="R287" s="190"/>
      <c r="S287" s="215"/>
      <c r="T287" s="216"/>
      <c r="U287" s="217"/>
      <c r="V287" s="218"/>
      <c r="W287" s="195"/>
      <c r="X287" s="196"/>
      <c r="Y287" s="196"/>
      <c r="Z287" s="197"/>
      <c r="AA287" s="198"/>
      <c r="AB287" s="200">
        <v>19090324</v>
      </c>
      <c r="AC287" s="201">
        <v>291438</v>
      </c>
      <c r="AD287" s="202">
        <f t="shared" si="64"/>
        <v>20400.66</v>
      </c>
      <c r="AE287" s="202">
        <f t="shared" si="65"/>
        <v>311838.65999999997</v>
      </c>
      <c r="AF287" s="203">
        <v>43710</v>
      </c>
      <c r="AG287" s="199" t="s">
        <v>869</v>
      </c>
      <c r="AH287" s="199"/>
      <c r="AI287" s="199"/>
      <c r="AJ287" s="843" t="s">
        <v>2843</v>
      </c>
      <c r="AK287" s="204"/>
      <c r="AL287" s="205"/>
      <c r="AM287" s="206"/>
      <c r="AN287" s="206"/>
      <c r="AO287" s="207"/>
      <c r="AP287" s="208"/>
      <c r="AQ287" s="204"/>
      <c r="AR287" s="200"/>
      <c r="AS287" s="207"/>
      <c r="AT287" s="207"/>
      <c r="AU287" s="207"/>
      <c r="AV287" s="209"/>
      <c r="AW287" s="204"/>
      <c r="AX287" s="210"/>
      <c r="AY287" s="204"/>
      <c r="AZ287" s="204"/>
      <c r="BA287" s="204"/>
      <c r="BB287" s="210"/>
      <c r="BC287" s="204"/>
      <c r="BD287" s="210"/>
      <c r="BE287" s="204"/>
      <c r="BF287" s="204"/>
      <c r="BG287" s="204"/>
      <c r="BH287" s="210"/>
      <c r="BI287" s="204"/>
      <c r="BJ287" s="210"/>
      <c r="BK287" s="204"/>
      <c r="BL287" s="204"/>
      <c r="BM287" s="204"/>
      <c r="BN287" s="210"/>
      <c r="BO287" s="204"/>
      <c r="BP287" s="210"/>
      <c r="BQ287" s="204"/>
      <c r="BR287" s="204"/>
      <c r="BS287" s="204"/>
      <c r="BT287" s="210"/>
      <c r="BU287" s="204"/>
      <c r="BV287" s="210"/>
      <c r="BW287" s="204"/>
      <c r="BX287" s="204"/>
      <c r="BY287" s="204"/>
      <c r="BZ287" s="210"/>
      <c r="CA287" s="204"/>
      <c r="CB287" s="210"/>
      <c r="CC287" s="204"/>
      <c r="CD287" s="204"/>
      <c r="CE287" s="204"/>
      <c r="CF287" s="204"/>
    </row>
    <row r="288" spans="1:84" x14ac:dyDescent="0.5">
      <c r="A288" s="227">
        <v>19076295</v>
      </c>
      <c r="B288" s="22">
        <v>19070654</v>
      </c>
      <c r="C288" s="23" t="s">
        <v>2491</v>
      </c>
      <c r="D288" s="24" t="s">
        <v>1323</v>
      </c>
      <c r="E288" s="884">
        <v>43690</v>
      </c>
      <c r="F288" s="932" t="s">
        <v>1324</v>
      </c>
      <c r="G288" s="933" t="s">
        <v>2473</v>
      </c>
      <c r="H288" s="62">
        <v>43690</v>
      </c>
      <c r="I288" s="27">
        <v>19238</v>
      </c>
      <c r="J288" s="931" t="s">
        <v>869</v>
      </c>
      <c r="K288" s="957">
        <v>43690</v>
      </c>
      <c r="L288" s="22" t="s">
        <v>15</v>
      </c>
      <c r="M288" s="28" t="s">
        <v>2401</v>
      </c>
      <c r="N288" s="22" t="s">
        <v>51</v>
      </c>
      <c r="O288" s="29">
        <v>17800</v>
      </c>
      <c r="P288" s="29">
        <f t="shared" si="62"/>
        <v>1246</v>
      </c>
      <c r="Q288" s="29">
        <f t="shared" si="63"/>
        <v>19046</v>
      </c>
      <c r="R288" s="61"/>
      <c r="S288" s="96"/>
      <c r="T288" s="97"/>
      <c r="U288" s="98"/>
      <c r="V288" s="99"/>
      <c r="W288" s="100"/>
      <c r="X288" s="99"/>
      <c r="Y288" s="99"/>
      <c r="Z288" s="100"/>
      <c r="AA288" s="101"/>
      <c r="AB288" s="40">
        <v>19080301</v>
      </c>
      <c r="AC288" s="41">
        <v>17800</v>
      </c>
      <c r="AD288" s="52">
        <f t="shared" ref="AD288:AD299" si="66">AC288*7/100</f>
        <v>1246</v>
      </c>
      <c r="AE288" s="52">
        <f t="shared" ref="AE288:AE299" si="67">AC288+AD288</f>
        <v>19046</v>
      </c>
      <c r="AF288" s="53">
        <v>43742</v>
      </c>
      <c r="AG288" s="39" t="s">
        <v>869</v>
      </c>
      <c r="AH288" s="39"/>
      <c r="AI288" s="39"/>
      <c r="AJ288" s="21" t="s">
        <v>3061</v>
      </c>
      <c r="AK288" s="982">
        <v>1</v>
      </c>
      <c r="AL288" s="45" t="s">
        <v>2492</v>
      </c>
      <c r="AM288" s="46"/>
      <c r="AN288" s="46" t="s">
        <v>869</v>
      </c>
      <c r="AO288" s="47">
        <v>1</v>
      </c>
      <c r="AP288" s="48" t="s">
        <v>635</v>
      </c>
      <c r="AQ288" s="984"/>
      <c r="AR288" s="54"/>
      <c r="AS288" s="984"/>
      <c r="AT288" s="984"/>
      <c r="AU288" s="984"/>
      <c r="AV288" s="54"/>
      <c r="AW288" s="984"/>
      <c r="AX288" s="54"/>
      <c r="AY288" s="984"/>
      <c r="AZ288" s="984"/>
      <c r="BA288" s="984"/>
      <c r="BB288" s="54"/>
      <c r="BC288" s="984"/>
      <c r="BD288" s="54"/>
      <c r="BE288" s="984"/>
      <c r="BF288" s="984"/>
      <c r="BG288" s="984"/>
      <c r="BH288" s="54"/>
      <c r="BI288" s="984"/>
      <c r="BJ288" s="54"/>
      <c r="BK288" s="984"/>
      <c r="BL288" s="984"/>
      <c r="BM288" s="984"/>
      <c r="BN288" s="54"/>
      <c r="BO288" s="984"/>
      <c r="BP288" s="54"/>
      <c r="BQ288" s="984"/>
      <c r="BR288" s="984"/>
      <c r="BS288" s="984"/>
      <c r="BT288" s="54"/>
      <c r="BU288" s="984"/>
      <c r="BV288" s="54"/>
      <c r="BW288" s="984"/>
      <c r="BX288" s="984"/>
      <c r="BY288" s="984"/>
      <c r="BZ288" s="54"/>
      <c r="CA288" s="984"/>
      <c r="CB288" s="54"/>
      <c r="CC288" s="984"/>
      <c r="CD288" s="984"/>
      <c r="CE288" s="984"/>
      <c r="CF288" s="984"/>
    </row>
    <row r="289" spans="1:84" x14ac:dyDescent="0.5">
      <c r="A289" s="103">
        <v>19076294</v>
      </c>
      <c r="B289" s="104">
        <v>19070652</v>
      </c>
      <c r="C289" s="105" t="s">
        <v>2493</v>
      </c>
      <c r="D289" s="106" t="s">
        <v>1323</v>
      </c>
      <c r="E289" s="302">
        <v>43707</v>
      </c>
      <c r="F289" s="936" t="s">
        <v>1324</v>
      </c>
      <c r="G289" s="937" t="s">
        <v>2779</v>
      </c>
      <c r="H289" s="211">
        <v>43734</v>
      </c>
      <c r="I289" s="164">
        <v>19300</v>
      </c>
      <c r="J289" s="960" t="s">
        <v>869</v>
      </c>
      <c r="K289" s="965">
        <v>43735</v>
      </c>
      <c r="L289" s="104" t="s">
        <v>1981</v>
      </c>
      <c r="M289" s="110" t="s">
        <v>2494</v>
      </c>
      <c r="N289" s="104" t="s">
        <v>50</v>
      </c>
      <c r="O289" s="111">
        <v>1168224.3</v>
      </c>
      <c r="P289" s="111">
        <f t="shared" si="62"/>
        <v>81775.701000000001</v>
      </c>
      <c r="Q289" s="111">
        <f t="shared" si="63"/>
        <v>1250000.0010000002</v>
      </c>
      <c r="R289" s="212"/>
      <c r="S289" s="165"/>
      <c r="T289" s="166"/>
      <c r="U289" s="167"/>
      <c r="V289" s="168"/>
      <c r="W289" s="117">
        <v>1168224.3</v>
      </c>
      <c r="X289" s="118">
        <v>1</v>
      </c>
      <c r="Y289" s="118">
        <f>W289*X289/100</f>
        <v>11682.243</v>
      </c>
      <c r="Z289" s="119">
        <v>0.2</v>
      </c>
      <c r="AA289" s="120">
        <f>W289*Z289/100</f>
        <v>2336.4486000000002</v>
      </c>
      <c r="AB289" s="123">
        <v>19070263</v>
      </c>
      <c r="AC289" s="124">
        <v>350467.29</v>
      </c>
      <c r="AD289" s="260">
        <f t="shared" si="66"/>
        <v>24532.710299999999</v>
      </c>
      <c r="AE289" s="261">
        <f t="shared" si="67"/>
        <v>375000.00029999996</v>
      </c>
      <c r="AF289" s="126">
        <v>43673</v>
      </c>
      <c r="AG289" s="127" t="s">
        <v>869</v>
      </c>
      <c r="AH289" s="127"/>
      <c r="AI289" s="127"/>
      <c r="AJ289" s="103" t="s">
        <v>2714</v>
      </c>
      <c r="AK289" s="128">
        <v>1</v>
      </c>
      <c r="AL289" s="129" t="s">
        <v>2495</v>
      </c>
      <c r="AM289" s="130"/>
      <c r="AN289" s="130" t="s">
        <v>869</v>
      </c>
      <c r="AO289" s="131">
        <v>1</v>
      </c>
      <c r="AP289" s="132" t="s">
        <v>1882</v>
      </c>
      <c r="AQ289" s="128"/>
      <c r="AR289" s="133"/>
      <c r="AS289" s="128"/>
      <c r="AT289" s="128"/>
      <c r="AU289" s="128"/>
      <c r="AV289" s="133"/>
      <c r="AW289" s="128"/>
      <c r="AX289" s="133"/>
      <c r="AY289" s="128"/>
      <c r="AZ289" s="128"/>
      <c r="BA289" s="128"/>
      <c r="BB289" s="133"/>
      <c r="BC289" s="128"/>
      <c r="BD289" s="133"/>
      <c r="BE289" s="128"/>
      <c r="BF289" s="128"/>
      <c r="BG289" s="128"/>
      <c r="BH289" s="133"/>
      <c r="BI289" s="128"/>
      <c r="BJ289" s="133"/>
      <c r="BK289" s="128"/>
      <c r="BL289" s="128"/>
      <c r="BM289" s="128"/>
      <c r="BN289" s="133"/>
      <c r="BO289" s="128"/>
      <c r="BP289" s="133"/>
      <c r="BQ289" s="128"/>
      <c r="BR289" s="128"/>
      <c r="BS289" s="128"/>
      <c r="BT289" s="133"/>
      <c r="BU289" s="128"/>
      <c r="BV289" s="133"/>
      <c r="BW289" s="128"/>
      <c r="BX289" s="128"/>
      <c r="BY289" s="128"/>
      <c r="BZ289" s="133"/>
      <c r="CA289" s="128"/>
      <c r="CB289" s="133"/>
      <c r="CC289" s="128"/>
      <c r="CD289" s="128"/>
      <c r="CE289" s="128"/>
      <c r="CF289" s="128"/>
    </row>
    <row r="290" spans="1:84" x14ac:dyDescent="0.5">
      <c r="A290" s="134"/>
      <c r="B290" s="135"/>
      <c r="C290" s="136"/>
      <c r="D290" s="137"/>
      <c r="E290" s="906"/>
      <c r="F290" s="952"/>
      <c r="G290" s="953"/>
      <c r="H290" s="178">
        <v>43734</v>
      </c>
      <c r="I290" s="171">
        <v>19301</v>
      </c>
      <c r="J290" s="1082"/>
      <c r="K290" s="974"/>
      <c r="L290" s="135"/>
      <c r="M290" s="141"/>
      <c r="N290" s="135"/>
      <c r="O290" s="142"/>
      <c r="P290" s="142"/>
      <c r="Q290" s="142"/>
      <c r="R290" s="213"/>
      <c r="S290" s="172"/>
      <c r="T290" s="173"/>
      <c r="U290" s="174"/>
      <c r="V290" s="175"/>
      <c r="W290" s="148"/>
      <c r="X290" s="149"/>
      <c r="Y290" s="149"/>
      <c r="Z290" s="150"/>
      <c r="AA290" s="151"/>
      <c r="AB290" s="154">
        <v>19120496</v>
      </c>
      <c r="AC290" s="155">
        <v>467289.72</v>
      </c>
      <c r="AD290" s="253">
        <f t="shared" si="66"/>
        <v>32710.2804</v>
      </c>
      <c r="AE290" s="263">
        <f t="shared" si="67"/>
        <v>500000.00039999996</v>
      </c>
      <c r="AF290" s="157">
        <v>43805</v>
      </c>
      <c r="AG290" s="152" t="s">
        <v>869</v>
      </c>
      <c r="AH290" s="152"/>
      <c r="AI290" s="152"/>
      <c r="AJ290" s="134" t="s">
        <v>3459</v>
      </c>
      <c r="AK290" s="158"/>
      <c r="AL290" s="159"/>
      <c r="AM290" s="160"/>
      <c r="AN290" s="160"/>
      <c r="AO290" s="161"/>
      <c r="AP290" s="162"/>
      <c r="AQ290" s="158"/>
      <c r="AR290" s="163"/>
      <c r="AS290" s="158"/>
      <c r="AT290" s="158"/>
      <c r="AU290" s="158"/>
      <c r="AV290" s="163"/>
      <c r="AW290" s="158"/>
      <c r="AX290" s="163"/>
      <c r="AY290" s="158"/>
      <c r="AZ290" s="158"/>
      <c r="BA290" s="158"/>
      <c r="BB290" s="163"/>
      <c r="BC290" s="158"/>
      <c r="BD290" s="163"/>
      <c r="BE290" s="158"/>
      <c r="BF290" s="158"/>
      <c r="BG290" s="158"/>
      <c r="BH290" s="163"/>
      <c r="BI290" s="158"/>
      <c r="BJ290" s="163"/>
      <c r="BK290" s="158"/>
      <c r="BL290" s="158"/>
      <c r="BM290" s="158"/>
      <c r="BN290" s="163"/>
      <c r="BO290" s="158"/>
      <c r="BP290" s="163"/>
      <c r="BQ290" s="158"/>
      <c r="BR290" s="158"/>
      <c r="BS290" s="158"/>
      <c r="BT290" s="163"/>
      <c r="BU290" s="158"/>
      <c r="BV290" s="163"/>
      <c r="BW290" s="158"/>
      <c r="BX290" s="158"/>
      <c r="BY290" s="158"/>
      <c r="BZ290" s="163"/>
      <c r="CA290" s="158"/>
      <c r="CB290" s="163"/>
      <c r="CC290" s="158"/>
      <c r="CD290" s="158"/>
      <c r="CE290" s="158"/>
      <c r="CF290" s="158"/>
    </row>
    <row r="291" spans="1:84" x14ac:dyDescent="0.5">
      <c r="A291" s="180"/>
      <c r="B291" s="181"/>
      <c r="C291" s="182"/>
      <c r="D291" s="183"/>
      <c r="E291" s="749"/>
      <c r="F291" s="938" t="s">
        <v>1324</v>
      </c>
      <c r="G291" s="939" t="s">
        <v>2998</v>
      </c>
      <c r="H291" s="186">
        <v>43784</v>
      </c>
      <c r="I291" s="187">
        <v>19360</v>
      </c>
      <c r="J291" s="961" t="s">
        <v>869</v>
      </c>
      <c r="K291" s="966">
        <v>43787</v>
      </c>
      <c r="L291" s="181"/>
      <c r="M291" s="188"/>
      <c r="N291" s="181"/>
      <c r="O291" s="189"/>
      <c r="P291" s="189"/>
      <c r="Q291" s="189"/>
      <c r="R291" s="214"/>
      <c r="S291" s="191"/>
      <c r="T291" s="192"/>
      <c r="U291" s="193"/>
      <c r="V291" s="194"/>
      <c r="W291" s="195"/>
      <c r="X291" s="196"/>
      <c r="Y291" s="196"/>
      <c r="Z291" s="197"/>
      <c r="AA291" s="198"/>
      <c r="AB291" s="200">
        <v>20050135</v>
      </c>
      <c r="AC291" s="201">
        <v>233644.86</v>
      </c>
      <c r="AD291" s="237">
        <f t="shared" si="66"/>
        <v>16355.1402</v>
      </c>
      <c r="AE291" s="238">
        <f t="shared" si="67"/>
        <v>250000.00019999998</v>
      </c>
      <c r="AF291" s="203">
        <v>43973</v>
      </c>
      <c r="AG291" s="199" t="s">
        <v>869</v>
      </c>
      <c r="AH291" s="199"/>
      <c r="AI291" s="199"/>
      <c r="AJ291" s="180" t="s">
        <v>4101</v>
      </c>
      <c r="AK291" s="204"/>
      <c r="AL291" s="205"/>
      <c r="AM291" s="206"/>
      <c r="AN291" s="206"/>
      <c r="AO291" s="207"/>
      <c r="AP291" s="208"/>
      <c r="AQ291" s="204"/>
      <c r="AR291" s="210"/>
      <c r="AS291" s="204"/>
      <c r="AT291" s="204"/>
      <c r="AU291" s="204"/>
      <c r="AV291" s="210"/>
      <c r="AW291" s="204"/>
      <c r="AX291" s="210"/>
      <c r="AY291" s="204"/>
      <c r="AZ291" s="204"/>
      <c r="BA291" s="204"/>
      <c r="BB291" s="210"/>
      <c r="BC291" s="204"/>
      <c r="BD291" s="210"/>
      <c r="BE291" s="204"/>
      <c r="BF291" s="204"/>
      <c r="BG291" s="204"/>
      <c r="BH291" s="210"/>
      <c r="BI291" s="204"/>
      <c r="BJ291" s="210"/>
      <c r="BK291" s="204"/>
      <c r="BL291" s="204"/>
      <c r="BM291" s="204"/>
      <c r="BN291" s="210"/>
      <c r="BO291" s="204"/>
      <c r="BP291" s="210"/>
      <c r="BQ291" s="204"/>
      <c r="BR291" s="204"/>
      <c r="BS291" s="204"/>
      <c r="BT291" s="210"/>
      <c r="BU291" s="204"/>
      <c r="BV291" s="210"/>
      <c r="BW291" s="204"/>
      <c r="BX291" s="204"/>
      <c r="BY291" s="204"/>
      <c r="BZ291" s="210"/>
      <c r="CA291" s="204"/>
      <c r="CB291" s="210"/>
      <c r="CC291" s="204"/>
      <c r="CD291" s="204"/>
      <c r="CE291" s="204"/>
      <c r="CF291" s="204"/>
    </row>
    <row r="292" spans="1:84" x14ac:dyDescent="0.5">
      <c r="A292" s="227">
        <v>19076293</v>
      </c>
      <c r="B292" s="22">
        <v>19070647</v>
      </c>
      <c r="C292" s="23" t="s">
        <v>2411</v>
      </c>
      <c r="D292" s="24" t="s">
        <v>1323</v>
      </c>
      <c r="E292" s="884">
        <v>43696</v>
      </c>
      <c r="F292" s="932" t="s">
        <v>1324</v>
      </c>
      <c r="G292" s="933" t="s">
        <v>2476</v>
      </c>
      <c r="H292" s="62">
        <v>43690</v>
      </c>
      <c r="I292" s="27">
        <v>19237</v>
      </c>
      <c r="J292" s="931" t="s">
        <v>869</v>
      </c>
      <c r="K292" s="957">
        <v>43690</v>
      </c>
      <c r="L292" s="22" t="s">
        <v>15</v>
      </c>
      <c r="M292" s="28" t="s">
        <v>2412</v>
      </c>
      <c r="N292" s="22" t="s">
        <v>51</v>
      </c>
      <c r="O292" s="29">
        <v>443390</v>
      </c>
      <c r="P292" s="29">
        <f t="shared" ref="P292:P311" si="68">O292*7/100</f>
        <v>31037.3</v>
      </c>
      <c r="Q292" s="29">
        <f t="shared" ref="Q292:Q311" si="69">O292+P292</f>
        <v>474427.3</v>
      </c>
      <c r="R292" s="61"/>
      <c r="S292" s="96"/>
      <c r="T292" s="97"/>
      <c r="U292" s="98"/>
      <c r="V292" s="99"/>
      <c r="W292" s="100"/>
      <c r="X292" s="99"/>
      <c r="Y292" s="99"/>
      <c r="Z292" s="100"/>
      <c r="AA292" s="101"/>
      <c r="AB292" s="40">
        <v>19080300</v>
      </c>
      <c r="AC292" s="41">
        <v>443390</v>
      </c>
      <c r="AD292" s="52">
        <f t="shared" si="66"/>
        <v>31037.3</v>
      </c>
      <c r="AE292" s="52">
        <f t="shared" si="67"/>
        <v>474427.3</v>
      </c>
      <c r="AF292" s="53">
        <v>43742</v>
      </c>
      <c r="AG292" s="39" t="s">
        <v>869</v>
      </c>
      <c r="AH292" s="39"/>
      <c r="AI292" s="39"/>
      <c r="AJ292" s="21" t="s">
        <v>3061</v>
      </c>
      <c r="AK292" s="982">
        <v>1</v>
      </c>
      <c r="AL292" s="45" t="s">
        <v>2413</v>
      </c>
      <c r="AM292" s="46"/>
      <c r="AN292" s="46" t="s">
        <v>869</v>
      </c>
      <c r="AO292" s="47">
        <v>1</v>
      </c>
      <c r="AP292" s="48" t="s">
        <v>633</v>
      </c>
      <c r="AQ292" s="982">
        <v>2</v>
      </c>
      <c r="AR292" s="40" t="s">
        <v>2414</v>
      </c>
      <c r="AS292" s="47"/>
      <c r="AT292" s="47" t="s">
        <v>869</v>
      </c>
      <c r="AU292" s="47" t="s">
        <v>2415</v>
      </c>
      <c r="AV292" s="49" t="s">
        <v>633</v>
      </c>
      <c r="AW292" s="982">
        <v>3</v>
      </c>
      <c r="AX292" s="40" t="s">
        <v>2416</v>
      </c>
      <c r="AY292" s="47"/>
      <c r="AZ292" s="47" t="s">
        <v>869</v>
      </c>
      <c r="BA292" s="47">
        <v>1</v>
      </c>
      <c r="BB292" s="49" t="s">
        <v>633</v>
      </c>
      <c r="BC292" s="982"/>
      <c r="BD292" s="54"/>
      <c r="BE292" s="982"/>
      <c r="BF292" s="982"/>
      <c r="BG292" s="982"/>
      <c r="BH292" s="54"/>
      <c r="BI292" s="982"/>
      <c r="BJ292" s="54"/>
      <c r="BK292" s="982"/>
      <c r="BL292" s="982"/>
      <c r="BM292" s="982"/>
      <c r="BN292" s="54"/>
      <c r="BO292" s="982"/>
      <c r="BP292" s="54"/>
      <c r="BQ292" s="982"/>
      <c r="BR292" s="982"/>
      <c r="BS292" s="982"/>
      <c r="BT292" s="54"/>
      <c r="BU292" s="982"/>
      <c r="BV292" s="54"/>
      <c r="BW292" s="982"/>
      <c r="BX292" s="982"/>
      <c r="BY292" s="982"/>
      <c r="BZ292" s="54"/>
      <c r="CA292" s="982"/>
      <c r="CB292" s="54"/>
      <c r="CC292" s="982"/>
      <c r="CD292" s="982"/>
      <c r="CE292" s="982"/>
      <c r="CF292" s="982"/>
    </row>
    <row r="293" spans="1:84" x14ac:dyDescent="0.5">
      <c r="A293" s="227">
        <v>19076292</v>
      </c>
      <c r="B293" s="22">
        <v>19070644</v>
      </c>
      <c r="C293" s="55"/>
      <c r="D293" s="56"/>
      <c r="E293" s="910"/>
      <c r="F293" s="57"/>
      <c r="G293" s="58"/>
      <c r="H293" s="59"/>
      <c r="I293" s="60"/>
      <c r="J293" s="269"/>
      <c r="K293" s="59"/>
      <c r="L293" s="22" t="s">
        <v>10</v>
      </c>
      <c r="M293" s="28" t="s">
        <v>2417</v>
      </c>
      <c r="N293" s="22" t="s">
        <v>51</v>
      </c>
      <c r="O293" s="29">
        <v>800</v>
      </c>
      <c r="P293" s="29">
        <f t="shared" si="68"/>
        <v>56</v>
      </c>
      <c r="Q293" s="29">
        <f t="shared" si="69"/>
        <v>856</v>
      </c>
      <c r="R293" s="61"/>
      <c r="S293" s="96"/>
      <c r="T293" s="97"/>
      <c r="U293" s="98"/>
      <c r="V293" s="99"/>
      <c r="W293" s="100"/>
      <c r="X293" s="99"/>
      <c r="Y293" s="99"/>
      <c r="Z293" s="100"/>
      <c r="AA293" s="101"/>
      <c r="AB293" s="40">
        <v>19090347</v>
      </c>
      <c r="AC293" s="41">
        <v>800</v>
      </c>
      <c r="AD293" s="52">
        <f t="shared" si="66"/>
        <v>56</v>
      </c>
      <c r="AE293" s="52">
        <f t="shared" si="67"/>
        <v>856</v>
      </c>
      <c r="AF293" s="53">
        <v>43770</v>
      </c>
      <c r="AG293" s="39" t="s">
        <v>869</v>
      </c>
      <c r="AH293" s="39"/>
      <c r="AI293" s="39"/>
      <c r="AJ293" s="21" t="s">
        <v>3364</v>
      </c>
      <c r="AK293" s="980">
        <v>1</v>
      </c>
      <c r="AL293" s="45" t="s">
        <v>2418</v>
      </c>
      <c r="AM293" s="46"/>
      <c r="AN293" s="46"/>
      <c r="AO293" s="47">
        <v>1</v>
      </c>
      <c r="AP293" s="48" t="s">
        <v>633</v>
      </c>
      <c r="AQ293" s="982"/>
      <c r="AR293" s="54"/>
      <c r="AS293" s="982"/>
      <c r="AT293" s="982"/>
      <c r="AU293" s="982"/>
      <c r="AV293" s="54"/>
      <c r="AW293" s="982"/>
      <c r="AX293" s="54"/>
      <c r="AY293" s="982"/>
      <c r="AZ293" s="982"/>
      <c r="BA293" s="982"/>
      <c r="BB293" s="54"/>
      <c r="BC293" s="982"/>
      <c r="BD293" s="54"/>
      <c r="BE293" s="982"/>
      <c r="BF293" s="982"/>
      <c r="BG293" s="982"/>
      <c r="BH293" s="54"/>
      <c r="BI293" s="982"/>
      <c r="BJ293" s="54"/>
      <c r="BK293" s="982"/>
      <c r="BL293" s="982"/>
      <c r="BM293" s="982"/>
      <c r="BN293" s="54"/>
      <c r="BO293" s="982"/>
      <c r="BP293" s="54"/>
      <c r="BQ293" s="982"/>
      <c r="BR293" s="982"/>
      <c r="BS293" s="982"/>
      <c r="BT293" s="54"/>
      <c r="BU293" s="982"/>
      <c r="BV293" s="54"/>
      <c r="BW293" s="982"/>
      <c r="BX293" s="982"/>
      <c r="BY293" s="982"/>
      <c r="BZ293" s="54"/>
      <c r="CA293" s="982"/>
      <c r="CB293" s="54"/>
      <c r="CC293" s="982"/>
      <c r="CD293" s="982"/>
      <c r="CE293" s="982"/>
      <c r="CF293" s="982"/>
    </row>
    <row r="294" spans="1:84" x14ac:dyDescent="0.5">
      <c r="A294" s="227">
        <v>19076291</v>
      </c>
      <c r="B294" s="22">
        <v>19070643</v>
      </c>
      <c r="C294" s="23" t="s">
        <v>2433</v>
      </c>
      <c r="D294" s="24" t="s">
        <v>1323</v>
      </c>
      <c r="E294" s="884">
        <v>43692</v>
      </c>
      <c r="F294" s="932" t="s">
        <v>1324</v>
      </c>
      <c r="G294" s="933" t="s">
        <v>2657</v>
      </c>
      <c r="H294" s="62">
        <v>43717</v>
      </c>
      <c r="I294" s="27">
        <v>19279</v>
      </c>
      <c r="J294" s="931" t="s">
        <v>869</v>
      </c>
      <c r="K294" s="957">
        <v>43718</v>
      </c>
      <c r="L294" s="22" t="s">
        <v>91</v>
      </c>
      <c r="M294" s="28" t="s">
        <v>2434</v>
      </c>
      <c r="N294" s="22" t="s">
        <v>52</v>
      </c>
      <c r="O294" s="29">
        <v>168224.3</v>
      </c>
      <c r="P294" s="29">
        <f t="shared" si="68"/>
        <v>11775.700999999999</v>
      </c>
      <c r="Q294" s="29">
        <f t="shared" si="69"/>
        <v>180000.00099999999</v>
      </c>
      <c r="R294" s="61"/>
      <c r="S294" s="31" t="s">
        <v>1146</v>
      </c>
      <c r="T294" s="32">
        <f>O294</f>
        <v>168224.3</v>
      </c>
      <c r="U294" s="33">
        <v>5</v>
      </c>
      <c r="V294" s="34">
        <f>T294*U294/100</f>
        <v>8411.2150000000001</v>
      </c>
      <c r="W294" s="35">
        <f>T294-V294</f>
        <v>159813.08499999999</v>
      </c>
      <c r="X294" s="36">
        <v>0.35</v>
      </c>
      <c r="Y294" s="36">
        <f>W294*X294/100</f>
        <v>559.3457975</v>
      </c>
      <c r="Z294" s="37">
        <v>0.2</v>
      </c>
      <c r="AA294" s="38">
        <f>W294*Z294/100</f>
        <v>319.62617</v>
      </c>
      <c r="AB294" s="40">
        <v>19080286</v>
      </c>
      <c r="AC294" s="41">
        <v>168224.3</v>
      </c>
      <c r="AD294" s="52">
        <f t="shared" si="66"/>
        <v>11775.700999999999</v>
      </c>
      <c r="AE294" s="52">
        <f t="shared" si="67"/>
        <v>180000.00099999999</v>
      </c>
      <c r="AF294" s="53">
        <v>43691</v>
      </c>
      <c r="AG294" s="39" t="s">
        <v>869</v>
      </c>
      <c r="AH294" s="39"/>
      <c r="AI294" s="39"/>
      <c r="AJ294" s="21" t="s">
        <v>2701</v>
      </c>
      <c r="AK294" s="980">
        <v>1</v>
      </c>
      <c r="AL294" s="45" t="s">
        <v>1135</v>
      </c>
      <c r="AM294" s="46"/>
      <c r="AN294" s="46" t="s">
        <v>869</v>
      </c>
      <c r="AO294" s="47">
        <v>1</v>
      </c>
      <c r="AP294" s="48" t="s">
        <v>634</v>
      </c>
      <c r="AQ294" s="982"/>
      <c r="AR294" s="54"/>
      <c r="AS294" s="982"/>
      <c r="AT294" s="982"/>
      <c r="AU294" s="982"/>
      <c r="AV294" s="54"/>
      <c r="AW294" s="982"/>
      <c r="AX294" s="54"/>
      <c r="AY294" s="982"/>
      <c r="AZ294" s="982"/>
      <c r="BA294" s="982"/>
      <c r="BB294" s="54"/>
      <c r="BC294" s="982"/>
      <c r="BD294" s="54"/>
      <c r="BE294" s="982"/>
      <c r="BF294" s="982"/>
      <c r="BG294" s="982"/>
      <c r="BH294" s="54"/>
      <c r="BI294" s="982"/>
      <c r="BJ294" s="54"/>
      <c r="BK294" s="982"/>
      <c r="BL294" s="982"/>
      <c r="BM294" s="982"/>
      <c r="BN294" s="54"/>
      <c r="BO294" s="982"/>
      <c r="BP294" s="54"/>
      <c r="BQ294" s="982"/>
      <c r="BR294" s="982"/>
      <c r="BS294" s="982"/>
      <c r="BT294" s="54"/>
      <c r="BU294" s="982"/>
      <c r="BV294" s="54"/>
      <c r="BW294" s="982"/>
      <c r="BX294" s="982"/>
      <c r="BY294" s="982"/>
      <c r="BZ294" s="54"/>
      <c r="CA294" s="982"/>
      <c r="CB294" s="54"/>
      <c r="CC294" s="982"/>
      <c r="CD294" s="982"/>
      <c r="CE294" s="982"/>
      <c r="CF294" s="982"/>
    </row>
    <row r="295" spans="1:84" x14ac:dyDescent="0.5">
      <c r="A295" s="227">
        <v>19076290</v>
      </c>
      <c r="B295" s="22">
        <v>19070638</v>
      </c>
      <c r="C295" s="55"/>
      <c r="D295" s="56"/>
      <c r="E295" s="910"/>
      <c r="F295" s="57"/>
      <c r="G295" s="58"/>
      <c r="H295" s="59"/>
      <c r="I295" s="60"/>
      <c r="J295" s="269"/>
      <c r="K295" s="59"/>
      <c r="L295" s="22" t="s">
        <v>2419</v>
      </c>
      <c r="M295" s="28" t="s">
        <v>2420</v>
      </c>
      <c r="N295" s="22" t="s">
        <v>51</v>
      </c>
      <c r="O295" s="29">
        <v>44400</v>
      </c>
      <c r="P295" s="29">
        <f t="shared" si="68"/>
        <v>3108</v>
      </c>
      <c r="Q295" s="29">
        <f t="shared" si="69"/>
        <v>47508</v>
      </c>
      <c r="R295" s="61"/>
      <c r="S295" s="96"/>
      <c r="T295" s="97"/>
      <c r="U295" s="98"/>
      <c r="V295" s="99"/>
      <c r="W295" s="100"/>
      <c r="X295" s="99"/>
      <c r="Y295" s="99"/>
      <c r="Z295" s="100"/>
      <c r="AA295" s="101"/>
      <c r="AB295" s="40">
        <v>19080280</v>
      </c>
      <c r="AC295" s="41">
        <v>44400</v>
      </c>
      <c r="AD295" s="52">
        <f t="shared" si="66"/>
        <v>3108</v>
      </c>
      <c r="AE295" s="52">
        <f t="shared" si="67"/>
        <v>47508</v>
      </c>
      <c r="AF295" s="53">
        <v>43721</v>
      </c>
      <c r="AG295" s="39" t="s">
        <v>869</v>
      </c>
      <c r="AH295" s="39"/>
      <c r="AI295" s="39"/>
      <c r="AJ295" s="21" t="s">
        <v>3056</v>
      </c>
      <c r="AK295" s="980">
        <v>1</v>
      </c>
      <c r="AL295" s="45" t="s">
        <v>2421</v>
      </c>
      <c r="AM295" s="46"/>
      <c r="AN295" s="46"/>
      <c r="AO295" s="47">
        <v>1</v>
      </c>
      <c r="AP295" s="48" t="s">
        <v>628</v>
      </c>
      <c r="AQ295" s="980">
        <v>2</v>
      </c>
      <c r="AR295" s="40" t="s">
        <v>2422</v>
      </c>
      <c r="AS295" s="47"/>
      <c r="AT295" s="47" t="s">
        <v>869</v>
      </c>
      <c r="AU295" s="47">
        <v>1</v>
      </c>
      <c r="AV295" s="49" t="s">
        <v>628</v>
      </c>
      <c r="AW295" s="982"/>
      <c r="AX295" s="54"/>
      <c r="AY295" s="982"/>
      <c r="AZ295" s="982"/>
      <c r="BA295" s="982"/>
      <c r="BB295" s="54"/>
      <c r="BC295" s="982"/>
      <c r="BD295" s="54"/>
      <c r="BE295" s="982"/>
      <c r="BF295" s="982"/>
      <c r="BG295" s="982"/>
      <c r="BH295" s="54"/>
      <c r="BI295" s="982"/>
      <c r="BJ295" s="54"/>
      <c r="BK295" s="982"/>
      <c r="BL295" s="982"/>
      <c r="BM295" s="982"/>
      <c r="BN295" s="54"/>
      <c r="BO295" s="982"/>
      <c r="BP295" s="54"/>
      <c r="BQ295" s="982"/>
      <c r="BR295" s="982"/>
      <c r="BS295" s="982"/>
      <c r="BT295" s="54"/>
      <c r="BU295" s="982"/>
      <c r="BV295" s="54"/>
      <c r="BW295" s="982"/>
      <c r="BX295" s="982"/>
      <c r="BY295" s="982"/>
      <c r="BZ295" s="54"/>
      <c r="CA295" s="982"/>
      <c r="CB295" s="54"/>
      <c r="CC295" s="982"/>
      <c r="CD295" s="982"/>
      <c r="CE295" s="982"/>
      <c r="CF295" s="982"/>
    </row>
    <row r="296" spans="1:84" x14ac:dyDescent="0.5">
      <c r="A296" s="227">
        <v>19076289</v>
      </c>
      <c r="B296" s="22">
        <v>19070637</v>
      </c>
      <c r="C296" s="55"/>
      <c r="D296" s="56"/>
      <c r="E296" s="910"/>
      <c r="F296" s="57"/>
      <c r="G296" s="58"/>
      <c r="H296" s="59"/>
      <c r="I296" s="60"/>
      <c r="J296" s="269"/>
      <c r="K296" s="59"/>
      <c r="L296" s="22" t="s">
        <v>2419</v>
      </c>
      <c r="M296" s="28" t="s">
        <v>2423</v>
      </c>
      <c r="N296" s="22" t="s">
        <v>51</v>
      </c>
      <c r="O296" s="29">
        <v>15000</v>
      </c>
      <c r="P296" s="29">
        <f t="shared" si="68"/>
        <v>1050</v>
      </c>
      <c r="Q296" s="29">
        <f t="shared" si="69"/>
        <v>16050</v>
      </c>
      <c r="R296" s="61"/>
      <c r="S296" s="96"/>
      <c r="T296" s="97"/>
      <c r="U296" s="98"/>
      <c r="V296" s="99"/>
      <c r="W296" s="100"/>
      <c r="X296" s="99"/>
      <c r="Y296" s="99"/>
      <c r="Z296" s="100"/>
      <c r="AA296" s="101"/>
      <c r="AB296" s="40">
        <v>19080279</v>
      </c>
      <c r="AC296" s="41">
        <v>15000</v>
      </c>
      <c r="AD296" s="52">
        <f t="shared" si="66"/>
        <v>1050</v>
      </c>
      <c r="AE296" s="52">
        <f t="shared" si="67"/>
        <v>16050</v>
      </c>
      <c r="AF296" s="53">
        <v>43721</v>
      </c>
      <c r="AG296" s="39" t="s">
        <v>869</v>
      </c>
      <c r="AH296" s="39"/>
      <c r="AI296" s="39"/>
      <c r="AJ296" s="21" t="s">
        <v>3056</v>
      </c>
      <c r="AK296" s="978">
        <v>1</v>
      </c>
      <c r="AL296" s="45" t="s">
        <v>2424</v>
      </c>
      <c r="AM296" s="46"/>
      <c r="AN296" s="46"/>
      <c r="AO296" s="47">
        <v>1</v>
      </c>
      <c r="AP296" s="48" t="s">
        <v>628</v>
      </c>
      <c r="AQ296" s="978">
        <v>2</v>
      </c>
      <c r="AR296" s="40" t="s">
        <v>2422</v>
      </c>
      <c r="AS296" s="47"/>
      <c r="AT296" s="47" t="s">
        <v>869</v>
      </c>
      <c r="AU296" s="47">
        <v>1</v>
      </c>
      <c r="AV296" s="49" t="s">
        <v>628</v>
      </c>
      <c r="AW296" s="982"/>
      <c r="AX296" s="54"/>
      <c r="AY296" s="982"/>
      <c r="AZ296" s="982"/>
      <c r="BA296" s="982"/>
      <c r="BB296" s="54"/>
      <c r="BC296" s="982"/>
      <c r="BD296" s="54"/>
      <c r="BE296" s="982"/>
      <c r="BF296" s="982"/>
      <c r="BG296" s="982"/>
      <c r="BH296" s="54"/>
      <c r="BI296" s="982"/>
      <c r="BJ296" s="54"/>
      <c r="BK296" s="982"/>
      <c r="BL296" s="982"/>
      <c r="BM296" s="982"/>
      <c r="BN296" s="54"/>
      <c r="BO296" s="982"/>
      <c r="BP296" s="54"/>
      <c r="BQ296" s="982"/>
      <c r="BR296" s="982"/>
      <c r="BS296" s="982"/>
      <c r="BT296" s="54"/>
      <c r="BU296" s="982"/>
      <c r="BV296" s="54"/>
      <c r="BW296" s="982"/>
      <c r="BX296" s="982"/>
      <c r="BY296" s="982"/>
      <c r="BZ296" s="54"/>
      <c r="CA296" s="982"/>
      <c r="CB296" s="54"/>
      <c r="CC296" s="982"/>
      <c r="CD296" s="982"/>
      <c r="CE296" s="982"/>
      <c r="CF296" s="982"/>
    </row>
    <row r="297" spans="1:84" x14ac:dyDescent="0.5">
      <c r="A297" s="259">
        <v>19076288</v>
      </c>
      <c r="B297" s="104">
        <v>19070635</v>
      </c>
      <c r="C297" s="105" t="s">
        <v>2435</v>
      </c>
      <c r="D297" s="106" t="s">
        <v>1323</v>
      </c>
      <c r="E297" s="302">
        <v>43675</v>
      </c>
      <c r="F297" s="936" t="s">
        <v>1324</v>
      </c>
      <c r="G297" s="937" t="s">
        <v>2630</v>
      </c>
      <c r="H297" s="211">
        <v>43732</v>
      </c>
      <c r="I297" s="164">
        <v>19298</v>
      </c>
      <c r="J297" s="960" t="s">
        <v>869</v>
      </c>
      <c r="K297" s="965">
        <v>43733</v>
      </c>
      <c r="L297" s="104" t="s">
        <v>2436</v>
      </c>
      <c r="M297" s="110" t="s">
        <v>2437</v>
      </c>
      <c r="N297" s="104" t="s">
        <v>52</v>
      </c>
      <c r="O297" s="111">
        <v>137383.18</v>
      </c>
      <c r="P297" s="111">
        <f t="shared" si="68"/>
        <v>9616.8225999999995</v>
      </c>
      <c r="Q297" s="111">
        <f t="shared" si="69"/>
        <v>147000.00260000001</v>
      </c>
      <c r="R297" s="311">
        <v>14000</v>
      </c>
      <c r="S297" s="113" t="s">
        <v>568</v>
      </c>
      <c r="T297" s="114">
        <f>O297-R297</f>
        <v>123383.18</v>
      </c>
      <c r="U297" s="115">
        <v>5</v>
      </c>
      <c r="V297" s="116">
        <f>T297*U297/100</f>
        <v>6169.1589999999987</v>
      </c>
      <c r="W297" s="117">
        <f>T297-V297</f>
        <v>117214.02099999999</v>
      </c>
      <c r="X297" s="118">
        <v>0.24</v>
      </c>
      <c r="Y297" s="118">
        <f>W297*X297/100</f>
        <v>281.31365039999997</v>
      </c>
      <c r="Z297" s="119">
        <v>0.2</v>
      </c>
      <c r="AA297" s="120">
        <f>W297*Z297/100</f>
        <v>234.42804199999998</v>
      </c>
      <c r="AB297" s="123">
        <v>19090364</v>
      </c>
      <c r="AC297" s="124">
        <v>137383.18</v>
      </c>
      <c r="AD297" s="260">
        <f t="shared" si="66"/>
        <v>9616.8225999999995</v>
      </c>
      <c r="AE297" s="260">
        <f t="shared" si="67"/>
        <v>147000.00260000001</v>
      </c>
      <c r="AF297" s="126">
        <v>43732</v>
      </c>
      <c r="AG297" s="127" t="s">
        <v>869</v>
      </c>
      <c r="AH297" s="127"/>
      <c r="AI297" s="127"/>
      <c r="AJ297" s="103" t="s">
        <v>2839</v>
      </c>
      <c r="AK297" s="128">
        <v>1</v>
      </c>
      <c r="AL297" s="129" t="s">
        <v>1826</v>
      </c>
      <c r="AM297" s="130"/>
      <c r="AN297" s="130" t="s">
        <v>869</v>
      </c>
      <c r="AO297" s="131">
        <v>3</v>
      </c>
      <c r="AP297" s="132" t="s">
        <v>634</v>
      </c>
      <c r="AQ297" s="128">
        <v>2</v>
      </c>
      <c r="AR297" s="123" t="s">
        <v>734</v>
      </c>
      <c r="AS297" s="131"/>
      <c r="AT297" s="131" t="s">
        <v>869</v>
      </c>
      <c r="AU297" s="131">
        <v>1</v>
      </c>
      <c r="AV297" s="169" t="s">
        <v>636</v>
      </c>
      <c r="AW297" s="128"/>
      <c r="AX297" s="133"/>
      <c r="AY297" s="128"/>
      <c r="AZ297" s="128"/>
      <c r="BA297" s="128"/>
      <c r="BB297" s="133"/>
      <c r="BC297" s="128"/>
      <c r="BD297" s="133"/>
      <c r="BE297" s="128"/>
      <c r="BF297" s="128"/>
      <c r="BG297" s="128"/>
      <c r="BH297" s="133"/>
      <c r="BI297" s="128"/>
      <c r="BJ297" s="133"/>
      <c r="BK297" s="128"/>
      <c r="BL297" s="128"/>
      <c r="BM297" s="128"/>
      <c r="BN297" s="133"/>
      <c r="BO297" s="128"/>
      <c r="BP297" s="133"/>
      <c r="BQ297" s="128"/>
      <c r="BR297" s="128"/>
      <c r="BS297" s="128"/>
      <c r="BT297" s="133"/>
      <c r="BU297" s="128"/>
      <c r="BV297" s="133"/>
      <c r="BW297" s="128"/>
      <c r="BX297" s="128"/>
      <c r="BY297" s="128"/>
      <c r="BZ297" s="133"/>
      <c r="CA297" s="128"/>
      <c r="CB297" s="133"/>
      <c r="CC297" s="128"/>
      <c r="CD297" s="128"/>
      <c r="CE297" s="128"/>
      <c r="CF297" s="128"/>
    </row>
    <row r="298" spans="1:84" x14ac:dyDescent="0.5">
      <c r="A298" s="262"/>
      <c r="B298" s="135"/>
      <c r="C298" s="136"/>
      <c r="D298" s="137"/>
      <c r="E298" s="906"/>
      <c r="F298" s="940"/>
      <c r="G298" s="941"/>
      <c r="H298" s="179">
        <v>43732</v>
      </c>
      <c r="I298" s="140">
        <v>19299</v>
      </c>
      <c r="J298" s="963"/>
      <c r="K298" s="964"/>
      <c r="L298" s="135"/>
      <c r="M298" s="141"/>
      <c r="N298" s="135"/>
      <c r="O298" s="142"/>
      <c r="P298" s="142"/>
      <c r="Q298" s="142"/>
      <c r="R298" s="143"/>
      <c r="S298" s="144"/>
      <c r="T298" s="145"/>
      <c r="U298" s="146"/>
      <c r="V298" s="147"/>
      <c r="W298" s="148"/>
      <c r="X298" s="149"/>
      <c r="Y298" s="149"/>
      <c r="Z298" s="150"/>
      <c r="AA298" s="151"/>
      <c r="AB298" s="154"/>
      <c r="AC298" s="155"/>
      <c r="AD298" s="253"/>
      <c r="AE298" s="253"/>
      <c r="AF298" s="157"/>
      <c r="AG298" s="152"/>
      <c r="AH298" s="152"/>
      <c r="AI298" s="152"/>
      <c r="AJ298" s="134"/>
      <c r="AK298" s="158"/>
      <c r="AL298" s="159"/>
      <c r="AM298" s="160"/>
      <c r="AN298" s="160"/>
      <c r="AO298" s="161"/>
      <c r="AP298" s="162"/>
      <c r="AQ298" s="158"/>
      <c r="AR298" s="154"/>
      <c r="AS298" s="161"/>
      <c r="AT298" s="161"/>
      <c r="AU298" s="161"/>
      <c r="AV298" s="177"/>
      <c r="AW298" s="158"/>
      <c r="AX298" s="163"/>
      <c r="AY298" s="158"/>
      <c r="AZ298" s="158"/>
      <c r="BA298" s="158"/>
      <c r="BB298" s="163"/>
      <c r="BC298" s="158"/>
      <c r="BD298" s="163"/>
      <c r="BE298" s="158"/>
      <c r="BF298" s="158"/>
      <c r="BG298" s="158"/>
      <c r="BH298" s="163"/>
      <c r="BI298" s="158"/>
      <c r="BJ298" s="163"/>
      <c r="BK298" s="158"/>
      <c r="BL298" s="158"/>
      <c r="BM298" s="158"/>
      <c r="BN298" s="163"/>
      <c r="BO298" s="158"/>
      <c r="BP298" s="163"/>
      <c r="BQ298" s="158"/>
      <c r="BR298" s="158"/>
      <c r="BS298" s="158"/>
      <c r="BT298" s="163"/>
      <c r="BU298" s="158"/>
      <c r="BV298" s="163"/>
      <c r="BW298" s="158"/>
      <c r="BX298" s="158"/>
      <c r="BY298" s="158"/>
      <c r="BZ298" s="163"/>
      <c r="CA298" s="158"/>
      <c r="CB298" s="163"/>
      <c r="CC298" s="158"/>
      <c r="CD298" s="158"/>
      <c r="CE298" s="158"/>
      <c r="CF298" s="158"/>
    </row>
    <row r="299" spans="1:84" x14ac:dyDescent="0.5">
      <c r="A299" s="259">
        <v>19076287</v>
      </c>
      <c r="B299" s="104">
        <v>19070636</v>
      </c>
      <c r="C299" s="105" t="s">
        <v>2438</v>
      </c>
      <c r="D299" s="106" t="s">
        <v>1323</v>
      </c>
      <c r="E299" s="302">
        <v>43693</v>
      </c>
      <c r="F299" s="936" t="s">
        <v>1324</v>
      </c>
      <c r="G299" s="937" t="s">
        <v>2491</v>
      </c>
      <c r="H299" s="211">
        <v>43694</v>
      </c>
      <c r="I299" s="164">
        <v>19240</v>
      </c>
      <c r="J299" s="960" t="s">
        <v>869</v>
      </c>
      <c r="K299" s="965">
        <v>43696</v>
      </c>
      <c r="L299" s="104" t="s">
        <v>2439</v>
      </c>
      <c r="M299" s="110" t="s">
        <v>2440</v>
      </c>
      <c r="N299" s="104" t="s">
        <v>52</v>
      </c>
      <c r="O299" s="111">
        <v>1850000</v>
      </c>
      <c r="P299" s="111">
        <f t="shared" si="68"/>
        <v>129500</v>
      </c>
      <c r="Q299" s="111">
        <f t="shared" si="69"/>
        <v>1979500</v>
      </c>
      <c r="R299" s="311"/>
      <c r="S299" s="113"/>
      <c r="T299" s="114"/>
      <c r="U299" s="115"/>
      <c r="V299" s="116"/>
      <c r="W299" s="117"/>
      <c r="X299" s="118"/>
      <c r="Y299" s="118"/>
      <c r="Z299" s="119"/>
      <c r="AA299" s="120"/>
      <c r="AB299" s="123">
        <v>19090335</v>
      </c>
      <c r="AC299" s="124">
        <v>1850000</v>
      </c>
      <c r="AD299" s="260">
        <f t="shared" si="66"/>
        <v>129500</v>
      </c>
      <c r="AE299" s="260">
        <f t="shared" si="67"/>
        <v>1979500</v>
      </c>
      <c r="AF299" s="126">
        <v>43762</v>
      </c>
      <c r="AG299" s="127" t="s">
        <v>869</v>
      </c>
      <c r="AH299" s="127"/>
      <c r="AI299" s="127"/>
      <c r="AJ299" s="103" t="s">
        <v>3351</v>
      </c>
      <c r="AK299" s="128">
        <v>1</v>
      </c>
      <c r="AL299" s="129" t="s">
        <v>846</v>
      </c>
      <c r="AM299" s="130" t="s">
        <v>869</v>
      </c>
      <c r="AN299" s="130"/>
      <c r="AO299" s="131">
        <v>1</v>
      </c>
      <c r="AP299" s="132" t="s">
        <v>634</v>
      </c>
      <c r="AQ299" s="128">
        <v>2</v>
      </c>
      <c r="AR299" s="123" t="s">
        <v>847</v>
      </c>
      <c r="AS299" s="131" t="s">
        <v>869</v>
      </c>
      <c r="AT299" s="131"/>
      <c r="AU299" s="131">
        <v>2</v>
      </c>
      <c r="AV299" s="169" t="s">
        <v>636</v>
      </c>
      <c r="AW299" s="128"/>
      <c r="AX299" s="133"/>
      <c r="AY299" s="128"/>
      <c r="AZ299" s="128"/>
      <c r="BA299" s="128"/>
      <c r="BB299" s="133"/>
      <c r="BC299" s="128"/>
      <c r="BD299" s="133"/>
      <c r="BE299" s="128"/>
      <c r="BF299" s="128"/>
      <c r="BG299" s="128"/>
      <c r="BH299" s="133"/>
      <c r="BI299" s="128"/>
      <c r="BJ299" s="133"/>
      <c r="BK299" s="128"/>
      <c r="BL299" s="128"/>
      <c r="BM299" s="128"/>
      <c r="BN299" s="133"/>
      <c r="BO299" s="128"/>
      <c r="BP299" s="133"/>
      <c r="BQ299" s="128"/>
      <c r="BR299" s="128"/>
      <c r="BS299" s="128"/>
      <c r="BT299" s="133"/>
      <c r="BU299" s="128"/>
      <c r="BV299" s="133"/>
      <c r="BW299" s="128"/>
      <c r="BX299" s="128"/>
      <c r="BY299" s="128"/>
      <c r="BZ299" s="133"/>
      <c r="CA299" s="128"/>
      <c r="CB299" s="133"/>
      <c r="CC299" s="128"/>
      <c r="CD299" s="128"/>
      <c r="CE299" s="128"/>
      <c r="CF299" s="128"/>
    </row>
    <row r="300" spans="1:84" x14ac:dyDescent="0.5">
      <c r="A300" s="262"/>
      <c r="B300" s="135"/>
      <c r="C300" s="136"/>
      <c r="D300" s="137"/>
      <c r="E300" s="906"/>
      <c r="F300" s="940"/>
      <c r="G300" s="941"/>
      <c r="H300" s="170">
        <v>43694</v>
      </c>
      <c r="I300" s="251">
        <v>19241</v>
      </c>
      <c r="J300" s="963"/>
      <c r="K300" s="971"/>
      <c r="L300" s="135"/>
      <c r="M300" s="141"/>
      <c r="N300" s="135"/>
      <c r="O300" s="142"/>
      <c r="P300" s="142"/>
      <c r="Q300" s="142"/>
      <c r="R300" s="143"/>
      <c r="S300" s="144"/>
      <c r="T300" s="145"/>
      <c r="U300" s="146"/>
      <c r="V300" s="147"/>
      <c r="W300" s="148"/>
      <c r="X300" s="149"/>
      <c r="Y300" s="149"/>
      <c r="Z300" s="150"/>
      <c r="AA300" s="151"/>
      <c r="AB300" s="154"/>
      <c r="AC300" s="155"/>
      <c r="AD300" s="255"/>
      <c r="AE300" s="255"/>
      <c r="AF300" s="256"/>
      <c r="AG300" s="152"/>
      <c r="AH300" s="152"/>
      <c r="AI300" s="152"/>
      <c r="AJ300" s="134"/>
      <c r="AK300" s="158"/>
      <c r="AL300" s="159"/>
      <c r="AM300" s="160"/>
      <c r="AN300" s="160"/>
      <c r="AO300" s="161"/>
      <c r="AP300" s="162"/>
      <c r="AQ300" s="158"/>
      <c r="AR300" s="154"/>
      <c r="AS300" s="161"/>
      <c r="AT300" s="161"/>
      <c r="AU300" s="161"/>
      <c r="AV300" s="177"/>
      <c r="AW300" s="158"/>
      <c r="AX300" s="163"/>
      <c r="AY300" s="158"/>
      <c r="AZ300" s="158"/>
      <c r="BA300" s="158"/>
      <c r="BB300" s="163"/>
      <c r="BC300" s="158"/>
      <c r="BD300" s="163"/>
      <c r="BE300" s="158"/>
      <c r="BF300" s="158"/>
      <c r="BG300" s="158"/>
      <c r="BH300" s="163"/>
      <c r="BI300" s="158"/>
      <c r="BJ300" s="163"/>
      <c r="BK300" s="158"/>
      <c r="BL300" s="158"/>
      <c r="BM300" s="158"/>
      <c r="BN300" s="163"/>
      <c r="BO300" s="158"/>
      <c r="BP300" s="163"/>
      <c r="BQ300" s="158"/>
      <c r="BR300" s="158"/>
      <c r="BS300" s="158"/>
      <c r="BT300" s="163"/>
      <c r="BU300" s="158"/>
      <c r="BV300" s="163"/>
      <c r="BW300" s="158"/>
      <c r="BX300" s="158"/>
      <c r="BY300" s="158"/>
      <c r="BZ300" s="163"/>
      <c r="CA300" s="158"/>
      <c r="CB300" s="163"/>
      <c r="CC300" s="158"/>
      <c r="CD300" s="158"/>
      <c r="CE300" s="158"/>
      <c r="CF300" s="158"/>
    </row>
    <row r="301" spans="1:84" x14ac:dyDescent="0.5">
      <c r="A301" s="262"/>
      <c r="B301" s="135"/>
      <c r="C301" s="136"/>
      <c r="D301" s="137"/>
      <c r="E301" s="906"/>
      <c r="F301" s="940"/>
      <c r="G301" s="941"/>
      <c r="H301" s="170">
        <v>43699</v>
      </c>
      <c r="I301" s="251">
        <v>19247</v>
      </c>
      <c r="J301" s="963"/>
      <c r="K301" s="964">
        <v>43700</v>
      </c>
      <c r="L301" s="135"/>
      <c r="M301" s="141"/>
      <c r="N301" s="135"/>
      <c r="O301" s="142"/>
      <c r="P301" s="142"/>
      <c r="Q301" s="142"/>
      <c r="R301" s="143"/>
      <c r="S301" s="144"/>
      <c r="T301" s="145"/>
      <c r="U301" s="146"/>
      <c r="V301" s="147"/>
      <c r="W301" s="148"/>
      <c r="X301" s="149"/>
      <c r="Y301" s="149"/>
      <c r="Z301" s="150"/>
      <c r="AA301" s="151"/>
      <c r="AB301" s="154"/>
      <c r="AC301" s="155"/>
      <c r="AD301" s="255"/>
      <c r="AE301" s="255"/>
      <c r="AF301" s="256"/>
      <c r="AG301" s="152"/>
      <c r="AH301" s="152"/>
      <c r="AI301" s="152"/>
      <c r="AJ301" s="134"/>
      <c r="AK301" s="158"/>
      <c r="AL301" s="159"/>
      <c r="AM301" s="160"/>
      <c r="AN301" s="160"/>
      <c r="AO301" s="161"/>
      <c r="AP301" s="162"/>
      <c r="AQ301" s="158"/>
      <c r="AR301" s="154"/>
      <c r="AS301" s="161"/>
      <c r="AT301" s="161"/>
      <c r="AU301" s="161"/>
      <c r="AV301" s="177"/>
      <c r="AW301" s="158"/>
      <c r="AX301" s="163"/>
      <c r="AY301" s="158"/>
      <c r="AZ301" s="158"/>
      <c r="BA301" s="158"/>
      <c r="BB301" s="163"/>
      <c r="BC301" s="158"/>
      <c r="BD301" s="163"/>
      <c r="BE301" s="158"/>
      <c r="BF301" s="158"/>
      <c r="BG301" s="158"/>
      <c r="BH301" s="163"/>
      <c r="BI301" s="158"/>
      <c r="BJ301" s="163"/>
      <c r="BK301" s="158"/>
      <c r="BL301" s="158"/>
      <c r="BM301" s="158"/>
      <c r="BN301" s="163"/>
      <c r="BO301" s="158"/>
      <c r="BP301" s="163"/>
      <c r="BQ301" s="158"/>
      <c r="BR301" s="158"/>
      <c r="BS301" s="158"/>
      <c r="BT301" s="163"/>
      <c r="BU301" s="158"/>
      <c r="BV301" s="163"/>
      <c r="BW301" s="158"/>
      <c r="BX301" s="158"/>
      <c r="BY301" s="158"/>
      <c r="BZ301" s="163"/>
      <c r="CA301" s="158"/>
      <c r="CB301" s="163"/>
      <c r="CC301" s="158"/>
      <c r="CD301" s="158"/>
      <c r="CE301" s="158"/>
      <c r="CF301" s="158"/>
    </row>
    <row r="302" spans="1:84" x14ac:dyDescent="0.5">
      <c r="A302" s="262"/>
      <c r="B302" s="135"/>
      <c r="C302" s="136"/>
      <c r="D302" s="137"/>
      <c r="E302" s="906"/>
      <c r="F302" s="940"/>
      <c r="G302" s="941"/>
      <c r="H302" s="170">
        <v>43699</v>
      </c>
      <c r="I302" s="251">
        <v>19248</v>
      </c>
      <c r="J302" s="963"/>
      <c r="K302" s="964"/>
      <c r="L302" s="135"/>
      <c r="M302" s="141"/>
      <c r="N302" s="135"/>
      <c r="O302" s="142"/>
      <c r="P302" s="142"/>
      <c r="Q302" s="142"/>
      <c r="R302" s="143"/>
      <c r="S302" s="144"/>
      <c r="T302" s="145"/>
      <c r="U302" s="146"/>
      <c r="V302" s="147"/>
      <c r="W302" s="148"/>
      <c r="X302" s="149"/>
      <c r="Y302" s="149"/>
      <c r="Z302" s="150"/>
      <c r="AA302" s="151"/>
      <c r="AB302" s="154"/>
      <c r="AC302" s="155"/>
      <c r="AD302" s="255"/>
      <c r="AE302" s="255"/>
      <c r="AF302" s="256"/>
      <c r="AG302" s="152"/>
      <c r="AH302" s="152"/>
      <c r="AI302" s="152"/>
      <c r="AJ302" s="134"/>
      <c r="AK302" s="158"/>
      <c r="AL302" s="159"/>
      <c r="AM302" s="160"/>
      <c r="AN302" s="160"/>
      <c r="AO302" s="161"/>
      <c r="AP302" s="162"/>
      <c r="AQ302" s="158"/>
      <c r="AR302" s="154"/>
      <c r="AS302" s="161"/>
      <c r="AT302" s="161"/>
      <c r="AU302" s="161"/>
      <c r="AV302" s="177"/>
      <c r="AW302" s="158"/>
      <c r="AX302" s="163"/>
      <c r="AY302" s="158"/>
      <c r="AZ302" s="158"/>
      <c r="BA302" s="158"/>
      <c r="BB302" s="163"/>
      <c r="BC302" s="158"/>
      <c r="BD302" s="163"/>
      <c r="BE302" s="158"/>
      <c r="BF302" s="158"/>
      <c r="BG302" s="158"/>
      <c r="BH302" s="163"/>
      <c r="BI302" s="158"/>
      <c r="BJ302" s="163"/>
      <c r="BK302" s="158"/>
      <c r="BL302" s="158"/>
      <c r="BM302" s="158"/>
      <c r="BN302" s="163"/>
      <c r="BO302" s="158"/>
      <c r="BP302" s="163"/>
      <c r="BQ302" s="158"/>
      <c r="BR302" s="158"/>
      <c r="BS302" s="158"/>
      <c r="BT302" s="163"/>
      <c r="BU302" s="158"/>
      <c r="BV302" s="163"/>
      <c r="BW302" s="158"/>
      <c r="BX302" s="158"/>
      <c r="BY302" s="158"/>
      <c r="BZ302" s="163"/>
      <c r="CA302" s="158"/>
      <c r="CB302" s="163"/>
      <c r="CC302" s="158"/>
      <c r="CD302" s="158"/>
      <c r="CE302" s="158"/>
      <c r="CF302" s="158"/>
    </row>
    <row r="303" spans="1:84" x14ac:dyDescent="0.5">
      <c r="A303" s="268"/>
      <c r="B303" s="181"/>
      <c r="C303" s="182"/>
      <c r="D303" s="183"/>
      <c r="E303" s="749"/>
      <c r="F303" s="938"/>
      <c r="G303" s="939"/>
      <c r="H303" s="186">
        <v>43699</v>
      </c>
      <c r="I303" s="187">
        <v>19249</v>
      </c>
      <c r="J303" s="961"/>
      <c r="K303" s="966"/>
      <c r="L303" s="181"/>
      <c r="M303" s="188"/>
      <c r="N303" s="181"/>
      <c r="O303" s="189"/>
      <c r="P303" s="189"/>
      <c r="Q303" s="189"/>
      <c r="R303" s="190"/>
      <c r="S303" s="215"/>
      <c r="T303" s="216"/>
      <c r="U303" s="217"/>
      <c r="V303" s="218"/>
      <c r="W303" s="195"/>
      <c r="X303" s="196"/>
      <c r="Y303" s="196"/>
      <c r="Z303" s="197"/>
      <c r="AA303" s="198"/>
      <c r="AB303" s="200"/>
      <c r="AC303" s="201"/>
      <c r="AD303" s="240"/>
      <c r="AE303" s="240"/>
      <c r="AF303" s="241"/>
      <c r="AG303" s="199"/>
      <c r="AH303" s="199"/>
      <c r="AI303" s="199"/>
      <c r="AJ303" s="180"/>
      <c r="AK303" s="204"/>
      <c r="AL303" s="205"/>
      <c r="AM303" s="206"/>
      <c r="AN303" s="206"/>
      <c r="AO303" s="207"/>
      <c r="AP303" s="208"/>
      <c r="AQ303" s="204"/>
      <c r="AR303" s="200"/>
      <c r="AS303" s="207"/>
      <c r="AT303" s="207"/>
      <c r="AU303" s="207"/>
      <c r="AV303" s="209"/>
      <c r="AW303" s="204"/>
      <c r="AX303" s="210"/>
      <c r="AY303" s="204"/>
      <c r="AZ303" s="204"/>
      <c r="BA303" s="204"/>
      <c r="BB303" s="210"/>
      <c r="BC303" s="204"/>
      <c r="BD303" s="210"/>
      <c r="BE303" s="204"/>
      <c r="BF303" s="204"/>
      <c r="BG303" s="204"/>
      <c r="BH303" s="210"/>
      <c r="BI303" s="204"/>
      <c r="BJ303" s="210"/>
      <c r="BK303" s="204"/>
      <c r="BL303" s="204"/>
      <c r="BM303" s="204"/>
      <c r="BN303" s="210"/>
      <c r="BO303" s="204"/>
      <c r="BP303" s="210"/>
      <c r="BQ303" s="204"/>
      <c r="BR303" s="204"/>
      <c r="BS303" s="204"/>
      <c r="BT303" s="210"/>
      <c r="BU303" s="204"/>
      <c r="BV303" s="210"/>
      <c r="BW303" s="204"/>
      <c r="BX303" s="204"/>
      <c r="BY303" s="204"/>
      <c r="BZ303" s="210"/>
      <c r="CA303" s="204"/>
      <c r="CB303" s="210"/>
      <c r="CC303" s="204"/>
      <c r="CD303" s="204"/>
      <c r="CE303" s="204"/>
      <c r="CF303" s="204"/>
    </row>
    <row r="304" spans="1:84" x14ac:dyDescent="0.5">
      <c r="A304" s="227">
        <v>19076286</v>
      </c>
      <c r="B304" s="22">
        <v>19070634</v>
      </c>
      <c r="C304" s="23" t="s">
        <v>2425</v>
      </c>
      <c r="D304" s="24" t="s">
        <v>1323</v>
      </c>
      <c r="E304" s="884">
        <v>43687</v>
      </c>
      <c r="F304" s="932" t="s">
        <v>1324</v>
      </c>
      <c r="G304" s="933" t="s">
        <v>2435</v>
      </c>
      <c r="H304" s="62">
        <v>43720</v>
      </c>
      <c r="I304" s="27">
        <v>19282</v>
      </c>
      <c r="J304" s="931" t="s">
        <v>869</v>
      </c>
      <c r="K304" s="957">
        <v>43720</v>
      </c>
      <c r="L304" s="22" t="s">
        <v>10</v>
      </c>
      <c r="M304" s="28" t="s">
        <v>2426</v>
      </c>
      <c r="N304" s="22" t="s">
        <v>51</v>
      </c>
      <c r="O304" s="29">
        <v>266000</v>
      </c>
      <c r="P304" s="29">
        <f t="shared" si="68"/>
        <v>18620</v>
      </c>
      <c r="Q304" s="29">
        <f t="shared" si="69"/>
        <v>284620</v>
      </c>
      <c r="R304" s="61"/>
      <c r="S304" s="96"/>
      <c r="T304" s="97"/>
      <c r="U304" s="98"/>
      <c r="V304" s="99"/>
      <c r="W304" s="100"/>
      <c r="X304" s="99"/>
      <c r="Y304" s="99"/>
      <c r="Z304" s="100"/>
      <c r="AA304" s="101"/>
      <c r="AB304" s="40">
        <v>19090348</v>
      </c>
      <c r="AC304" s="41">
        <v>266000</v>
      </c>
      <c r="AD304" s="52">
        <f t="shared" ref="AD304:AD310" si="70">AC304*7/100</f>
        <v>18620</v>
      </c>
      <c r="AE304" s="52">
        <f t="shared" ref="AE304:AE310" si="71">AC304+AD304</f>
        <v>284620</v>
      </c>
      <c r="AF304" s="53">
        <v>43770</v>
      </c>
      <c r="AG304" s="39" t="s">
        <v>869</v>
      </c>
      <c r="AH304" s="39"/>
      <c r="AI304" s="39"/>
      <c r="AJ304" s="21" t="s">
        <v>3364</v>
      </c>
      <c r="AK304" s="978">
        <v>1</v>
      </c>
      <c r="AL304" s="45" t="s">
        <v>2427</v>
      </c>
      <c r="AM304" s="46"/>
      <c r="AN304" s="46" t="s">
        <v>869</v>
      </c>
      <c r="AO304" s="47">
        <v>1</v>
      </c>
      <c r="AP304" s="48" t="s">
        <v>635</v>
      </c>
      <c r="AQ304" s="982"/>
      <c r="AR304" s="54"/>
      <c r="AS304" s="982"/>
      <c r="AT304" s="982"/>
      <c r="AU304" s="982"/>
      <c r="AV304" s="54"/>
      <c r="AW304" s="982"/>
      <c r="AX304" s="54"/>
      <c r="AY304" s="982"/>
      <c r="AZ304" s="982"/>
      <c r="BA304" s="982"/>
      <c r="BB304" s="54"/>
      <c r="BC304" s="982"/>
      <c r="BD304" s="54"/>
      <c r="BE304" s="982"/>
      <c r="BF304" s="982"/>
      <c r="BG304" s="982"/>
      <c r="BH304" s="54"/>
      <c r="BI304" s="982"/>
      <c r="BJ304" s="54"/>
      <c r="BK304" s="982"/>
      <c r="BL304" s="982"/>
      <c r="BM304" s="982"/>
      <c r="BN304" s="54"/>
      <c r="BO304" s="982"/>
      <c r="BP304" s="54"/>
      <c r="BQ304" s="982"/>
      <c r="BR304" s="982"/>
      <c r="BS304" s="982"/>
      <c r="BT304" s="54"/>
      <c r="BU304" s="982"/>
      <c r="BV304" s="54"/>
      <c r="BW304" s="982"/>
      <c r="BX304" s="982"/>
      <c r="BY304" s="982"/>
      <c r="BZ304" s="54"/>
      <c r="CA304" s="982"/>
      <c r="CB304" s="54"/>
      <c r="CC304" s="982"/>
      <c r="CD304" s="982"/>
      <c r="CE304" s="982"/>
      <c r="CF304" s="982"/>
    </row>
    <row r="305" spans="1:84" x14ac:dyDescent="0.5">
      <c r="A305" s="227">
        <v>19076285</v>
      </c>
      <c r="B305" s="22">
        <v>19070631</v>
      </c>
      <c r="C305" s="55"/>
      <c r="D305" s="56"/>
      <c r="E305" s="910"/>
      <c r="F305" s="57"/>
      <c r="G305" s="58"/>
      <c r="H305" s="59"/>
      <c r="I305" s="60"/>
      <c r="J305" s="931" t="s">
        <v>869</v>
      </c>
      <c r="K305" s="40" t="s">
        <v>2407</v>
      </c>
      <c r="L305" s="22" t="s">
        <v>2072</v>
      </c>
      <c r="M305" s="28" t="s">
        <v>2428</v>
      </c>
      <c r="N305" s="22" t="s">
        <v>51</v>
      </c>
      <c r="O305" s="29">
        <v>142000</v>
      </c>
      <c r="P305" s="29">
        <f t="shared" si="68"/>
        <v>9940</v>
      </c>
      <c r="Q305" s="29">
        <f t="shared" si="69"/>
        <v>151940</v>
      </c>
      <c r="R305" s="61"/>
      <c r="S305" s="96"/>
      <c r="T305" s="97"/>
      <c r="U305" s="98"/>
      <c r="V305" s="99"/>
      <c r="W305" s="100"/>
      <c r="X305" s="99"/>
      <c r="Y305" s="99"/>
      <c r="Z305" s="100"/>
      <c r="AA305" s="101"/>
      <c r="AB305" s="40">
        <v>19070259</v>
      </c>
      <c r="AC305" s="41">
        <v>142000</v>
      </c>
      <c r="AD305" s="52">
        <f t="shared" si="70"/>
        <v>9940</v>
      </c>
      <c r="AE305" s="52">
        <f t="shared" si="71"/>
        <v>151940</v>
      </c>
      <c r="AF305" s="53">
        <v>43669</v>
      </c>
      <c r="AG305" s="39" t="s">
        <v>869</v>
      </c>
      <c r="AH305" s="39"/>
      <c r="AI305" s="39"/>
      <c r="AJ305" s="21" t="s">
        <v>3073</v>
      </c>
      <c r="AK305" s="977">
        <v>1</v>
      </c>
      <c r="AL305" s="45" t="s">
        <v>2429</v>
      </c>
      <c r="AM305" s="46"/>
      <c r="AN305" s="46"/>
      <c r="AO305" s="47">
        <v>1</v>
      </c>
      <c r="AP305" s="48" t="s">
        <v>628</v>
      </c>
      <c r="AQ305" s="982"/>
      <c r="AR305" s="54"/>
      <c r="AS305" s="982"/>
      <c r="AT305" s="982"/>
      <c r="AU305" s="982"/>
      <c r="AV305" s="54"/>
      <c r="AW305" s="982"/>
      <c r="AX305" s="54"/>
      <c r="AY305" s="982"/>
      <c r="AZ305" s="982"/>
      <c r="BA305" s="982"/>
      <c r="BB305" s="54"/>
      <c r="BC305" s="982"/>
      <c r="BD305" s="54"/>
      <c r="BE305" s="982"/>
      <c r="BF305" s="982"/>
      <c r="BG305" s="982"/>
      <c r="BH305" s="54"/>
      <c r="BI305" s="982"/>
      <c r="BJ305" s="54"/>
      <c r="BK305" s="982"/>
      <c r="BL305" s="982"/>
      <c r="BM305" s="982"/>
      <c r="BN305" s="54"/>
      <c r="BO305" s="982"/>
      <c r="BP305" s="54"/>
      <c r="BQ305" s="982"/>
      <c r="BR305" s="982"/>
      <c r="BS305" s="982"/>
      <c r="BT305" s="54"/>
      <c r="BU305" s="982"/>
      <c r="BV305" s="54"/>
      <c r="BW305" s="982"/>
      <c r="BX305" s="982"/>
      <c r="BY305" s="982"/>
      <c r="BZ305" s="54"/>
      <c r="CA305" s="982"/>
      <c r="CB305" s="54"/>
      <c r="CC305" s="982"/>
      <c r="CD305" s="982"/>
      <c r="CE305" s="982"/>
      <c r="CF305" s="982"/>
    </row>
    <row r="306" spans="1:84" x14ac:dyDescent="0.5">
      <c r="A306" s="259">
        <v>19076284</v>
      </c>
      <c r="B306" s="104">
        <v>19070627</v>
      </c>
      <c r="C306" s="242"/>
      <c r="D306" s="243"/>
      <c r="E306" s="912"/>
      <c r="F306" s="244"/>
      <c r="G306" s="245"/>
      <c r="H306" s="246"/>
      <c r="I306" s="247"/>
      <c r="J306" s="306"/>
      <c r="K306" s="246"/>
      <c r="L306" s="104" t="s">
        <v>2399</v>
      </c>
      <c r="M306" s="110" t="s">
        <v>2430</v>
      </c>
      <c r="N306" s="104" t="s">
        <v>51</v>
      </c>
      <c r="O306" s="111">
        <v>50250</v>
      </c>
      <c r="P306" s="111">
        <f t="shared" si="68"/>
        <v>3517.5</v>
      </c>
      <c r="Q306" s="111">
        <f t="shared" si="69"/>
        <v>53767.5</v>
      </c>
      <c r="R306" s="212"/>
      <c r="S306" s="165"/>
      <c r="T306" s="166"/>
      <c r="U306" s="167"/>
      <c r="V306" s="168"/>
      <c r="W306" s="231"/>
      <c r="X306" s="168"/>
      <c r="Y306" s="168"/>
      <c r="Z306" s="231"/>
      <c r="AA306" s="232"/>
      <c r="AB306" s="229">
        <v>19070247</v>
      </c>
      <c r="AC306" s="230">
        <v>16750</v>
      </c>
      <c r="AD306" s="233">
        <f t="shared" si="70"/>
        <v>1172.5</v>
      </c>
      <c r="AE306" s="234">
        <f t="shared" si="71"/>
        <v>17922.5</v>
      </c>
      <c r="AF306" s="221">
        <v>43688</v>
      </c>
      <c r="AG306" s="121" t="s">
        <v>869</v>
      </c>
      <c r="AH306" s="121"/>
      <c r="AI306" s="121"/>
      <c r="AJ306" s="222" t="s">
        <v>3064</v>
      </c>
      <c r="AK306" s="128">
        <v>1</v>
      </c>
      <c r="AL306" s="129" t="s">
        <v>603</v>
      </c>
      <c r="AM306" s="130"/>
      <c r="AN306" s="130"/>
      <c r="AO306" s="131">
        <v>1</v>
      </c>
      <c r="AP306" s="132" t="s">
        <v>628</v>
      </c>
      <c r="AQ306" s="128">
        <v>2</v>
      </c>
      <c r="AR306" s="123" t="s">
        <v>603</v>
      </c>
      <c r="AS306" s="131"/>
      <c r="AT306" s="131" t="s">
        <v>869</v>
      </c>
      <c r="AU306" s="131">
        <v>1</v>
      </c>
      <c r="AV306" s="169" t="s">
        <v>628</v>
      </c>
      <c r="AW306" s="128">
        <v>3</v>
      </c>
      <c r="AX306" s="123" t="s">
        <v>603</v>
      </c>
      <c r="AY306" s="131"/>
      <c r="AZ306" s="131"/>
      <c r="BA306" s="131">
        <v>1</v>
      </c>
      <c r="BB306" s="169" t="s">
        <v>628</v>
      </c>
      <c r="BC306" s="128"/>
      <c r="BD306" s="133"/>
      <c r="BE306" s="128"/>
      <c r="BF306" s="128"/>
      <c r="BG306" s="128"/>
      <c r="BH306" s="133"/>
      <c r="BI306" s="128"/>
      <c r="BJ306" s="133"/>
      <c r="BK306" s="128"/>
      <c r="BL306" s="128"/>
      <c r="BM306" s="128"/>
      <c r="BN306" s="133"/>
      <c r="BO306" s="128"/>
      <c r="BP306" s="133"/>
      <c r="BQ306" s="128"/>
      <c r="BR306" s="128"/>
      <c r="BS306" s="128"/>
      <c r="BT306" s="133"/>
      <c r="BU306" s="128"/>
      <c r="BV306" s="133"/>
      <c r="BW306" s="128"/>
      <c r="BX306" s="128"/>
      <c r="BY306" s="128"/>
      <c r="BZ306" s="133"/>
      <c r="CA306" s="128"/>
      <c r="CB306" s="133"/>
      <c r="CC306" s="128"/>
      <c r="CD306" s="128"/>
      <c r="CE306" s="128"/>
      <c r="CF306" s="128"/>
    </row>
    <row r="307" spans="1:84" x14ac:dyDescent="0.5">
      <c r="A307" s="262"/>
      <c r="B307" s="135"/>
      <c r="C307" s="276"/>
      <c r="D307" s="277"/>
      <c r="E307" s="1054"/>
      <c r="F307" s="278"/>
      <c r="G307" s="279"/>
      <c r="H307" s="280"/>
      <c r="I307" s="281"/>
      <c r="J307" s="836"/>
      <c r="K307" s="280"/>
      <c r="L307" s="135"/>
      <c r="M307" s="141"/>
      <c r="N307" s="135"/>
      <c r="O307" s="142"/>
      <c r="P307" s="142"/>
      <c r="Q307" s="142"/>
      <c r="R307" s="213"/>
      <c r="S307" s="172"/>
      <c r="T307" s="173"/>
      <c r="U307" s="174"/>
      <c r="V307" s="175"/>
      <c r="W307" s="282"/>
      <c r="X307" s="175"/>
      <c r="Y307" s="175"/>
      <c r="Z307" s="282"/>
      <c r="AA307" s="283"/>
      <c r="AB307" s="292">
        <v>19100391</v>
      </c>
      <c r="AC307" s="293">
        <v>16750</v>
      </c>
      <c r="AD307" s="294">
        <f t="shared" si="70"/>
        <v>1172.5</v>
      </c>
      <c r="AE307" s="532">
        <f t="shared" si="71"/>
        <v>17922.5</v>
      </c>
      <c r="AF307" s="295">
        <v>43783</v>
      </c>
      <c r="AG307" s="296" t="s">
        <v>869</v>
      </c>
      <c r="AH307" s="296"/>
      <c r="AI307" s="296"/>
      <c r="AJ307" s="308" t="s">
        <v>3321</v>
      </c>
      <c r="AK307" s="158"/>
      <c r="AL307" s="159"/>
      <c r="AM307" s="160"/>
      <c r="AN307" s="160"/>
      <c r="AO307" s="161"/>
      <c r="AP307" s="162"/>
      <c r="AQ307" s="158"/>
      <c r="AR307" s="154"/>
      <c r="AS307" s="161"/>
      <c r="AT307" s="161"/>
      <c r="AU307" s="161"/>
      <c r="AV307" s="177"/>
      <c r="AW307" s="158"/>
      <c r="AX307" s="154"/>
      <c r="AY307" s="161"/>
      <c r="AZ307" s="161"/>
      <c r="BA307" s="161"/>
      <c r="BB307" s="177"/>
      <c r="BC307" s="158"/>
      <c r="BD307" s="163"/>
      <c r="BE307" s="158"/>
      <c r="BF307" s="158"/>
      <c r="BG307" s="158"/>
      <c r="BH307" s="163"/>
      <c r="BI307" s="158"/>
      <c r="BJ307" s="163"/>
      <c r="BK307" s="158"/>
      <c r="BL307" s="158"/>
      <c r="BM307" s="158"/>
      <c r="BN307" s="163"/>
      <c r="BO307" s="158"/>
      <c r="BP307" s="163"/>
      <c r="BQ307" s="158"/>
      <c r="BR307" s="158"/>
      <c r="BS307" s="158"/>
      <c r="BT307" s="163"/>
      <c r="BU307" s="158"/>
      <c r="BV307" s="163"/>
      <c r="BW307" s="158"/>
      <c r="BX307" s="158"/>
      <c r="BY307" s="158"/>
      <c r="BZ307" s="163"/>
      <c r="CA307" s="158"/>
      <c r="CB307" s="163"/>
      <c r="CC307" s="158"/>
      <c r="CD307" s="158"/>
      <c r="CE307" s="158"/>
      <c r="CF307" s="158"/>
    </row>
    <row r="308" spans="1:84" x14ac:dyDescent="0.5">
      <c r="A308" s="268"/>
      <c r="B308" s="181"/>
      <c r="C308" s="285"/>
      <c r="D308" s="286"/>
      <c r="E308" s="913"/>
      <c r="F308" s="287"/>
      <c r="G308" s="288"/>
      <c r="H308" s="289"/>
      <c r="I308" s="290"/>
      <c r="J308" s="832"/>
      <c r="K308" s="289"/>
      <c r="L308" s="181"/>
      <c r="M308" s="188"/>
      <c r="N308" s="181"/>
      <c r="O308" s="189"/>
      <c r="P308" s="189"/>
      <c r="Q308" s="189"/>
      <c r="R308" s="214"/>
      <c r="S308" s="191"/>
      <c r="T308" s="192"/>
      <c r="U308" s="193"/>
      <c r="V308" s="194"/>
      <c r="W308" s="235"/>
      <c r="X308" s="194"/>
      <c r="Y308" s="194"/>
      <c r="Z308" s="235"/>
      <c r="AA308" s="236"/>
      <c r="AB308" s="200">
        <v>19120516</v>
      </c>
      <c r="AC308" s="201">
        <v>16750</v>
      </c>
      <c r="AD308" s="237">
        <f t="shared" si="70"/>
        <v>1172.5</v>
      </c>
      <c r="AE308" s="238">
        <f t="shared" si="71"/>
        <v>17922.5</v>
      </c>
      <c r="AF308" s="203">
        <v>43845</v>
      </c>
      <c r="AG308" s="199" t="s">
        <v>869</v>
      </c>
      <c r="AH308" s="199"/>
      <c r="AI308" s="199"/>
      <c r="AJ308" s="180" t="s">
        <v>3627</v>
      </c>
      <c r="AK308" s="204"/>
      <c r="AL308" s="205"/>
      <c r="AM308" s="206"/>
      <c r="AN308" s="206"/>
      <c r="AO308" s="207"/>
      <c r="AP308" s="208"/>
      <c r="AQ308" s="204"/>
      <c r="AR308" s="200"/>
      <c r="AS308" s="207"/>
      <c r="AT308" s="207"/>
      <c r="AU308" s="207"/>
      <c r="AV308" s="209"/>
      <c r="AW308" s="204"/>
      <c r="AX308" s="200"/>
      <c r="AY308" s="207"/>
      <c r="AZ308" s="207"/>
      <c r="BA308" s="207"/>
      <c r="BB308" s="209"/>
      <c r="BC308" s="204"/>
      <c r="BD308" s="210"/>
      <c r="BE308" s="204"/>
      <c r="BF308" s="204"/>
      <c r="BG308" s="204"/>
      <c r="BH308" s="210"/>
      <c r="BI308" s="204"/>
      <c r="BJ308" s="210"/>
      <c r="BK308" s="204"/>
      <c r="BL308" s="204"/>
      <c r="BM308" s="204"/>
      <c r="BN308" s="210"/>
      <c r="BO308" s="204"/>
      <c r="BP308" s="210"/>
      <c r="BQ308" s="204"/>
      <c r="BR308" s="204"/>
      <c r="BS308" s="204"/>
      <c r="BT308" s="210"/>
      <c r="BU308" s="204"/>
      <c r="BV308" s="210"/>
      <c r="BW308" s="204"/>
      <c r="BX308" s="204"/>
      <c r="BY308" s="204"/>
      <c r="BZ308" s="210"/>
      <c r="CA308" s="204"/>
      <c r="CB308" s="210"/>
      <c r="CC308" s="204"/>
      <c r="CD308" s="204"/>
      <c r="CE308" s="204"/>
      <c r="CF308" s="204"/>
    </row>
    <row r="309" spans="1:84" x14ac:dyDescent="0.5">
      <c r="A309" s="227">
        <v>19076283</v>
      </c>
      <c r="B309" s="22">
        <v>19070626</v>
      </c>
      <c r="C309" s="23" t="s">
        <v>2400</v>
      </c>
      <c r="D309" s="24" t="s">
        <v>1323</v>
      </c>
      <c r="E309" s="884">
        <v>43665</v>
      </c>
      <c r="F309" s="932" t="s">
        <v>1324</v>
      </c>
      <c r="G309" s="933" t="s">
        <v>2319</v>
      </c>
      <c r="H309" s="62">
        <v>43664</v>
      </c>
      <c r="I309" s="27">
        <v>19199</v>
      </c>
      <c r="J309" s="931" t="s">
        <v>869</v>
      </c>
      <c r="K309" s="957">
        <v>43665</v>
      </c>
      <c r="L309" s="22" t="s">
        <v>15</v>
      </c>
      <c r="M309" s="28" t="s">
        <v>2401</v>
      </c>
      <c r="N309" s="22" t="s">
        <v>51</v>
      </c>
      <c r="O309" s="29">
        <v>12800</v>
      </c>
      <c r="P309" s="29">
        <f t="shared" si="68"/>
        <v>896</v>
      </c>
      <c r="Q309" s="29">
        <f t="shared" si="69"/>
        <v>13696</v>
      </c>
      <c r="R309" s="61"/>
      <c r="S309" s="96"/>
      <c r="T309" s="97"/>
      <c r="U309" s="98"/>
      <c r="V309" s="99"/>
      <c r="W309" s="100"/>
      <c r="X309" s="99"/>
      <c r="Y309" s="99"/>
      <c r="Z309" s="100"/>
      <c r="AA309" s="101"/>
      <c r="AB309" s="40">
        <v>19070253</v>
      </c>
      <c r="AC309" s="41">
        <v>12800</v>
      </c>
      <c r="AD309" s="63">
        <f t="shared" si="70"/>
        <v>896</v>
      </c>
      <c r="AE309" s="64">
        <f t="shared" si="71"/>
        <v>13696</v>
      </c>
      <c r="AF309" s="53">
        <v>43709</v>
      </c>
      <c r="AG309" s="39" t="s">
        <v>869</v>
      </c>
      <c r="AH309" s="39"/>
      <c r="AI309" s="39"/>
      <c r="AJ309" s="21" t="s">
        <v>2868</v>
      </c>
      <c r="AK309" s="977"/>
      <c r="AL309" s="45"/>
      <c r="AM309" s="46"/>
      <c r="AN309" s="46"/>
      <c r="AO309" s="47"/>
      <c r="AP309" s="48"/>
      <c r="AQ309" s="977"/>
      <c r="AR309" s="40"/>
      <c r="AS309" s="47"/>
      <c r="AT309" s="47"/>
      <c r="AU309" s="47"/>
      <c r="AV309" s="49"/>
      <c r="AW309" s="977"/>
      <c r="AX309" s="40"/>
      <c r="AY309" s="47"/>
      <c r="AZ309" s="47"/>
      <c r="BA309" s="47"/>
      <c r="BB309" s="49"/>
      <c r="BC309" s="977"/>
      <c r="BD309" s="40"/>
      <c r="BE309" s="47"/>
      <c r="BF309" s="47"/>
      <c r="BG309" s="47"/>
      <c r="BH309" s="49"/>
      <c r="BI309" s="977"/>
      <c r="BJ309" s="40"/>
      <c r="BK309" s="47"/>
      <c r="BL309" s="47"/>
      <c r="BM309" s="47"/>
      <c r="BN309" s="49"/>
      <c r="BO309" s="977"/>
      <c r="BP309" s="40"/>
      <c r="BQ309" s="47"/>
      <c r="BR309" s="47"/>
      <c r="BS309" s="47"/>
      <c r="BT309" s="49"/>
      <c r="BU309" s="977"/>
      <c r="BV309" s="40"/>
      <c r="BW309" s="47"/>
      <c r="BX309" s="47"/>
      <c r="BY309" s="47"/>
      <c r="BZ309" s="49"/>
      <c r="CA309" s="977"/>
      <c r="CB309" s="40"/>
      <c r="CC309" s="47"/>
      <c r="CD309" s="47"/>
      <c r="CE309" s="47"/>
      <c r="CF309" s="50"/>
    </row>
    <row r="310" spans="1:84" x14ac:dyDescent="0.5">
      <c r="A310" s="21">
        <v>19076282</v>
      </c>
      <c r="B310" s="22">
        <v>19070625</v>
      </c>
      <c r="C310" s="23" t="s">
        <v>2408</v>
      </c>
      <c r="D310" s="24" t="s">
        <v>1323</v>
      </c>
      <c r="E310" s="884">
        <v>43672</v>
      </c>
      <c r="F310" s="932" t="s">
        <v>1324</v>
      </c>
      <c r="G310" s="933" t="s">
        <v>2379</v>
      </c>
      <c r="H310" s="62">
        <v>43676</v>
      </c>
      <c r="I310" s="27">
        <v>19214</v>
      </c>
      <c r="J310" s="931" t="s">
        <v>869</v>
      </c>
      <c r="K310" s="957">
        <v>43676</v>
      </c>
      <c r="L310" s="22" t="s">
        <v>10</v>
      </c>
      <c r="M310" s="28" t="s">
        <v>2409</v>
      </c>
      <c r="N310" s="22" t="s">
        <v>51</v>
      </c>
      <c r="O310" s="29">
        <v>200000</v>
      </c>
      <c r="P310" s="29">
        <f t="shared" si="68"/>
        <v>14000</v>
      </c>
      <c r="Q310" s="29">
        <f t="shared" si="69"/>
        <v>214000</v>
      </c>
      <c r="R310" s="61"/>
      <c r="S310" s="96"/>
      <c r="T310" s="97"/>
      <c r="U310" s="98"/>
      <c r="V310" s="99"/>
      <c r="W310" s="100"/>
      <c r="X310" s="99"/>
      <c r="Y310" s="99"/>
      <c r="Z310" s="100"/>
      <c r="AA310" s="101"/>
      <c r="AB310" s="40">
        <v>20050122</v>
      </c>
      <c r="AC310" s="41">
        <v>200000</v>
      </c>
      <c r="AD310" s="63">
        <f t="shared" si="70"/>
        <v>14000</v>
      </c>
      <c r="AE310" s="63">
        <f t="shared" si="71"/>
        <v>214000</v>
      </c>
      <c r="AF310" s="53">
        <v>44008</v>
      </c>
      <c r="AG310" s="39"/>
      <c r="AH310" s="39"/>
      <c r="AI310" s="39"/>
      <c r="AJ310" s="988" t="s">
        <v>3846</v>
      </c>
      <c r="AK310" s="977">
        <v>1</v>
      </c>
      <c r="AL310" s="45" t="s">
        <v>2410</v>
      </c>
      <c r="AM310" s="46"/>
      <c r="AN310" s="46" t="s">
        <v>869</v>
      </c>
      <c r="AO310" s="47">
        <v>1</v>
      </c>
      <c r="AP310" s="48" t="s">
        <v>633</v>
      </c>
      <c r="AQ310" s="981"/>
      <c r="AR310" s="54"/>
      <c r="AS310" s="981"/>
      <c r="AT310" s="981"/>
      <c r="AU310" s="981"/>
      <c r="AV310" s="54"/>
      <c r="AW310" s="981"/>
      <c r="AX310" s="54"/>
      <c r="AY310" s="981"/>
      <c r="AZ310" s="981"/>
      <c r="BA310" s="981"/>
      <c r="BB310" s="54"/>
      <c r="BC310" s="981"/>
      <c r="BD310" s="54"/>
      <c r="BE310" s="981"/>
      <c r="BF310" s="981"/>
      <c r="BG310" s="981"/>
      <c r="BH310" s="54"/>
      <c r="BI310" s="981"/>
      <c r="BJ310" s="54"/>
      <c r="BK310" s="981"/>
      <c r="BL310" s="981"/>
      <c r="BM310" s="981"/>
      <c r="BN310" s="54"/>
      <c r="BO310" s="981"/>
      <c r="BP310" s="54"/>
      <c r="BQ310" s="981"/>
      <c r="BR310" s="981"/>
      <c r="BS310" s="981"/>
      <c r="BT310" s="54"/>
      <c r="BU310" s="981"/>
      <c r="BV310" s="54"/>
      <c r="BW310" s="981"/>
      <c r="BX310" s="981"/>
      <c r="BY310" s="981"/>
      <c r="BZ310" s="54"/>
      <c r="CA310" s="981"/>
      <c r="CB310" s="54"/>
      <c r="CC310" s="981"/>
      <c r="CD310" s="981"/>
      <c r="CE310" s="981"/>
      <c r="CF310" s="982"/>
    </row>
    <row r="311" spans="1:84" x14ac:dyDescent="0.5">
      <c r="A311" s="227">
        <v>19076281</v>
      </c>
      <c r="B311" s="22">
        <v>19070624</v>
      </c>
      <c r="C311" s="23" t="s">
        <v>2431</v>
      </c>
      <c r="D311" s="24" t="s">
        <v>1323</v>
      </c>
      <c r="E311" s="884">
        <v>43670</v>
      </c>
      <c r="F311" s="932" t="s">
        <v>1324</v>
      </c>
      <c r="G311" s="933" t="s">
        <v>2411</v>
      </c>
      <c r="H311" s="62">
        <v>43690</v>
      </c>
      <c r="I311" s="27">
        <v>19236</v>
      </c>
      <c r="J311" s="931" t="s">
        <v>869</v>
      </c>
      <c r="K311" s="957">
        <v>43692</v>
      </c>
      <c r="L311" s="22" t="s">
        <v>20</v>
      </c>
      <c r="M311" s="28" t="s">
        <v>160</v>
      </c>
      <c r="N311" s="22" t="s">
        <v>51</v>
      </c>
      <c r="O311" s="29">
        <v>52605</v>
      </c>
      <c r="P311" s="29">
        <f t="shared" si="68"/>
        <v>3682.35</v>
      </c>
      <c r="Q311" s="29">
        <f t="shared" si="69"/>
        <v>56287.35</v>
      </c>
      <c r="R311" s="61"/>
      <c r="S311" s="96"/>
      <c r="T311" s="97"/>
      <c r="U311" s="98"/>
      <c r="V311" s="99"/>
      <c r="W311" s="100"/>
      <c r="X311" s="99"/>
      <c r="Y311" s="99"/>
      <c r="Z311" s="100"/>
      <c r="AA311" s="101"/>
      <c r="AB311" s="40">
        <v>19080306</v>
      </c>
      <c r="AC311" s="41">
        <v>52605</v>
      </c>
      <c r="AD311" s="52">
        <f>AC311*7/100</f>
        <v>3682.35</v>
      </c>
      <c r="AE311" s="52">
        <f>AC311+AD311</f>
        <v>56287.35</v>
      </c>
      <c r="AF311" s="53">
        <v>43727</v>
      </c>
      <c r="AG311" s="39" t="s">
        <v>869</v>
      </c>
      <c r="AH311" s="39"/>
      <c r="AI311" s="39"/>
      <c r="AJ311" s="21" t="s">
        <v>2836</v>
      </c>
      <c r="AK311" s="977">
        <v>1</v>
      </c>
      <c r="AL311" s="45" t="s">
        <v>2432</v>
      </c>
      <c r="AM311" s="46"/>
      <c r="AN311" s="46" t="s">
        <v>869</v>
      </c>
      <c r="AO311" s="47">
        <v>1</v>
      </c>
      <c r="AP311" s="48" t="s">
        <v>633</v>
      </c>
      <c r="AQ311" s="982"/>
      <c r="AR311" s="54"/>
      <c r="AS311" s="982"/>
      <c r="AT311" s="982"/>
      <c r="AU311" s="982"/>
      <c r="AV311" s="54"/>
      <c r="AW311" s="982"/>
      <c r="AX311" s="54"/>
      <c r="AY311" s="982"/>
      <c r="AZ311" s="982"/>
      <c r="BA311" s="982"/>
      <c r="BB311" s="54"/>
      <c r="BC311" s="982"/>
      <c r="BD311" s="54"/>
      <c r="BE311" s="982"/>
      <c r="BF311" s="982"/>
      <c r="BG311" s="982"/>
      <c r="BH311" s="54"/>
      <c r="BI311" s="982"/>
      <c r="BJ311" s="54"/>
      <c r="BK311" s="982"/>
      <c r="BL311" s="982"/>
      <c r="BM311" s="982"/>
      <c r="BN311" s="54"/>
      <c r="BO311" s="982"/>
      <c r="BP311" s="54"/>
      <c r="BQ311" s="982"/>
      <c r="BR311" s="982"/>
      <c r="BS311" s="982"/>
      <c r="BT311" s="54"/>
      <c r="BU311" s="982"/>
      <c r="BV311" s="54"/>
      <c r="BW311" s="982"/>
      <c r="BX311" s="982"/>
      <c r="BY311" s="982"/>
      <c r="BZ311" s="54"/>
      <c r="CA311" s="982"/>
      <c r="CB311" s="54"/>
      <c r="CC311" s="982"/>
      <c r="CD311" s="982"/>
      <c r="CE311" s="982"/>
      <c r="CF311" s="982"/>
    </row>
    <row r="312" spans="1:84" x14ac:dyDescent="0.5">
      <c r="A312" s="21">
        <v>19076280</v>
      </c>
      <c r="B312" s="22">
        <v>19070623</v>
      </c>
      <c r="C312" s="23" t="s">
        <v>1362</v>
      </c>
      <c r="D312" s="24" t="s">
        <v>1323</v>
      </c>
      <c r="E312" s="884" t="s">
        <v>2386</v>
      </c>
      <c r="F312" s="932"/>
      <c r="G312" s="933"/>
      <c r="H312" s="22"/>
      <c r="I312" s="27"/>
      <c r="J312" s="931"/>
      <c r="K312" s="40"/>
      <c r="L312" s="22" t="s">
        <v>154</v>
      </c>
      <c r="M312" s="28" t="s">
        <v>2387</v>
      </c>
      <c r="N312" s="22" t="s">
        <v>51</v>
      </c>
      <c r="O312" s="29">
        <v>54000</v>
      </c>
      <c r="P312" s="29">
        <f t="shared" ref="P312:P331" si="72">O312*7/100</f>
        <v>3780</v>
      </c>
      <c r="Q312" s="29">
        <f t="shared" ref="Q312:Q331" si="73">O312+P312</f>
        <v>57780</v>
      </c>
      <c r="R312" s="61"/>
      <c r="S312" s="96"/>
      <c r="T312" s="97"/>
      <c r="U312" s="98"/>
      <c r="V312" s="99"/>
      <c r="W312" s="100"/>
      <c r="X312" s="99"/>
      <c r="Y312" s="99"/>
      <c r="Z312" s="100"/>
      <c r="AA312" s="101"/>
      <c r="AB312" s="40"/>
      <c r="AC312" s="41"/>
      <c r="AD312" s="42"/>
      <c r="AE312" s="42"/>
      <c r="AF312" s="43"/>
      <c r="AG312" s="39"/>
      <c r="AH312" s="39"/>
      <c r="AI312" s="39"/>
      <c r="AJ312" s="21"/>
      <c r="AK312" s="977">
        <v>1</v>
      </c>
      <c r="AL312" s="45" t="s">
        <v>1568</v>
      </c>
      <c r="AM312" s="46"/>
      <c r="AN312" s="46"/>
      <c r="AO312" s="47">
        <v>10</v>
      </c>
      <c r="AP312" s="48" t="s">
        <v>628</v>
      </c>
      <c r="AQ312" s="977">
        <v>2</v>
      </c>
      <c r="AR312" s="40" t="s">
        <v>1567</v>
      </c>
      <c r="AS312" s="47"/>
      <c r="AT312" s="47"/>
      <c r="AU312" s="47">
        <v>10</v>
      </c>
      <c r="AV312" s="49" t="s">
        <v>628</v>
      </c>
      <c r="AW312" s="977">
        <v>3</v>
      </c>
      <c r="AX312" s="40" t="s">
        <v>1566</v>
      </c>
      <c r="AY312" s="47"/>
      <c r="AZ312" s="47"/>
      <c r="BA312" s="47">
        <v>10</v>
      </c>
      <c r="BB312" s="49" t="s">
        <v>628</v>
      </c>
      <c r="BC312" s="977"/>
      <c r="BD312" s="54"/>
      <c r="BE312" s="977"/>
      <c r="BF312" s="977"/>
      <c r="BG312" s="977"/>
      <c r="BH312" s="54"/>
      <c r="BI312" s="977"/>
      <c r="BJ312" s="54"/>
      <c r="BK312" s="977"/>
      <c r="BL312" s="977"/>
      <c r="BM312" s="977"/>
      <c r="BN312" s="54"/>
      <c r="BO312" s="977"/>
      <c r="BP312" s="54"/>
      <c r="BQ312" s="977"/>
      <c r="BR312" s="977"/>
      <c r="BS312" s="977"/>
      <c r="BT312" s="54"/>
      <c r="BU312" s="977"/>
      <c r="BV312" s="54"/>
      <c r="BW312" s="977"/>
      <c r="BX312" s="977"/>
      <c r="BY312" s="977"/>
      <c r="BZ312" s="54"/>
      <c r="CA312" s="977"/>
      <c r="CB312" s="54"/>
      <c r="CC312" s="977"/>
      <c r="CD312" s="977"/>
      <c r="CE312" s="977"/>
      <c r="CF312" s="977"/>
    </row>
    <row r="313" spans="1:84" x14ac:dyDescent="0.5">
      <c r="A313" s="227">
        <v>19076279</v>
      </c>
      <c r="B313" s="22">
        <v>19070622</v>
      </c>
      <c r="C313" s="23" t="s">
        <v>1356</v>
      </c>
      <c r="D313" s="24" t="s">
        <v>1323</v>
      </c>
      <c r="E313" s="884">
        <v>43658</v>
      </c>
      <c r="F313" s="932"/>
      <c r="G313" s="933"/>
      <c r="H313" s="62">
        <v>43657</v>
      </c>
      <c r="I313" s="27">
        <v>19197</v>
      </c>
      <c r="J313" s="931" t="s">
        <v>869</v>
      </c>
      <c r="K313" s="957">
        <v>43658</v>
      </c>
      <c r="L313" s="22" t="s">
        <v>154</v>
      </c>
      <c r="M313" s="28" t="s">
        <v>2388</v>
      </c>
      <c r="N313" s="22" t="s">
        <v>51</v>
      </c>
      <c r="O313" s="29">
        <v>61000</v>
      </c>
      <c r="P313" s="29">
        <f t="shared" si="72"/>
        <v>4270</v>
      </c>
      <c r="Q313" s="29">
        <f t="shared" si="73"/>
        <v>65270</v>
      </c>
      <c r="R313" s="61"/>
      <c r="S313" s="96"/>
      <c r="T313" s="97"/>
      <c r="U313" s="98"/>
      <c r="V313" s="99"/>
      <c r="W313" s="100"/>
      <c r="X313" s="99"/>
      <c r="Y313" s="99"/>
      <c r="Z313" s="100"/>
      <c r="AA313" s="101"/>
      <c r="AB313" s="40">
        <v>19070245</v>
      </c>
      <c r="AC313" s="41">
        <v>61000</v>
      </c>
      <c r="AD313" s="63">
        <f t="shared" ref="AD313:AD320" si="74">AC313*7/100</f>
        <v>4270</v>
      </c>
      <c r="AE313" s="64">
        <f t="shared" ref="AE313:AE320" si="75">AC313+AD313</f>
        <v>65270</v>
      </c>
      <c r="AF313" s="53">
        <v>43687</v>
      </c>
      <c r="AG313" s="39" t="s">
        <v>869</v>
      </c>
      <c r="AH313" s="39"/>
      <c r="AI313" s="39"/>
      <c r="AJ313" s="21" t="s">
        <v>4330</v>
      </c>
      <c r="AK313" s="977">
        <v>1</v>
      </c>
      <c r="AL313" s="45" t="s">
        <v>2389</v>
      </c>
      <c r="AM313" s="46"/>
      <c r="AN313" s="46"/>
      <c r="AO313" s="47">
        <v>5</v>
      </c>
      <c r="AP313" s="48" t="s">
        <v>628</v>
      </c>
      <c r="AQ313" s="977">
        <v>2</v>
      </c>
      <c r="AR313" s="40" t="s">
        <v>1321</v>
      </c>
      <c r="AS313" s="47"/>
      <c r="AT313" s="47"/>
      <c r="AU313" s="47">
        <v>5</v>
      </c>
      <c r="AV313" s="49" t="s">
        <v>628</v>
      </c>
      <c r="AW313" s="977">
        <v>3</v>
      </c>
      <c r="AX313" s="40" t="s">
        <v>2390</v>
      </c>
      <c r="AY313" s="47"/>
      <c r="AZ313" s="47"/>
      <c r="BA313" s="47">
        <v>4</v>
      </c>
      <c r="BB313" s="49" t="s">
        <v>628</v>
      </c>
      <c r="BC313" s="977">
        <v>4</v>
      </c>
      <c r="BD313" s="40" t="s">
        <v>2391</v>
      </c>
      <c r="BE313" s="47"/>
      <c r="BF313" s="47"/>
      <c r="BG313" s="47">
        <v>4</v>
      </c>
      <c r="BH313" s="49" t="s">
        <v>628</v>
      </c>
      <c r="BI313" s="977"/>
      <c r="BJ313" s="54"/>
      <c r="BK313" s="977"/>
      <c r="BL313" s="977"/>
      <c r="BM313" s="977"/>
      <c r="BN313" s="54"/>
      <c r="BO313" s="977"/>
      <c r="BP313" s="54"/>
      <c r="BQ313" s="977"/>
      <c r="BR313" s="977"/>
      <c r="BS313" s="977"/>
      <c r="BT313" s="54"/>
      <c r="BU313" s="977"/>
      <c r="BV313" s="54"/>
      <c r="BW313" s="977"/>
      <c r="BX313" s="977"/>
      <c r="BY313" s="977"/>
      <c r="BZ313" s="54"/>
      <c r="CA313" s="977"/>
      <c r="CB313" s="54"/>
      <c r="CC313" s="977"/>
      <c r="CD313" s="977"/>
      <c r="CE313" s="977"/>
      <c r="CF313" s="977"/>
    </row>
    <row r="314" spans="1:84" x14ac:dyDescent="0.5">
      <c r="A314" s="259">
        <v>19076278</v>
      </c>
      <c r="B314" s="104">
        <v>19070620</v>
      </c>
      <c r="C314" s="105" t="s">
        <v>2374</v>
      </c>
      <c r="D314" s="106" t="s">
        <v>1323</v>
      </c>
      <c r="E314" s="302">
        <v>43673</v>
      </c>
      <c r="F314" s="936" t="s">
        <v>1324</v>
      </c>
      <c r="G314" s="937" t="s">
        <v>2527</v>
      </c>
      <c r="H314" s="211">
        <v>43706</v>
      </c>
      <c r="I314" s="164">
        <v>19257</v>
      </c>
      <c r="J314" s="960" t="s">
        <v>869</v>
      </c>
      <c r="K314" s="965">
        <v>43707</v>
      </c>
      <c r="L314" s="104" t="s">
        <v>2375</v>
      </c>
      <c r="M314" s="110" t="s">
        <v>2376</v>
      </c>
      <c r="N314" s="104" t="s">
        <v>52</v>
      </c>
      <c r="O314" s="111">
        <v>373831.78</v>
      </c>
      <c r="P314" s="111">
        <f t="shared" si="72"/>
        <v>26168.224600000001</v>
      </c>
      <c r="Q314" s="111">
        <f t="shared" si="73"/>
        <v>400000.00460000004</v>
      </c>
      <c r="R314" s="311">
        <v>28000</v>
      </c>
      <c r="S314" s="113" t="s">
        <v>2396</v>
      </c>
      <c r="T314" s="114">
        <f>O314-R314</f>
        <v>345831.78</v>
      </c>
      <c r="U314" s="115">
        <v>5</v>
      </c>
      <c r="V314" s="116">
        <f t="shared" ref="V314:V326" si="76">T314*U314/100</f>
        <v>17291.589</v>
      </c>
      <c r="W314" s="117">
        <f t="shared" ref="W314:W326" si="77">T314-V314</f>
        <v>328540.19100000005</v>
      </c>
      <c r="X314" s="118">
        <v>0.25</v>
      </c>
      <c r="Y314" s="118">
        <f t="shared" ref="Y314:Y326" si="78">W314*X314/100</f>
        <v>821.35047750000012</v>
      </c>
      <c r="Z314" s="119">
        <v>0.2</v>
      </c>
      <c r="AA314" s="120">
        <f t="shared" ref="AA314:AA326" si="79">W314*Z314/100</f>
        <v>657.0803820000001</v>
      </c>
      <c r="AB314" s="229">
        <v>19070244</v>
      </c>
      <c r="AC314" s="230">
        <v>112149.53</v>
      </c>
      <c r="AD314" s="275">
        <f t="shared" si="74"/>
        <v>7850.4670999999998</v>
      </c>
      <c r="AE314" s="234">
        <f t="shared" si="75"/>
        <v>119999.99709999999</v>
      </c>
      <c r="AF314" s="221">
        <v>43657</v>
      </c>
      <c r="AG314" s="121" t="s">
        <v>869</v>
      </c>
      <c r="AH314" s="121"/>
      <c r="AI314" s="121"/>
      <c r="AJ314" s="979" t="s">
        <v>2706</v>
      </c>
      <c r="AK314" s="128">
        <v>1</v>
      </c>
      <c r="AL314" s="129" t="s">
        <v>815</v>
      </c>
      <c r="AM314" s="130"/>
      <c r="AN314" s="130" t="s">
        <v>869</v>
      </c>
      <c r="AO314" s="131">
        <v>2</v>
      </c>
      <c r="AP314" s="132" t="s">
        <v>636</v>
      </c>
      <c r="AQ314" s="128"/>
      <c r="AR314" s="133"/>
      <c r="AS314" s="128"/>
      <c r="AT314" s="128"/>
      <c r="AU314" s="128"/>
      <c r="AV314" s="133"/>
      <c r="AW314" s="128"/>
      <c r="AX314" s="133"/>
      <c r="AY314" s="128"/>
      <c r="AZ314" s="128"/>
      <c r="BA314" s="128"/>
      <c r="BB314" s="133"/>
      <c r="BC314" s="128"/>
      <c r="BD314" s="133"/>
      <c r="BE314" s="128"/>
      <c r="BF314" s="128"/>
      <c r="BG314" s="128"/>
      <c r="BH314" s="133"/>
      <c r="BI314" s="128"/>
      <c r="BJ314" s="133"/>
      <c r="BK314" s="128"/>
      <c r="BL314" s="128"/>
      <c r="BM314" s="128"/>
      <c r="BN314" s="133"/>
      <c r="BO314" s="128"/>
      <c r="BP314" s="133"/>
      <c r="BQ314" s="128"/>
      <c r="BR314" s="128"/>
      <c r="BS314" s="128"/>
      <c r="BT314" s="133"/>
      <c r="BU314" s="128"/>
      <c r="BV314" s="133"/>
      <c r="BW314" s="128"/>
      <c r="BX314" s="128"/>
      <c r="BY314" s="128"/>
      <c r="BZ314" s="133"/>
      <c r="CA314" s="128"/>
      <c r="CB314" s="133"/>
      <c r="CC314" s="128"/>
      <c r="CD314" s="128"/>
      <c r="CE314" s="128"/>
      <c r="CF314" s="128"/>
    </row>
    <row r="315" spans="1:84" x14ac:dyDescent="0.5">
      <c r="A315" s="262"/>
      <c r="B315" s="135"/>
      <c r="C315" s="136"/>
      <c r="D315" s="137"/>
      <c r="E315" s="906"/>
      <c r="F315" s="940"/>
      <c r="G315" s="941"/>
      <c r="H315" s="179">
        <v>43706</v>
      </c>
      <c r="I315" s="140">
        <v>19258</v>
      </c>
      <c r="J315" s="963"/>
      <c r="K315" s="154"/>
      <c r="L315" s="135"/>
      <c r="M315" s="141"/>
      <c r="N315" s="135"/>
      <c r="O315" s="142"/>
      <c r="P315" s="142"/>
      <c r="Q315" s="142"/>
      <c r="R315" s="143"/>
      <c r="S315" s="144"/>
      <c r="T315" s="145"/>
      <c r="U315" s="146"/>
      <c r="V315" s="147"/>
      <c r="W315" s="148"/>
      <c r="X315" s="149"/>
      <c r="Y315" s="149"/>
      <c r="Z315" s="150"/>
      <c r="AA315" s="151"/>
      <c r="AB315" s="857">
        <v>19070246</v>
      </c>
      <c r="AC315" s="858">
        <v>261682.25</v>
      </c>
      <c r="AD315" s="859">
        <f t="shared" si="74"/>
        <v>18317.7575</v>
      </c>
      <c r="AE315" s="1046">
        <f t="shared" si="75"/>
        <v>280000.00750000001</v>
      </c>
      <c r="AF315" s="860">
        <v>43717</v>
      </c>
      <c r="AG315" s="861"/>
      <c r="AH315" s="861"/>
      <c r="AI315" s="861" t="s">
        <v>869</v>
      </c>
      <c r="AJ315" s="1047">
        <v>0.7</v>
      </c>
      <c r="AK315" s="158"/>
      <c r="AL315" s="159"/>
      <c r="AM315" s="160"/>
      <c r="AN315" s="160"/>
      <c r="AO315" s="161"/>
      <c r="AP315" s="162"/>
      <c r="AQ315" s="158"/>
      <c r="AR315" s="163"/>
      <c r="AS315" s="158"/>
      <c r="AT315" s="158"/>
      <c r="AU315" s="158"/>
      <c r="AV315" s="163"/>
      <c r="AW315" s="158"/>
      <c r="AX315" s="163"/>
      <c r="AY315" s="158"/>
      <c r="AZ315" s="158"/>
      <c r="BA315" s="158"/>
      <c r="BB315" s="163"/>
      <c r="BC315" s="158"/>
      <c r="BD315" s="163"/>
      <c r="BE315" s="158"/>
      <c r="BF315" s="158"/>
      <c r="BG315" s="158"/>
      <c r="BH315" s="163"/>
      <c r="BI315" s="158"/>
      <c r="BJ315" s="163"/>
      <c r="BK315" s="158"/>
      <c r="BL315" s="158"/>
      <c r="BM315" s="158"/>
      <c r="BN315" s="163"/>
      <c r="BO315" s="158"/>
      <c r="BP315" s="163"/>
      <c r="BQ315" s="158"/>
      <c r="BR315" s="158"/>
      <c r="BS315" s="158"/>
      <c r="BT315" s="163"/>
      <c r="BU315" s="158"/>
      <c r="BV315" s="163"/>
      <c r="BW315" s="158"/>
      <c r="BX315" s="158"/>
      <c r="BY315" s="158"/>
      <c r="BZ315" s="163"/>
      <c r="CA315" s="158"/>
      <c r="CB315" s="163"/>
      <c r="CC315" s="158"/>
      <c r="CD315" s="158"/>
      <c r="CE315" s="158"/>
      <c r="CF315" s="158"/>
    </row>
    <row r="316" spans="1:84" x14ac:dyDescent="0.5">
      <c r="A316" s="268"/>
      <c r="B316" s="181"/>
      <c r="C316" s="182"/>
      <c r="D316" s="183"/>
      <c r="E316" s="749"/>
      <c r="F316" s="938"/>
      <c r="G316" s="939"/>
      <c r="H316" s="186"/>
      <c r="I316" s="187"/>
      <c r="J316" s="961"/>
      <c r="K316" s="200"/>
      <c r="L316" s="181"/>
      <c r="M316" s="188"/>
      <c r="N316" s="181"/>
      <c r="O316" s="189"/>
      <c r="P316" s="189"/>
      <c r="Q316" s="189"/>
      <c r="R316" s="190"/>
      <c r="S316" s="215"/>
      <c r="T316" s="216"/>
      <c r="U316" s="217"/>
      <c r="V316" s="218"/>
      <c r="W316" s="195"/>
      <c r="X316" s="196"/>
      <c r="Y316" s="196"/>
      <c r="Z316" s="197"/>
      <c r="AA316" s="198"/>
      <c r="AB316" s="200">
        <v>19080317</v>
      </c>
      <c r="AC316" s="201">
        <v>261682.25</v>
      </c>
      <c r="AD316" s="237">
        <f t="shared" si="74"/>
        <v>18317.7575</v>
      </c>
      <c r="AE316" s="238">
        <f t="shared" si="75"/>
        <v>280000.00750000001</v>
      </c>
      <c r="AF316" s="203">
        <v>43764</v>
      </c>
      <c r="AG316" s="199" t="s">
        <v>869</v>
      </c>
      <c r="AH316" s="199"/>
      <c r="AI316" s="199"/>
      <c r="AJ316" s="843" t="s">
        <v>3365</v>
      </c>
      <c r="AK316" s="204"/>
      <c r="AL316" s="205"/>
      <c r="AM316" s="206"/>
      <c r="AN316" s="206"/>
      <c r="AO316" s="207"/>
      <c r="AP316" s="208"/>
      <c r="AQ316" s="204"/>
      <c r="AR316" s="210"/>
      <c r="AS316" s="204"/>
      <c r="AT316" s="204"/>
      <c r="AU316" s="204"/>
      <c r="AV316" s="210"/>
      <c r="AW316" s="204"/>
      <c r="AX316" s="210"/>
      <c r="AY316" s="204"/>
      <c r="AZ316" s="204"/>
      <c r="BA316" s="204"/>
      <c r="BB316" s="210"/>
      <c r="BC316" s="204"/>
      <c r="BD316" s="210"/>
      <c r="BE316" s="204"/>
      <c r="BF316" s="204"/>
      <c r="BG316" s="204"/>
      <c r="BH316" s="210"/>
      <c r="BI316" s="204"/>
      <c r="BJ316" s="210"/>
      <c r="BK316" s="204"/>
      <c r="BL316" s="204"/>
      <c r="BM316" s="204"/>
      <c r="BN316" s="210"/>
      <c r="BO316" s="204"/>
      <c r="BP316" s="210"/>
      <c r="BQ316" s="204"/>
      <c r="BR316" s="204"/>
      <c r="BS316" s="204"/>
      <c r="BT316" s="210"/>
      <c r="BU316" s="204"/>
      <c r="BV316" s="210"/>
      <c r="BW316" s="204"/>
      <c r="BX316" s="204"/>
      <c r="BY316" s="204"/>
      <c r="BZ316" s="210"/>
      <c r="CA316" s="204"/>
      <c r="CB316" s="210"/>
      <c r="CC316" s="204"/>
      <c r="CD316" s="204"/>
      <c r="CE316" s="204"/>
      <c r="CF316" s="204"/>
    </row>
    <row r="317" spans="1:84" x14ac:dyDescent="0.5">
      <c r="A317" s="227">
        <v>19076277</v>
      </c>
      <c r="B317" s="22">
        <v>19070619</v>
      </c>
      <c r="C317" s="23" t="s">
        <v>2377</v>
      </c>
      <c r="D317" s="24" t="s">
        <v>1323</v>
      </c>
      <c r="E317" s="884">
        <v>43668</v>
      </c>
      <c r="F317" s="932" t="s">
        <v>1324</v>
      </c>
      <c r="G317" s="933" t="s">
        <v>2394</v>
      </c>
      <c r="H317" s="62">
        <v>43668</v>
      </c>
      <c r="I317" s="27">
        <v>19207</v>
      </c>
      <c r="J317" s="931" t="s">
        <v>869</v>
      </c>
      <c r="K317" s="957">
        <v>43669</v>
      </c>
      <c r="L317" s="22" t="s">
        <v>1115</v>
      </c>
      <c r="M317" s="28" t="s">
        <v>2378</v>
      </c>
      <c r="N317" s="22" t="s">
        <v>52</v>
      </c>
      <c r="O317" s="29">
        <v>83000</v>
      </c>
      <c r="P317" s="29">
        <f t="shared" si="72"/>
        <v>5810</v>
      </c>
      <c r="Q317" s="29">
        <f t="shared" si="73"/>
        <v>88810</v>
      </c>
      <c r="R317" s="61"/>
      <c r="S317" s="31" t="s">
        <v>2696</v>
      </c>
      <c r="T317" s="32">
        <f>O317</f>
        <v>83000</v>
      </c>
      <c r="U317" s="33">
        <v>5</v>
      </c>
      <c r="V317" s="34">
        <f t="shared" si="76"/>
        <v>4150</v>
      </c>
      <c r="W317" s="35">
        <f t="shared" si="77"/>
        <v>78850</v>
      </c>
      <c r="X317" s="36">
        <v>0.26</v>
      </c>
      <c r="Y317" s="36">
        <f t="shared" si="78"/>
        <v>205.01</v>
      </c>
      <c r="Z317" s="37">
        <v>0.2</v>
      </c>
      <c r="AA317" s="38">
        <f t="shared" si="79"/>
        <v>157.69999999999999</v>
      </c>
      <c r="AB317" s="40">
        <v>19070260</v>
      </c>
      <c r="AC317" s="41">
        <v>83000</v>
      </c>
      <c r="AD317" s="52">
        <f t="shared" si="74"/>
        <v>5810</v>
      </c>
      <c r="AE317" s="52">
        <f t="shared" si="75"/>
        <v>88810</v>
      </c>
      <c r="AF317" s="53">
        <v>43669</v>
      </c>
      <c r="AG317" s="39" t="s">
        <v>869</v>
      </c>
      <c r="AH317" s="39"/>
      <c r="AI317" s="39"/>
      <c r="AJ317" s="21" t="s">
        <v>2745</v>
      </c>
      <c r="AK317" s="977">
        <v>1</v>
      </c>
      <c r="AL317" s="45" t="s">
        <v>658</v>
      </c>
      <c r="AM317" s="46"/>
      <c r="AN317" s="46" t="s">
        <v>869</v>
      </c>
      <c r="AO317" s="47">
        <v>1</v>
      </c>
      <c r="AP317" s="48" t="s">
        <v>634</v>
      </c>
      <c r="AQ317" s="977">
        <v>2</v>
      </c>
      <c r="AR317" s="40" t="s">
        <v>657</v>
      </c>
      <c r="AS317" s="47"/>
      <c r="AT317" s="47" t="s">
        <v>869</v>
      </c>
      <c r="AU317" s="47">
        <v>1</v>
      </c>
      <c r="AV317" s="49" t="s">
        <v>634</v>
      </c>
      <c r="AW317" s="977"/>
      <c r="AX317" s="54"/>
      <c r="AY317" s="977"/>
      <c r="AZ317" s="977"/>
      <c r="BA317" s="977"/>
      <c r="BB317" s="54"/>
      <c r="BC317" s="977"/>
      <c r="BD317" s="54"/>
      <c r="BE317" s="977"/>
      <c r="BF317" s="977"/>
      <c r="BG317" s="977"/>
      <c r="BH317" s="54"/>
      <c r="BI317" s="977"/>
      <c r="BJ317" s="54"/>
      <c r="BK317" s="977"/>
      <c r="BL317" s="977"/>
      <c r="BM317" s="977"/>
      <c r="BN317" s="54"/>
      <c r="BO317" s="977"/>
      <c r="BP317" s="54"/>
      <c r="BQ317" s="977"/>
      <c r="BR317" s="977"/>
      <c r="BS317" s="977"/>
      <c r="BT317" s="54"/>
      <c r="BU317" s="977"/>
      <c r="BV317" s="54"/>
      <c r="BW317" s="977"/>
      <c r="BX317" s="977"/>
      <c r="BY317" s="977"/>
      <c r="BZ317" s="54"/>
      <c r="CA317" s="977"/>
      <c r="CB317" s="54"/>
      <c r="CC317" s="977"/>
      <c r="CD317" s="977"/>
      <c r="CE317" s="977"/>
      <c r="CF317" s="977"/>
    </row>
    <row r="318" spans="1:84" x14ac:dyDescent="0.5">
      <c r="A318" s="259">
        <v>19076276</v>
      </c>
      <c r="B318" s="104">
        <v>19070609</v>
      </c>
      <c r="C318" s="105" t="s">
        <v>2379</v>
      </c>
      <c r="D318" s="106" t="s">
        <v>1323</v>
      </c>
      <c r="E318" s="302">
        <v>43707</v>
      </c>
      <c r="F318" s="936" t="s">
        <v>1324</v>
      </c>
      <c r="G318" s="937" t="s">
        <v>2947</v>
      </c>
      <c r="H318" s="211">
        <v>43770</v>
      </c>
      <c r="I318" s="164">
        <v>19348</v>
      </c>
      <c r="J318" s="960" t="s">
        <v>869</v>
      </c>
      <c r="K318" s="965">
        <v>43773</v>
      </c>
      <c r="L318" s="104" t="s">
        <v>1346</v>
      </c>
      <c r="M318" s="110" t="s">
        <v>2380</v>
      </c>
      <c r="N318" s="104" t="s">
        <v>52</v>
      </c>
      <c r="O318" s="111">
        <v>97196.28</v>
      </c>
      <c r="P318" s="111">
        <f t="shared" si="72"/>
        <v>6803.7395999999999</v>
      </c>
      <c r="Q318" s="111">
        <f t="shared" si="73"/>
        <v>104000.0196</v>
      </c>
      <c r="R318" s="311">
        <v>14000</v>
      </c>
      <c r="S318" s="113" t="s">
        <v>2696</v>
      </c>
      <c r="T318" s="114">
        <f>O318-R318</f>
        <v>83196.28</v>
      </c>
      <c r="U318" s="115">
        <v>2</v>
      </c>
      <c r="V318" s="116">
        <f t="shared" si="76"/>
        <v>1663.9256</v>
      </c>
      <c r="W318" s="117">
        <f t="shared" si="77"/>
        <v>81532.354399999997</v>
      </c>
      <c r="X318" s="118">
        <v>0.23</v>
      </c>
      <c r="Y318" s="118">
        <f t="shared" si="78"/>
        <v>187.52441512000001</v>
      </c>
      <c r="Z318" s="119">
        <v>0.2</v>
      </c>
      <c r="AA318" s="120">
        <f t="shared" si="79"/>
        <v>163.06470880000001</v>
      </c>
      <c r="AB318" s="123">
        <v>19100438</v>
      </c>
      <c r="AC318" s="124">
        <v>97196.28</v>
      </c>
      <c r="AD318" s="125">
        <f t="shared" si="74"/>
        <v>6803.7395999999999</v>
      </c>
      <c r="AE318" s="125">
        <f t="shared" si="75"/>
        <v>104000.0196</v>
      </c>
      <c r="AF318" s="126">
        <v>43766</v>
      </c>
      <c r="AG318" s="127" t="s">
        <v>869</v>
      </c>
      <c r="AH318" s="127"/>
      <c r="AI318" s="127"/>
      <c r="AJ318" s="103" t="s">
        <v>3030</v>
      </c>
      <c r="AK318" s="128">
        <v>1</v>
      </c>
      <c r="AL318" s="129" t="s">
        <v>593</v>
      </c>
      <c r="AM318" s="130"/>
      <c r="AN318" s="130" t="s">
        <v>869</v>
      </c>
      <c r="AO318" s="131">
        <v>4</v>
      </c>
      <c r="AP318" s="132" t="s">
        <v>634</v>
      </c>
      <c r="AQ318" s="128"/>
      <c r="AR318" s="133"/>
      <c r="AS318" s="128"/>
      <c r="AT318" s="128"/>
      <c r="AU318" s="128"/>
      <c r="AV318" s="133"/>
      <c r="AW318" s="128"/>
      <c r="AX318" s="133"/>
      <c r="AY318" s="128"/>
      <c r="AZ318" s="128"/>
      <c r="BA318" s="128"/>
      <c r="BB318" s="133"/>
      <c r="BC318" s="128"/>
      <c r="BD318" s="133"/>
      <c r="BE318" s="128"/>
      <c r="BF318" s="128"/>
      <c r="BG318" s="128"/>
      <c r="BH318" s="133"/>
      <c r="BI318" s="128"/>
      <c r="BJ318" s="133"/>
      <c r="BK318" s="128"/>
      <c r="BL318" s="128"/>
      <c r="BM318" s="128"/>
      <c r="BN318" s="133"/>
      <c r="BO318" s="128"/>
      <c r="BP318" s="133"/>
      <c r="BQ318" s="128"/>
      <c r="BR318" s="128"/>
      <c r="BS318" s="128"/>
      <c r="BT318" s="133"/>
      <c r="BU318" s="128"/>
      <c r="BV318" s="133"/>
      <c r="BW318" s="128"/>
      <c r="BX318" s="128"/>
      <c r="BY318" s="128"/>
      <c r="BZ318" s="133"/>
      <c r="CA318" s="128"/>
      <c r="CB318" s="133"/>
      <c r="CC318" s="128"/>
      <c r="CD318" s="128"/>
      <c r="CE318" s="128"/>
      <c r="CF318" s="128"/>
    </row>
    <row r="319" spans="1:84" x14ac:dyDescent="0.5">
      <c r="A319" s="262"/>
      <c r="B319" s="135"/>
      <c r="C319" s="136"/>
      <c r="D319" s="137"/>
      <c r="E319" s="906"/>
      <c r="F319" s="940"/>
      <c r="G319" s="941"/>
      <c r="H319" s="179">
        <v>43770</v>
      </c>
      <c r="I319" s="140">
        <v>19349</v>
      </c>
      <c r="J319" s="963"/>
      <c r="K319" s="964"/>
      <c r="L319" s="135"/>
      <c r="M319" s="141"/>
      <c r="N319" s="135"/>
      <c r="O319" s="142"/>
      <c r="P319" s="142"/>
      <c r="Q319" s="142"/>
      <c r="R319" s="143"/>
      <c r="S319" s="144"/>
      <c r="T319" s="145"/>
      <c r="U319" s="146"/>
      <c r="V319" s="147"/>
      <c r="W319" s="148"/>
      <c r="X319" s="149"/>
      <c r="Y319" s="149"/>
      <c r="Z319" s="150"/>
      <c r="AA319" s="151"/>
      <c r="AB319" s="154"/>
      <c r="AC319" s="155"/>
      <c r="AD319" s="156"/>
      <c r="AE319" s="156"/>
      <c r="AF319" s="157"/>
      <c r="AG319" s="152"/>
      <c r="AH319" s="152"/>
      <c r="AI319" s="152"/>
      <c r="AJ319" s="134"/>
      <c r="AK319" s="158"/>
      <c r="AL319" s="159"/>
      <c r="AM319" s="160"/>
      <c r="AN319" s="160"/>
      <c r="AO319" s="161"/>
      <c r="AP319" s="162"/>
      <c r="AQ319" s="158"/>
      <c r="AR319" s="163"/>
      <c r="AS319" s="158"/>
      <c r="AT319" s="158"/>
      <c r="AU319" s="158"/>
      <c r="AV319" s="163"/>
      <c r="AW319" s="158"/>
      <c r="AX319" s="163"/>
      <c r="AY319" s="158"/>
      <c r="AZ319" s="158"/>
      <c r="BA319" s="158"/>
      <c r="BB319" s="163"/>
      <c r="BC319" s="158"/>
      <c r="BD319" s="163"/>
      <c r="BE319" s="158"/>
      <c r="BF319" s="158"/>
      <c r="BG319" s="158"/>
      <c r="BH319" s="163"/>
      <c r="BI319" s="158"/>
      <c r="BJ319" s="163"/>
      <c r="BK319" s="158"/>
      <c r="BL319" s="158"/>
      <c r="BM319" s="158"/>
      <c r="BN319" s="163"/>
      <c r="BO319" s="158"/>
      <c r="BP319" s="163"/>
      <c r="BQ319" s="158"/>
      <c r="BR319" s="158"/>
      <c r="BS319" s="158"/>
      <c r="BT319" s="163"/>
      <c r="BU319" s="158"/>
      <c r="BV319" s="163"/>
      <c r="BW319" s="158"/>
      <c r="BX319" s="158"/>
      <c r="BY319" s="158"/>
      <c r="BZ319" s="163"/>
      <c r="CA319" s="158"/>
      <c r="CB319" s="163"/>
      <c r="CC319" s="158"/>
      <c r="CD319" s="158"/>
      <c r="CE319" s="158"/>
      <c r="CF319" s="158"/>
    </row>
    <row r="320" spans="1:84" x14ac:dyDescent="0.5">
      <c r="A320" s="259">
        <v>19076275</v>
      </c>
      <c r="B320" s="104">
        <v>19070608</v>
      </c>
      <c r="C320" s="105" t="s">
        <v>2381</v>
      </c>
      <c r="D320" s="106" t="s">
        <v>1323</v>
      </c>
      <c r="E320" s="302">
        <v>43707</v>
      </c>
      <c r="F320" s="936" t="s">
        <v>1324</v>
      </c>
      <c r="G320" s="937" t="s">
        <v>2780</v>
      </c>
      <c r="H320" s="211">
        <v>43738</v>
      </c>
      <c r="I320" s="164">
        <v>19305</v>
      </c>
      <c r="J320" s="960" t="s">
        <v>869</v>
      </c>
      <c r="K320" s="965">
        <v>43739</v>
      </c>
      <c r="L320" s="104" t="s">
        <v>1346</v>
      </c>
      <c r="M320" s="110" t="s">
        <v>2382</v>
      </c>
      <c r="N320" s="104" t="s">
        <v>52</v>
      </c>
      <c r="O320" s="111">
        <v>97196.28</v>
      </c>
      <c r="P320" s="111">
        <f t="shared" si="72"/>
        <v>6803.7395999999999</v>
      </c>
      <c r="Q320" s="111">
        <f t="shared" si="73"/>
        <v>104000.0196</v>
      </c>
      <c r="R320" s="311">
        <v>16600</v>
      </c>
      <c r="S320" s="113" t="s">
        <v>2696</v>
      </c>
      <c r="T320" s="114">
        <f>O320-R320</f>
        <v>80596.28</v>
      </c>
      <c r="U320" s="115">
        <v>1</v>
      </c>
      <c r="V320" s="116">
        <f t="shared" si="76"/>
        <v>805.96280000000002</v>
      </c>
      <c r="W320" s="117">
        <f t="shared" si="77"/>
        <v>79790.317200000005</v>
      </c>
      <c r="X320" s="118">
        <v>0.2</v>
      </c>
      <c r="Y320" s="118">
        <f t="shared" si="78"/>
        <v>159.58063440000001</v>
      </c>
      <c r="Z320" s="119">
        <v>0.2</v>
      </c>
      <c r="AA320" s="120">
        <f t="shared" si="79"/>
        <v>159.58063440000001</v>
      </c>
      <c r="AB320" s="123">
        <v>19090374</v>
      </c>
      <c r="AC320" s="124">
        <v>97196.28</v>
      </c>
      <c r="AD320" s="125">
        <f t="shared" si="74"/>
        <v>6803.7395999999999</v>
      </c>
      <c r="AE320" s="125">
        <f t="shared" si="75"/>
        <v>104000.0196</v>
      </c>
      <c r="AF320" s="126">
        <v>43736</v>
      </c>
      <c r="AG320" s="127" t="s">
        <v>869</v>
      </c>
      <c r="AH320" s="127"/>
      <c r="AI320" s="127"/>
      <c r="AJ320" s="103" t="s">
        <v>2832</v>
      </c>
      <c r="AK320" s="128">
        <v>1</v>
      </c>
      <c r="AL320" s="129" t="s">
        <v>593</v>
      </c>
      <c r="AM320" s="130"/>
      <c r="AN320" s="130" t="s">
        <v>869</v>
      </c>
      <c r="AO320" s="131">
        <v>4</v>
      </c>
      <c r="AP320" s="132" t="s">
        <v>634</v>
      </c>
      <c r="AQ320" s="128"/>
      <c r="AR320" s="133"/>
      <c r="AS320" s="128"/>
      <c r="AT320" s="128"/>
      <c r="AU320" s="128"/>
      <c r="AV320" s="133"/>
      <c r="AW320" s="128"/>
      <c r="AX320" s="133"/>
      <c r="AY320" s="128"/>
      <c r="AZ320" s="128"/>
      <c r="BA320" s="128"/>
      <c r="BB320" s="133"/>
      <c r="BC320" s="128"/>
      <c r="BD320" s="133"/>
      <c r="BE320" s="128"/>
      <c r="BF320" s="128"/>
      <c r="BG320" s="128"/>
      <c r="BH320" s="133"/>
      <c r="BI320" s="128"/>
      <c r="BJ320" s="133"/>
      <c r="BK320" s="128"/>
      <c r="BL320" s="128"/>
      <c r="BM320" s="128"/>
      <c r="BN320" s="133"/>
      <c r="BO320" s="128"/>
      <c r="BP320" s="133"/>
      <c r="BQ320" s="128"/>
      <c r="BR320" s="128"/>
      <c r="BS320" s="128"/>
      <c r="BT320" s="133"/>
      <c r="BU320" s="128"/>
      <c r="BV320" s="133"/>
      <c r="BW320" s="128"/>
      <c r="BX320" s="128"/>
      <c r="BY320" s="128"/>
      <c r="BZ320" s="133"/>
      <c r="CA320" s="128"/>
      <c r="CB320" s="133"/>
      <c r="CC320" s="128"/>
      <c r="CD320" s="128"/>
      <c r="CE320" s="128"/>
      <c r="CF320" s="128"/>
    </row>
    <row r="321" spans="1:84" x14ac:dyDescent="0.5">
      <c r="A321" s="262"/>
      <c r="B321" s="135"/>
      <c r="C321" s="136"/>
      <c r="D321" s="137"/>
      <c r="E321" s="906"/>
      <c r="F321" s="940"/>
      <c r="G321" s="941"/>
      <c r="H321" s="179">
        <v>43738</v>
      </c>
      <c r="I321" s="140">
        <v>19306</v>
      </c>
      <c r="J321" s="963"/>
      <c r="K321" s="964"/>
      <c r="L321" s="135"/>
      <c r="M321" s="141"/>
      <c r="N321" s="135"/>
      <c r="O321" s="142"/>
      <c r="P321" s="142"/>
      <c r="Q321" s="142"/>
      <c r="R321" s="143"/>
      <c r="S321" s="144"/>
      <c r="T321" s="145"/>
      <c r="U321" s="146"/>
      <c r="V321" s="147"/>
      <c r="W321" s="148"/>
      <c r="X321" s="149"/>
      <c r="Y321" s="149"/>
      <c r="Z321" s="150"/>
      <c r="AA321" s="151"/>
      <c r="AB321" s="154"/>
      <c r="AC321" s="155"/>
      <c r="AD321" s="156"/>
      <c r="AE321" s="156"/>
      <c r="AF321" s="157"/>
      <c r="AG321" s="152"/>
      <c r="AH321" s="152"/>
      <c r="AI321" s="152"/>
      <c r="AJ321" s="134"/>
      <c r="AK321" s="158"/>
      <c r="AL321" s="159"/>
      <c r="AM321" s="160"/>
      <c r="AN321" s="160"/>
      <c r="AO321" s="161"/>
      <c r="AP321" s="162"/>
      <c r="AQ321" s="158"/>
      <c r="AR321" s="163"/>
      <c r="AS321" s="158"/>
      <c r="AT321" s="158"/>
      <c r="AU321" s="158"/>
      <c r="AV321" s="163"/>
      <c r="AW321" s="158"/>
      <c r="AX321" s="163"/>
      <c r="AY321" s="158"/>
      <c r="AZ321" s="158"/>
      <c r="BA321" s="158"/>
      <c r="BB321" s="163"/>
      <c r="BC321" s="158"/>
      <c r="BD321" s="163"/>
      <c r="BE321" s="158"/>
      <c r="BF321" s="158"/>
      <c r="BG321" s="158"/>
      <c r="BH321" s="163"/>
      <c r="BI321" s="158"/>
      <c r="BJ321" s="163"/>
      <c r="BK321" s="158"/>
      <c r="BL321" s="158"/>
      <c r="BM321" s="158"/>
      <c r="BN321" s="163"/>
      <c r="BO321" s="158"/>
      <c r="BP321" s="163"/>
      <c r="BQ321" s="158"/>
      <c r="BR321" s="158"/>
      <c r="BS321" s="158"/>
      <c r="BT321" s="163"/>
      <c r="BU321" s="158"/>
      <c r="BV321" s="163"/>
      <c r="BW321" s="158"/>
      <c r="BX321" s="158"/>
      <c r="BY321" s="158"/>
      <c r="BZ321" s="163"/>
      <c r="CA321" s="158"/>
      <c r="CB321" s="163"/>
      <c r="CC321" s="158"/>
      <c r="CD321" s="158"/>
      <c r="CE321" s="158"/>
      <c r="CF321" s="158"/>
    </row>
    <row r="322" spans="1:84" x14ac:dyDescent="0.5">
      <c r="A322" s="259">
        <v>19076274</v>
      </c>
      <c r="B322" s="104">
        <v>19070607</v>
      </c>
      <c r="C322" s="105" t="s">
        <v>2383</v>
      </c>
      <c r="D322" s="106" t="s">
        <v>1323</v>
      </c>
      <c r="E322" s="302">
        <v>43707</v>
      </c>
      <c r="F322" s="936" t="s">
        <v>1324</v>
      </c>
      <c r="G322" s="937" t="s">
        <v>2656</v>
      </c>
      <c r="H322" s="211">
        <v>43715</v>
      </c>
      <c r="I322" s="164">
        <v>19277</v>
      </c>
      <c r="J322" s="960" t="s">
        <v>869</v>
      </c>
      <c r="K322" s="965">
        <v>43717</v>
      </c>
      <c r="L322" s="104" t="s">
        <v>1346</v>
      </c>
      <c r="M322" s="110" t="s">
        <v>2384</v>
      </c>
      <c r="N322" s="104" t="s">
        <v>52</v>
      </c>
      <c r="O322" s="111">
        <v>79439.25</v>
      </c>
      <c r="P322" s="111">
        <f t="shared" si="72"/>
        <v>5560.7475000000004</v>
      </c>
      <c r="Q322" s="111">
        <f t="shared" si="73"/>
        <v>84999.997499999998</v>
      </c>
      <c r="R322" s="311">
        <v>14000</v>
      </c>
      <c r="S322" s="113" t="s">
        <v>2696</v>
      </c>
      <c r="T322" s="114">
        <f>O322-R322</f>
        <v>65439.25</v>
      </c>
      <c r="U322" s="115">
        <v>3</v>
      </c>
      <c r="V322" s="116">
        <f t="shared" si="76"/>
        <v>1963.1775</v>
      </c>
      <c r="W322" s="117">
        <f t="shared" si="77"/>
        <v>63476.072500000002</v>
      </c>
      <c r="X322" s="118">
        <v>0.24</v>
      </c>
      <c r="Y322" s="118">
        <f t="shared" si="78"/>
        <v>152.34257400000001</v>
      </c>
      <c r="Z322" s="119">
        <v>0.2</v>
      </c>
      <c r="AA322" s="120">
        <f t="shared" si="79"/>
        <v>126.95214500000002</v>
      </c>
      <c r="AB322" s="123">
        <v>19090330</v>
      </c>
      <c r="AC322" s="124">
        <v>79439.25</v>
      </c>
      <c r="AD322" s="125">
        <f>AC322*7/100</f>
        <v>5560.7475000000004</v>
      </c>
      <c r="AE322" s="125">
        <f>AC322+AD322</f>
        <v>84999.997499999998</v>
      </c>
      <c r="AF322" s="126">
        <v>43712</v>
      </c>
      <c r="AG322" s="127" t="s">
        <v>869</v>
      </c>
      <c r="AH322" s="127"/>
      <c r="AI322" s="127"/>
      <c r="AJ322" s="103" t="s">
        <v>2854</v>
      </c>
      <c r="AK322" s="128">
        <v>1</v>
      </c>
      <c r="AL322" s="129" t="s">
        <v>2385</v>
      </c>
      <c r="AM322" s="130"/>
      <c r="AN322" s="130" t="s">
        <v>869</v>
      </c>
      <c r="AO322" s="131">
        <v>1</v>
      </c>
      <c r="AP322" s="132" t="s">
        <v>634</v>
      </c>
      <c r="AQ322" s="128">
        <v>2</v>
      </c>
      <c r="AR322" s="123" t="s">
        <v>1250</v>
      </c>
      <c r="AS322" s="131"/>
      <c r="AT322" s="131" t="s">
        <v>869</v>
      </c>
      <c r="AU322" s="131">
        <v>1</v>
      </c>
      <c r="AV322" s="169" t="s">
        <v>634</v>
      </c>
      <c r="AW322" s="128"/>
      <c r="AX322" s="133"/>
      <c r="AY322" s="128"/>
      <c r="AZ322" s="128"/>
      <c r="BA322" s="128"/>
      <c r="BB322" s="133"/>
      <c r="BC322" s="128"/>
      <c r="BD322" s="133"/>
      <c r="BE322" s="128"/>
      <c r="BF322" s="128"/>
      <c r="BG322" s="128"/>
      <c r="BH322" s="133"/>
      <c r="BI322" s="128"/>
      <c r="BJ322" s="133"/>
      <c r="BK322" s="128"/>
      <c r="BL322" s="128"/>
      <c r="BM322" s="128"/>
      <c r="BN322" s="133"/>
      <c r="BO322" s="128"/>
      <c r="BP322" s="133"/>
      <c r="BQ322" s="128"/>
      <c r="BR322" s="128"/>
      <c r="BS322" s="128"/>
      <c r="BT322" s="133"/>
      <c r="BU322" s="128"/>
      <c r="BV322" s="133"/>
      <c r="BW322" s="128"/>
      <c r="BX322" s="128"/>
      <c r="BY322" s="128"/>
      <c r="BZ322" s="133"/>
      <c r="CA322" s="128"/>
      <c r="CB322" s="133"/>
      <c r="CC322" s="128"/>
      <c r="CD322" s="128"/>
      <c r="CE322" s="128"/>
      <c r="CF322" s="128"/>
    </row>
    <row r="323" spans="1:84" x14ac:dyDescent="0.5">
      <c r="A323" s="262"/>
      <c r="B323" s="135"/>
      <c r="C323" s="136"/>
      <c r="D323" s="137"/>
      <c r="E323" s="906"/>
      <c r="F323" s="940"/>
      <c r="G323" s="941"/>
      <c r="H323" s="179">
        <v>43715</v>
      </c>
      <c r="I323" s="140">
        <v>19278</v>
      </c>
      <c r="J323" s="963"/>
      <c r="K323" s="964"/>
      <c r="L323" s="135"/>
      <c r="M323" s="141"/>
      <c r="N323" s="135"/>
      <c r="O323" s="142"/>
      <c r="P323" s="142"/>
      <c r="Q323" s="142"/>
      <c r="R323" s="143"/>
      <c r="S323" s="144"/>
      <c r="T323" s="145"/>
      <c r="U323" s="146"/>
      <c r="V323" s="147"/>
      <c r="W323" s="148"/>
      <c r="X323" s="149"/>
      <c r="Y323" s="149"/>
      <c r="Z323" s="150"/>
      <c r="AA323" s="151"/>
      <c r="AB323" s="154"/>
      <c r="AC323" s="155"/>
      <c r="AD323" s="255"/>
      <c r="AE323" s="255"/>
      <c r="AF323" s="256"/>
      <c r="AG323" s="152"/>
      <c r="AH323" s="152"/>
      <c r="AI323" s="152"/>
      <c r="AJ323" s="134"/>
      <c r="AK323" s="158"/>
      <c r="AL323" s="159"/>
      <c r="AM323" s="160"/>
      <c r="AN323" s="160"/>
      <c r="AO323" s="161"/>
      <c r="AP323" s="162"/>
      <c r="AQ323" s="158"/>
      <c r="AR323" s="154"/>
      <c r="AS323" s="161"/>
      <c r="AT323" s="161"/>
      <c r="AU323" s="161"/>
      <c r="AV323" s="177"/>
      <c r="AW323" s="158"/>
      <c r="AX323" s="163"/>
      <c r="AY323" s="158"/>
      <c r="AZ323" s="158"/>
      <c r="BA323" s="158"/>
      <c r="BB323" s="163"/>
      <c r="BC323" s="158"/>
      <c r="BD323" s="163"/>
      <c r="BE323" s="158"/>
      <c r="BF323" s="158"/>
      <c r="BG323" s="158"/>
      <c r="BH323" s="163"/>
      <c r="BI323" s="158"/>
      <c r="BJ323" s="163"/>
      <c r="BK323" s="158"/>
      <c r="BL323" s="158"/>
      <c r="BM323" s="158"/>
      <c r="BN323" s="163"/>
      <c r="BO323" s="158"/>
      <c r="BP323" s="163"/>
      <c r="BQ323" s="158"/>
      <c r="BR323" s="158"/>
      <c r="BS323" s="158"/>
      <c r="BT323" s="163"/>
      <c r="BU323" s="158"/>
      <c r="BV323" s="163"/>
      <c r="BW323" s="158"/>
      <c r="BX323" s="158"/>
      <c r="BY323" s="158"/>
      <c r="BZ323" s="163"/>
      <c r="CA323" s="158"/>
      <c r="CB323" s="163"/>
      <c r="CC323" s="158"/>
      <c r="CD323" s="158"/>
      <c r="CE323" s="158"/>
      <c r="CF323" s="158"/>
    </row>
    <row r="324" spans="1:84" x14ac:dyDescent="0.5">
      <c r="A324" s="259">
        <v>19076273</v>
      </c>
      <c r="B324" s="104">
        <v>19060540</v>
      </c>
      <c r="C324" s="105" t="s">
        <v>2392</v>
      </c>
      <c r="D324" s="106" t="s">
        <v>1323</v>
      </c>
      <c r="E324" s="302">
        <v>43668</v>
      </c>
      <c r="F324" s="936" t="s">
        <v>1324</v>
      </c>
      <c r="G324" s="937" t="s">
        <v>2339</v>
      </c>
      <c r="H324" s="211">
        <v>43666</v>
      </c>
      <c r="I324" s="164">
        <v>19204</v>
      </c>
      <c r="J324" s="960" t="s">
        <v>869</v>
      </c>
      <c r="K324" s="965">
        <v>43668</v>
      </c>
      <c r="L324" s="104" t="s">
        <v>451</v>
      </c>
      <c r="M324" s="110" t="s">
        <v>2393</v>
      </c>
      <c r="N324" s="104" t="s">
        <v>52</v>
      </c>
      <c r="O324" s="111">
        <v>360000</v>
      </c>
      <c r="P324" s="111">
        <f t="shared" si="72"/>
        <v>25200</v>
      </c>
      <c r="Q324" s="111">
        <f t="shared" si="73"/>
        <v>385200</v>
      </c>
      <c r="R324" s="311">
        <v>21000</v>
      </c>
      <c r="S324" s="113" t="s">
        <v>2052</v>
      </c>
      <c r="T324" s="114">
        <f>O324-R324</f>
        <v>339000</v>
      </c>
      <c r="U324" s="115">
        <v>5</v>
      </c>
      <c r="V324" s="116">
        <f t="shared" si="76"/>
        <v>16950</v>
      </c>
      <c r="W324" s="117">
        <f t="shared" si="77"/>
        <v>322050</v>
      </c>
      <c r="X324" s="118">
        <v>0.47</v>
      </c>
      <c r="Y324" s="118">
        <f t="shared" si="78"/>
        <v>1513.635</v>
      </c>
      <c r="Z324" s="119">
        <v>0.2</v>
      </c>
      <c r="AA324" s="120">
        <f t="shared" si="79"/>
        <v>644.1</v>
      </c>
      <c r="AB324" s="123">
        <v>19080275</v>
      </c>
      <c r="AC324" s="124">
        <v>360000</v>
      </c>
      <c r="AD324" s="125">
        <f>AC324*7/100</f>
        <v>25200</v>
      </c>
      <c r="AE324" s="125">
        <f>AC324+AD324</f>
        <v>385200</v>
      </c>
      <c r="AF324" s="126">
        <v>43720</v>
      </c>
      <c r="AG324" s="127" t="s">
        <v>869</v>
      </c>
      <c r="AH324" s="127"/>
      <c r="AI324" s="127"/>
      <c r="AJ324" s="103" t="s">
        <v>2840</v>
      </c>
      <c r="AK324" s="128">
        <v>1</v>
      </c>
      <c r="AL324" s="129" t="s">
        <v>1151</v>
      </c>
      <c r="AM324" s="130" t="s">
        <v>869</v>
      </c>
      <c r="AN324" s="130"/>
      <c r="AO324" s="131">
        <v>6</v>
      </c>
      <c r="AP324" s="132" t="s">
        <v>636</v>
      </c>
      <c r="AQ324" s="128"/>
      <c r="AR324" s="133"/>
      <c r="AS324" s="128"/>
      <c r="AT324" s="128"/>
      <c r="AU324" s="128"/>
      <c r="AV324" s="133"/>
      <c r="AW324" s="128"/>
      <c r="AX324" s="133"/>
      <c r="AY324" s="128"/>
      <c r="AZ324" s="128"/>
      <c r="BA324" s="128"/>
      <c r="BB324" s="133"/>
      <c r="BC324" s="128"/>
      <c r="BD324" s="133"/>
      <c r="BE324" s="128"/>
      <c r="BF324" s="128"/>
      <c r="BG324" s="128"/>
      <c r="BH324" s="133"/>
      <c r="BI324" s="128"/>
      <c r="BJ324" s="133"/>
      <c r="BK324" s="128"/>
      <c r="BL324" s="128"/>
      <c r="BM324" s="128"/>
      <c r="BN324" s="133"/>
      <c r="BO324" s="128"/>
      <c r="BP324" s="133"/>
      <c r="BQ324" s="128"/>
      <c r="BR324" s="128"/>
      <c r="BS324" s="128"/>
      <c r="BT324" s="133"/>
      <c r="BU324" s="128"/>
      <c r="BV324" s="133"/>
      <c r="BW324" s="128"/>
      <c r="BX324" s="128"/>
      <c r="BY324" s="128"/>
      <c r="BZ324" s="133"/>
      <c r="CA324" s="128"/>
      <c r="CB324" s="133"/>
      <c r="CC324" s="128"/>
      <c r="CD324" s="128"/>
      <c r="CE324" s="128"/>
      <c r="CF324" s="128"/>
    </row>
    <row r="325" spans="1:84" x14ac:dyDescent="0.5">
      <c r="A325" s="268"/>
      <c r="B325" s="181"/>
      <c r="C325" s="182"/>
      <c r="D325" s="183"/>
      <c r="E325" s="749"/>
      <c r="F325" s="938"/>
      <c r="G325" s="939"/>
      <c r="H325" s="186">
        <v>43666</v>
      </c>
      <c r="I325" s="187">
        <v>19205</v>
      </c>
      <c r="J325" s="961"/>
      <c r="K325" s="966"/>
      <c r="L325" s="181"/>
      <c r="M325" s="188"/>
      <c r="N325" s="181"/>
      <c r="O325" s="189"/>
      <c r="P325" s="189"/>
      <c r="Q325" s="189"/>
      <c r="R325" s="190"/>
      <c r="S325" s="215"/>
      <c r="T325" s="216"/>
      <c r="U325" s="217"/>
      <c r="V325" s="218"/>
      <c r="W325" s="195"/>
      <c r="X325" s="196"/>
      <c r="Y325" s="196"/>
      <c r="Z325" s="197"/>
      <c r="AA325" s="198"/>
      <c r="AB325" s="200"/>
      <c r="AC325" s="201"/>
      <c r="AD325" s="240"/>
      <c r="AE325" s="240"/>
      <c r="AF325" s="241"/>
      <c r="AG325" s="199"/>
      <c r="AH325" s="199"/>
      <c r="AI325" s="199"/>
      <c r="AJ325" s="180"/>
      <c r="AK325" s="204"/>
      <c r="AL325" s="205"/>
      <c r="AM325" s="206"/>
      <c r="AN325" s="206"/>
      <c r="AO325" s="207"/>
      <c r="AP325" s="208"/>
      <c r="AQ325" s="204"/>
      <c r="AR325" s="210"/>
      <c r="AS325" s="204"/>
      <c r="AT325" s="204"/>
      <c r="AU325" s="204"/>
      <c r="AV325" s="210"/>
      <c r="AW325" s="204"/>
      <c r="AX325" s="210"/>
      <c r="AY325" s="204"/>
      <c r="AZ325" s="204"/>
      <c r="BA325" s="204"/>
      <c r="BB325" s="210"/>
      <c r="BC325" s="204"/>
      <c r="BD325" s="210"/>
      <c r="BE325" s="204"/>
      <c r="BF325" s="204"/>
      <c r="BG325" s="204"/>
      <c r="BH325" s="210"/>
      <c r="BI325" s="204"/>
      <c r="BJ325" s="210"/>
      <c r="BK325" s="204"/>
      <c r="BL325" s="204"/>
      <c r="BM325" s="204"/>
      <c r="BN325" s="210"/>
      <c r="BO325" s="204"/>
      <c r="BP325" s="210"/>
      <c r="BQ325" s="204"/>
      <c r="BR325" s="204"/>
      <c r="BS325" s="204"/>
      <c r="BT325" s="210"/>
      <c r="BU325" s="204"/>
      <c r="BV325" s="210"/>
      <c r="BW325" s="204"/>
      <c r="BX325" s="204"/>
      <c r="BY325" s="204"/>
      <c r="BZ325" s="210"/>
      <c r="CA325" s="204"/>
      <c r="CB325" s="210"/>
      <c r="CC325" s="204"/>
      <c r="CD325" s="204"/>
      <c r="CE325" s="204"/>
      <c r="CF325" s="204"/>
    </row>
    <row r="326" spans="1:84" x14ac:dyDescent="0.5">
      <c r="A326" s="259">
        <v>19076272</v>
      </c>
      <c r="B326" s="104">
        <v>19060539</v>
      </c>
      <c r="C326" s="105" t="s">
        <v>2394</v>
      </c>
      <c r="D326" s="106" t="s">
        <v>1323</v>
      </c>
      <c r="E326" s="302">
        <v>43668</v>
      </c>
      <c r="F326" s="936" t="s">
        <v>1324</v>
      </c>
      <c r="G326" s="937" t="s">
        <v>2425</v>
      </c>
      <c r="H326" s="211">
        <v>43684</v>
      </c>
      <c r="I326" s="164">
        <v>19230</v>
      </c>
      <c r="J326" s="960" t="s">
        <v>869</v>
      </c>
      <c r="K326" s="965">
        <v>43687</v>
      </c>
      <c r="L326" s="104" t="s">
        <v>451</v>
      </c>
      <c r="M326" s="110" t="s">
        <v>2395</v>
      </c>
      <c r="N326" s="104" t="s">
        <v>52</v>
      </c>
      <c r="O326" s="111">
        <v>360000</v>
      </c>
      <c r="P326" s="111">
        <f t="shared" si="72"/>
        <v>25200</v>
      </c>
      <c r="Q326" s="111">
        <f t="shared" si="73"/>
        <v>385200</v>
      </c>
      <c r="R326" s="311">
        <v>21000</v>
      </c>
      <c r="S326" s="113" t="s">
        <v>2052</v>
      </c>
      <c r="T326" s="114">
        <f>O326-R326</f>
        <v>339000</v>
      </c>
      <c r="U326" s="115">
        <v>5</v>
      </c>
      <c r="V326" s="116">
        <f t="shared" si="76"/>
        <v>16950</v>
      </c>
      <c r="W326" s="117">
        <f t="shared" si="77"/>
        <v>322050</v>
      </c>
      <c r="X326" s="118">
        <v>0.47</v>
      </c>
      <c r="Y326" s="118">
        <f t="shared" si="78"/>
        <v>1513.635</v>
      </c>
      <c r="Z326" s="119">
        <v>0.2</v>
      </c>
      <c r="AA326" s="120">
        <f t="shared" si="79"/>
        <v>644.1</v>
      </c>
      <c r="AB326" s="123">
        <v>19080307</v>
      </c>
      <c r="AC326" s="124">
        <v>360000</v>
      </c>
      <c r="AD326" s="125">
        <f>AC326*7/100</f>
        <v>25200</v>
      </c>
      <c r="AE326" s="125">
        <f>AC326+AD326</f>
        <v>385200</v>
      </c>
      <c r="AF326" s="126">
        <v>43727</v>
      </c>
      <c r="AG326" s="127" t="s">
        <v>869</v>
      </c>
      <c r="AH326" s="127"/>
      <c r="AI326" s="127"/>
      <c r="AJ326" s="103" t="s">
        <v>2840</v>
      </c>
      <c r="AK326" s="128">
        <v>1</v>
      </c>
      <c r="AL326" s="129" t="s">
        <v>1151</v>
      </c>
      <c r="AM326" s="130" t="s">
        <v>869</v>
      </c>
      <c r="AN326" s="130"/>
      <c r="AO326" s="131">
        <v>6</v>
      </c>
      <c r="AP326" s="132" t="s">
        <v>636</v>
      </c>
      <c r="AQ326" s="128"/>
      <c r="AR326" s="133"/>
      <c r="AS326" s="128"/>
      <c r="AT326" s="128"/>
      <c r="AU326" s="128"/>
      <c r="AV326" s="133"/>
      <c r="AW326" s="128"/>
      <c r="AX326" s="133"/>
      <c r="AY326" s="128"/>
      <c r="AZ326" s="128"/>
      <c r="BA326" s="128"/>
      <c r="BB326" s="133"/>
      <c r="BC326" s="128"/>
      <c r="BD326" s="133"/>
      <c r="BE326" s="128"/>
      <c r="BF326" s="128"/>
      <c r="BG326" s="128"/>
      <c r="BH326" s="133"/>
      <c r="BI326" s="128"/>
      <c r="BJ326" s="133"/>
      <c r="BK326" s="128"/>
      <c r="BL326" s="128"/>
      <c r="BM326" s="128"/>
      <c r="BN326" s="133"/>
      <c r="BO326" s="128"/>
      <c r="BP326" s="133"/>
      <c r="BQ326" s="128"/>
      <c r="BR326" s="128"/>
      <c r="BS326" s="128"/>
      <c r="BT326" s="133"/>
      <c r="BU326" s="128"/>
      <c r="BV326" s="133"/>
      <c r="BW326" s="128"/>
      <c r="BX326" s="128"/>
      <c r="BY326" s="128"/>
      <c r="BZ326" s="133"/>
      <c r="CA326" s="128"/>
      <c r="CB326" s="133"/>
      <c r="CC326" s="128"/>
      <c r="CD326" s="128"/>
      <c r="CE326" s="128"/>
      <c r="CF326" s="128"/>
    </row>
    <row r="327" spans="1:84" x14ac:dyDescent="0.5">
      <c r="A327" s="268"/>
      <c r="B327" s="181"/>
      <c r="C327" s="182"/>
      <c r="D327" s="183"/>
      <c r="E327" s="749"/>
      <c r="F327" s="938"/>
      <c r="G327" s="939"/>
      <c r="H327" s="186">
        <v>43684</v>
      </c>
      <c r="I327" s="187">
        <v>19231</v>
      </c>
      <c r="J327" s="961"/>
      <c r="K327" s="966"/>
      <c r="L327" s="181"/>
      <c r="M327" s="188"/>
      <c r="N327" s="181"/>
      <c r="O327" s="189"/>
      <c r="P327" s="189"/>
      <c r="Q327" s="189"/>
      <c r="R327" s="190"/>
      <c r="S327" s="215"/>
      <c r="T327" s="216"/>
      <c r="U327" s="217"/>
      <c r="V327" s="218"/>
      <c r="W327" s="195"/>
      <c r="X327" s="196"/>
      <c r="Y327" s="196"/>
      <c r="Z327" s="197"/>
      <c r="AA327" s="198"/>
      <c r="AB327" s="200"/>
      <c r="AC327" s="201"/>
      <c r="AD327" s="240"/>
      <c r="AE327" s="240"/>
      <c r="AF327" s="241"/>
      <c r="AG327" s="199"/>
      <c r="AH327" s="199"/>
      <c r="AI327" s="199"/>
      <c r="AJ327" s="180"/>
      <c r="AK327" s="204"/>
      <c r="AL327" s="205"/>
      <c r="AM327" s="206"/>
      <c r="AN327" s="206"/>
      <c r="AO327" s="207"/>
      <c r="AP327" s="208"/>
      <c r="AQ327" s="204"/>
      <c r="AR327" s="210"/>
      <c r="AS327" s="204"/>
      <c r="AT327" s="204"/>
      <c r="AU327" s="204"/>
      <c r="AV327" s="210"/>
      <c r="AW327" s="204"/>
      <c r="AX327" s="210"/>
      <c r="AY327" s="204"/>
      <c r="AZ327" s="204"/>
      <c r="BA327" s="204"/>
      <c r="BB327" s="210"/>
      <c r="BC327" s="204"/>
      <c r="BD327" s="210"/>
      <c r="BE327" s="204"/>
      <c r="BF327" s="204"/>
      <c r="BG327" s="204"/>
      <c r="BH327" s="210"/>
      <c r="BI327" s="204"/>
      <c r="BJ327" s="210"/>
      <c r="BK327" s="204"/>
      <c r="BL327" s="204"/>
      <c r="BM327" s="204"/>
      <c r="BN327" s="210"/>
      <c r="BO327" s="204"/>
      <c r="BP327" s="210"/>
      <c r="BQ327" s="204"/>
      <c r="BR327" s="204"/>
      <c r="BS327" s="204"/>
      <c r="BT327" s="210"/>
      <c r="BU327" s="204"/>
      <c r="BV327" s="210"/>
      <c r="BW327" s="204"/>
      <c r="BX327" s="204"/>
      <c r="BY327" s="204"/>
      <c r="BZ327" s="210"/>
      <c r="CA327" s="204"/>
      <c r="CB327" s="210"/>
      <c r="CC327" s="204"/>
      <c r="CD327" s="204"/>
      <c r="CE327" s="204"/>
      <c r="CF327" s="204"/>
    </row>
    <row r="328" spans="1:84" x14ac:dyDescent="0.5">
      <c r="A328" s="227">
        <v>19076271</v>
      </c>
      <c r="B328" s="22">
        <v>19070606</v>
      </c>
      <c r="C328" s="55"/>
      <c r="D328" s="56"/>
      <c r="E328" s="910"/>
      <c r="F328" s="57"/>
      <c r="G328" s="58"/>
      <c r="H328" s="59"/>
      <c r="I328" s="60"/>
      <c r="J328" s="269"/>
      <c r="K328" s="59"/>
      <c r="L328" s="22" t="s">
        <v>2342</v>
      </c>
      <c r="M328" s="28" t="s">
        <v>2343</v>
      </c>
      <c r="N328" s="22" t="s">
        <v>51</v>
      </c>
      <c r="O328" s="29">
        <v>79092</v>
      </c>
      <c r="P328" s="29">
        <f t="shared" si="72"/>
        <v>5536.44</v>
      </c>
      <c r="Q328" s="29">
        <f t="shared" si="73"/>
        <v>84628.44</v>
      </c>
      <c r="R328" s="61"/>
      <c r="S328" s="96"/>
      <c r="T328" s="97"/>
      <c r="U328" s="98"/>
      <c r="V328" s="99"/>
      <c r="W328" s="100"/>
      <c r="X328" s="99"/>
      <c r="Y328" s="99"/>
      <c r="Z328" s="100"/>
      <c r="AA328" s="101"/>
      <c r="AB328" s="40">
        <v>19070258</v>
      </c>
      <c r="AC328" s="41">
        <v>79092</v>
      </c>
      <c r="AD328" s="63">
        <f>AC328*7/100</f>
        <v>5536.44</v>
      </c>
      <c r="AE328" s="64">
        <f>AC328+AD328</f>
        <v>84628.44</v>
      </c>
      <c r="AF328" s="43"/>
      <c r="AG328" s="39" t="s">
        <v>869</v>
      </c>
      <c r="AH328" s="39"/>
      <c r="AI328" s="39"/>
      <c r="AJ328" s="21" t="s">
        <v>2859</v>
      </c>
      <c r="AK328" s="918">
        <v>1</v>
      </c>
      <c r="AL328" s="45" t="s">
        <v>2344</v>
      </c>
      <c r="AM328" s="46"/>
      <c r="AN328" s="46"/>
      <c r="AO328" s="47">
        <v>12</v>
      </c>
      <c r="AP328" s="48" t="s">
        <v>1485</v>
      </c>
      <c r="AQ328" s="976"/>
      <c r="AR328" s="54"/>
      <c r="AS328" s="976"/>
      <c r="AT328" s="976"/>
      <c r="AU328" s="976"/>
      <c r="AV328" s="54"/>
      <c r="AW328" s="976"/>
      <c r="AX328" s="54"/>
      <c r="AY328" s="976"/>
      <c r="AZ328" s="976"/>
      <c r="BA328" s="976"/>
      <c r="BB328" s="54"/>
      <c r="BC328" s="976"/>
      <c r="BD328" s="54"/>
      <c r="BE328" s="976"/>
      <c r="BF328" s="976"/>
      <c r="BG328" s="976"/>
      <c r="BH328" s="54"/>
      <c r="BI328" s="976"/>
      <c r="BJ328" s="54"/>
      <c r="BK328" s="976"/>
      <c r="BL328" s="976"/>
      <c r="BM328" s="976"/>
      <c r="BN328" s="54"/>
      <c r="BO328" s="976"/>
      <c r="BP328" s="54"/>
      <c r="BQ328" s="976"/>
      <c r="BR328" s="976"/>
      <c r="BS328" s="976"/>
      <c r="BT328" s="54"/>
      <c r="BU328" s="976"/>
      <c r="BV328" s="54"/>
      <c r="BW328" s="976"/>
      <c r="BX328" s="976"/>
      <c r="BY328" s="976"/>
      <c r="BZ328" s="54"/>
      <c r="CA328" s="976"/>
      <c r="CB328" s="54"/>
      <c r="CC328" s="976"/>
      <c r="CD328" s="976"/>
      <c r="CE328" s="976"/>
      <c r="CF328" s="976"/>
    </row>
    <row r="329" spans="1:84" x14ac:dyDescent="0.5">
      <c r="A329" s="259">
        <v>19076270</v>
      </c>
      <c r="B329" s="104">
        <v>19070605</v>
      </c>
      <c r="C329" s="242"/>
      <c r="D329" s="243"/>
      <c r="E329" s="912"/>
      <c r="F329" s="244"/>
      <c r="G329" s="245"/>
      <c r="H329" s="246"/>
      <c r="I329" s="247"/>
      <c r="J329" s="306"/>
      <c r="K329" s="246"/>
      <c r="L329" s="104" t="s">
        <v>2341</v>
      </c>
      <c r="M329" s="110" t="s">
        <v>2345</v>
      </c>
      <c r="N329" s="104" t="s">
        <v>51</v>
      </c>
      <c r="O329" s="111">
        <v>9400</v>
      </c>
      <c r="P329" s="111">
        <f t="shared" si="72"/>
        <v>658</v>
      </c>
      <c r="Q329" s="111">
        <f t="shared" si="73"/>
        <v>10058</v>
      </c>
      <c r="R329" s="212"/>
      <c r="S329" s="165"/>
      <c r="T329" s="166"/>
      <c r="U329" s="167"/>
      <c r="V329" s="168"/>
      <c r="W329" s="231"/>
      <c r="X329" s="168"/>
      <c r="Y329" s="168"/>
      <c r="Z329" s="231"/>
      <c r="AA329" s="232"/>
      <c r="AB329" s="782">
        <v>19070239</v>
      </c>
      <c r="AC329" s="772">
        <v>9400</v>
      </c>
      <c r="AD329" s="1319">
        <f t="shared" ref="AD329:AD336" si="80">AC329*7/100</f>
        <v>658</v>
      </c>
      <c r="AE329" s="1319">
        <f t="shared" ref="AE329:AE336" si="81">AC329+AD329</f>
        <v>10058</v>
      </c>
      <c r="AF329" s="774">
        <v>43681</v>
      </c>
      <c r="AG329" s="770"/>
      <c r="AH329" s="770"/>
      <c r="AI329" s="770" t="s">
        <v>869</v>
      </c>
      <c r="AJ329" s="754"/>
      <c r="AK329" s="128">
        <v>1</v>
      </c>
      <c r="AL329" s="129" t="s">
        <v>2346</v>
      </c>
      <c r="AM329" s="130"/>
      <c r="AN329" s="130"/>
      <c r="AO329" s="131">
        <v>1</v>
      </c>
      <c r="AP329" s="132" t="s">
        <v>628</v>
      </c>
      <c r="AQ329" s="128"/>
      <c r="AR329" s="133"/>
      <c r="AS329" s="128"/>
      <c r="AT329" s="128"/>
      <c r="AU329" s="128"/>
      <c r="AV329" s="133"/>
      <c r="AW329" s="128"/>
      <c r="AX329" s="133"/>
      <c r="AY329" s="128"/>
      <c r="AZ329" s="128"/>
      <c r="BA329" s="128"/>
      <c r="BB329" s="133"/>
      <c r="BC329" s="128"/>
      <c r="BD329" s="133"/>
      <c r="BE329" s="128"/>
      <c r="BF329" s="128"/>
      <c r="BG329" s="128"/>
      <c r="BH329" s="133"/>
      <c r="BI329" s="128"/>
      <c r="BJ329" s="133"/>
      <c r="BK329" s="128"/>
      <c r="BL329" s="128"/>
      <c r="BM329" s="128"/>
      <c r="BN329" s="133"/>
      <c r="BO329" s="128"/>
      <c r="BP329" s="133"/>
      <c r="BQ329" s="128"/>
      <c r="BR329" s="128"/>
      <c r="BS329" s="128"/>
      <c r="BT329" s="133"/>
      <c r="BU329" s="128"/>
      <c r="BV329" s="133"/>
      <c r="BW329" s="128"/>
      <c r="BX329" s="128"/>
      <c r="BY329" s="128"/>
      <c r="BZ329" s="133"/>
      <c r="CA329" s="128"/>
      <c r="CB329" s="133"/>
      <c r="CC329" s="128"/>
      <c r="CD329" s="128"/>
      <c r="CE329" s="128"/>
      <c r="CF329" s="128"/>
    </row>
    <row r="330" spans="1:84" x14ac:dyDescent="0.5">
      <c r="A330" s="268"/>
      <c r="B330" s="181"/>
      <c r="C330" s="285"/>
      <c r="D330" s="286"/>
      <c r="E330" s="913"/>
      <c r="F330" s="287"/>
      <c r="G330" s="288"/>
      <c r="H330" s="289"/>
      <c r="I330" s="290"/>
      <c r="J330" s="832"/>
      <c r="K330" s="289"/>
      <c r="L330" s="181"/>
      <c r="M330" s="188"/>
      <c r="N330" s="181"/>
      <c r="O330" s="189"/>
      <c r="P330" s="189"/>
      <c r="Q330" s="189"/>
      <c r="R330" s="214"/>
      <c r="S330" s="191"/>
      <c r="T330" s="192"/>
      <c r="U330" s="193"/>
      <c r="V330" s="194"/>
      <c r="W330" s="235"/>
      <c r="X330" s="194"/>
      <c r="Y330" s="194"/>
      <c r="Z330" s="235"/>
      <c r="AA330" s="236"/>
      <c r="AB330" s="200" t="s">
        <v>3755</v>
      </c>
      <c r="AC330" s="201">
        <v>9400</v>
      </c>
      <c r="AD330" s="202">
        <f>AC330*7/100</f>
        <v>658</v>
      </c>
      <c r="AE330" s="202">
        <f>AC330+AD330</f>
        <v>10058</v>
      </c>
      <c r="AF330" s="203">
        <v>43936</v>
      </c>
      <c r="AG330" s="199" t="s">
        <v>869</v>
      </c>
      <c r="AH330" s="199"/>
      <c r="AI330" s="199"/>
      <c r="AJ330" s="180" t="s">
        <v>4110</v>
      </c>
      <c r="AK330" s="204"/>
      <c r="AL330" s="205"/>
      <c r="AM330" s="206"/>
      <c r="AN330" s="206"/>
      <c r="AO330" s="207"/>
      <c r="AP330" s="208"/>
      <c r="AQ330" s="204"/>
      <c r="AR330" s="210"/>
      <c r="AS330" s="204"/>
      <c r="AT330" s="204"/>
      <c r="AU330" s="204"/>
      <c r="AV330" s="210"/>
      <c r="AW330" s="204"/>
      <c r="AX330" s="210"/>
      <c r="AY330" s="204"/>
      <c r="AZ330" s="204"/>
      <c r="BA330" s="204"/>
      <c r="BB330" s="210"/>
      <c r="BC330" s="204"/>
      <c r="BD330" s="210"/>
      <c r="BE330" s="204"/>
      <c r="BF330" s="204"/>
      <c r="BG330" s="204"/>
      <c r="BH330" s="210"/>
      <c r="BI330" s="204"/>
      <c r="BJ330" s="210"/>
      <c r="BK330" s="204"/>
      <c r="BL330" s="204"/>
      <c r="BM330" s="204"/>
      <c r="BN330" s="210"/>
      <c r="BO330" s="204"/>
      <c r="BP330" s="210"/>
      <c r="BQ330" s="204"/>
      <c r="BR330" s="204"/>
      <c r="BS330" s="204"/>
      <c r="BT330" s="210"/>
      <c r="BU330" s="204"/>
      <c r="BV330" s="210"/>
      <c r="BW330" s="204"/>
      <c r="BX330" s="204"/>
      <c r="BY330" s="204"/>
      <c r="BZ330" s="210"/>
      <c r="CA330" s="204"/>
      <c r="CB330" s="210"/>
      <c r="CC330" s="204"/>
      <c r="CD330" s="204"/>
      <c r="CE330" s="204"/>
      <c r="CF330" s="204"/>
    </row>
    <row r="331" spans="1:84" x14ac:dyDescent="0.5">
      <c r="A331" s="227">
        <v>19076269</v>
      </c>
      <c r="B331" s="22">
        <v>19070601</v>
      </c>
      <c r="C331" s="55"/>
      <c r="D331" s="56"/>
      <c r="E331" s="910"/>
      <c r="F331" s="57"/>
      <c r="G331" s="58"/>
      <c r="H331" s="59"/>
      <c r="I331" s="60"/>
      <c r="J331" s="269"/>
      <c r="K331" s="59"/>
      <c r="L331" s="22" t="s">
        <v>2012</v>
      </c>
      <c r="M331" s="28" t="s">
        <v>2013</v>
      </c>
      <c r="N331" s="22" t="s">
        <v>1523</v>
      </c>
      <c r="O331" s="29">
        <v>8300</v>
      </c>
      <c r="P331" s="29">
        <f t="shared" si="72"/>
        <v>581</v>
      </c>
      <c r="Q331" s="29">
        <f t="shared" si="73"/>
        <v>8881</v>
      </c>
      <c r="R331" s="61"/>
      <c r="S331" s="96"/>
      <c r="T331" s="97"/>
      <c r="U331" s="98"/>
      <c r="V331" s="99"/>
      <c r="W331" s="100"/>
      <c r="X331" s="99"/>
      <c r="Y331" s="99"/>
      <c r="Z331" s="100"/>
      <c r="AA331" s="101"/>
      <c r="AB331" s="40">
        <v>19070238</v>
      </c>
      <c r="AC331" s="41">
        <v>8300</v>
      </c>
      <c r="AD331" s="52">
        <f t="shared" si="80"/>
        <v>581</v>
      </c>
      <c r="AE331" s="52">
        <f t="shared" si="81"/>
        <v>8881</v>
      </c>
      <c r="AF331" s="53">
        <v>43649</v>
      </c>
      <c r="AG331" s="39" t="s">
        <v>869</v>
      </c>
      <c r="AH331" s="39"/>
      <c r="AI331" s="39"/>
      <c r="AJ331" s="21" t="s">
        <v>2777</v>
      </c>
      <c r="AK331" s="918">
        <v>1</v>
      </c>
      <c r="AL331" s="45" t="s">
        <v>404</v>
      </c>
      <c r="AM331" s="46"/>
      <c r="AN331" s="46"/>
      <c r="AO331" s="47">
        <v>1</v>
      </c>
      <c r="AP331" s="102"/>
      <c r="AQ331" s="977"/>
      <c r="AR331" s="54"/>
      <c r="AS331" s="977"/>
      <c r="AT331" s="977"/>
      <c r="AU331" s="977"/>
      <c r="AV331" s="54"/>
      <c r="AW331" s="977"/>
      <c r="AX331" s="54"/>
      <c r="AY331" s="977"/>
      <c r="AZ331" s="977"/>
      <c r="BA331" s="977"/>
      <c r="BB331" s="54"/>
      <c r="BC331" s="977"/>
      <c r="BD331" s="54"/>
      <c r="BE331" s="977"/>
      <c r="BF331" s="977"/>
      <c r="BG331" s="977"/>
      <c r="BH331" s="54"/>
      <c r="BI331" s="977"/>
      <c r="BJ331" s="54"/>
      <c r="BK331" s="977"/>
      <c r="BL331" s="977"/>
      <c r="BM331" s="977"/>
      <c r="BN331" s="54"/>
      <c r="BO331" s="977"/>
      <c r="BP331" s="54"/>
      <c r="BQ331" s="977"/>
      <c r="BR331" s="977"/>
      <c r="BS331" s="977"/>
      <c r="BT331" s="54"/>
      <c r="BU331" s="977"/>
      <c r="BV331" s="54"/>
      <c r="BW331" s="977"/>
      <c r="BX331" s="977"/>
      <c r="BY331" s="977"/>
      <c r="BZ331" s="54"/>
      <c r="CA331" s="977"/>
      <c r="CB331" s="54"/>
      <c r="CC331" s="977"/>
      <c r="CD331" s="977"/>
      <c r="CE331" s="977"/>
      <c r="CF331" s="977"/>
    </row>
    <row r="332" spans="1:84" x14ac:dyDescent="0.5">
      <c r="A332" s="259">
        <v>19076268</v>
      </c>
      <c r="B332" s="104">
        <v>19070600</v>
      </c>
      <c r="C332" s="105" t="s">
        <v>2339</v>
      </c>
      <c r="D332" s="106" t="s">
        <v>1323</v>
      </c>
      <c r="E332" s="302">
        <v>43650</v>
      </c>
      <c r="F332" s="936" t="s">
        <v>1324</v>
      </c>
      <c r="G332" s="937" t="s">
        <v>2247</v>
      </c>
      <c r="H332" s="122">
        <v>43649</v>
      </c>
      <c r="I332" s="109">
        <v>19184</v>
      </c>
      <c r="J332" s="960" t="s">
        <v>869</v>
      </c>
      <c r="K332" s="965">
        <v>43650</v>
      </c>
      <c r="L332" s="104" t="s">
        <v>2012</v>
      </c>
      <c r="M332" s="110" t="s">
        <v>1975</v>
      </c>
      <c r="N332" s="104" t="s">
        <v>1523</v>
      </c>
      <c r="O332" s="111">
        <v>75000</v>
      </c>
      <c r="P332" s="111">
        <f t="shared" ref="P332:P338" si="82">O332*7/100</f>
        <v>5250</v>
      </c>
      <c r="Q332" s="111">
        <f t="shared" ref="Q332:Q338" si="83">O332+P332</f>
        <v>80250</v>
      </c>
      <c r="R332" s="212"/>
      <c r="S332" s="264" t="s">
        <v>2397</v>
      </c>
      <c r="T332" s="114">
        <v>62500</v>
      </c>
      <c r="U332" s="266" t="s">
        <v>1994</v>
      </c>
      <c r="V332" s="267">
        <v>15625</v>
      </c>
      <c r="W332" s="117">
        <f>O332-V332-V333</f>
        <v>56406.25</v>
      </c>
      <c r="X332" s="118">
        <v>0.38</v>
      </c>
      <c r="Y332" s="118">
        <f>W332*X332/100</f>
        <v>214.34375</v>
      </c>
      <c r="Z332" s="119">
        <v>0.2</v>
      </c>
      <c r="AA332" s="120">
        <f>W332*Z332/100</f>
        <v>112.8125</v>
      </c>
      <c r="AB332" s="229">
        <v>19070236</v>
      </c>
      <c r="AC332" s="230">
        <v>22500</v>
      </c>
      <c r="AD332" s="220">
        <f t="shared" si="80"/>
        <v>1575</v>
      </c>
      <c r="AE332" s="220">
        <f t="shared" si="81"/>
        <v>24075</v>
      </c>
      <c r="AF332" s="221">
        <v>43649</v>
      </c>
      <c r="AG332" s="121" t="s">
        <v>869</v>
      </c>
      <c r="AH332" s="121"/>
      <c r="AI332" s="121"/>
      <c r="AJ332" s="222" t="s">
        <v>2775</v>
      </c>
      <c r="AK332" s="128">
        <v>1</v>
      </c>
      <c r="AL332" s="129" t="s">
        <v>833</v>
      </c>
      <c r="AM332" s="130"/>
      <c r="AN332" s="130" t="s">
        <v>869</v>
      </c>
      <c r="AO332" s="131">
        <v>2</v>
      </c>
      <c r="AP332" s="132" t="s">
        <v>634</v>
      </c>
      <c r="AQ332" s="128"/>
      <c r="AR332" s="133"/>
      <c r="AS332" s="128"/>
      <c r="AT332" s="128"/>
      <c r="AU332" s="128"/>
      <c r="AV332" s="133"/>
      <c r="AW332" s="128"/>
      <c r="AX332" s="133"/>
      <c r="AY332" s="128"/>
      <c r="AZ332" s="128"/>
      <c r="BA332" s="128"/>
      <c r="BB332" s="133"/>
      <c r="BC332" s="128"/>
      <c r="BD332" s="133"/>
      <c r="BE332" s="128"/>
      <c r="BF332" s="128"/>
      <c r="BG332" s="128"/>
      <c r="BH332" s="133"/>
      <c r="BI332" s="128"/>
      <c r="BJ332" s="133"/>
      <c r="BK332" s="128"/>
      <c r="BL332" s="128"/>
      <c r="BM332" s="128"/>
      <c r="BN332" s="133"/>
      <c r="BO332" s="128"/>
      <c r="BP332" s="133"/>
      <c r="BQ332" s="128"/>
      <c r="BR332" s="128"/>
      <c r="BS332" s="128"/>
      <c r="BT332" s="133"/>
      <c r="BU332" s="128"/>
      <c r="BV332" s="133"/>
      <c r="BW332" s="128"/>
      <c r="BX332" s="128"/>
      <c r="BY332" s="128"/>
      <c r="BZ332" s="133"/>
      <c r="CA332" s="128"/>
      <c r="CB332" s="133"/>
      <c r="CC332" s="128"/>
      <c r="CD332" s="128"/>
      <c r="CE332" s="128"/>
      <c r="CF332" s="128"/>
    </row>
    <row r="333" spans="1:84" x14ac:dyDescent="0.5">
      <c r="A333" s="268"/>
      <c r="B333" s="181"/>
      <c r="C333" s="182"/>
      <c r="D333" s="183"/>
      <c r="E333" s="749"/>
      <c r="F333" s="938"/>
      <c r="G333" s="939"/>
      <c r="H333" s="186"/>
      <c r="I333" s="187"/>
      <c r="J333" s="961"/>
      <c r="K333" s="966"/>
      <c r="L333" s="181"/>
      <c r="M333" s="188"/>
      <c r="N333" s="181"/>
      <c r="O333" s="189"/>
      <c r="P333" s="189"/>
      <c r="Q333" s="189"/>
      <c r="R333" s="214"/>
      <c r="S333" s="215" t="s">
        <v>1310</v>
      </c>
      <c r="T333" s="216" t="s">
        <v>2398</v>
      </c>
      <c r="U333" s="217" t="s">
        <v>1994</v>
      </c>
      <c r="V333" s="218">
        <v>2968.75</v>
      </c>
      <c r="W333" s="195"/>
      <c r="X333" s="196"/>
      <c r="Y333" s="196"/>
      <c r="Z333" s="197"/>
      <c r="AA333" s="198"/>
      <c r="AB333" s="200">
        <v>19070237</v>
      </c>
      <c r="AC333" s="201">
        <v>52500</v>
      </c>
      <c r="AD333" s="202">
        <f t="shared" si="80"/>
        <v>3675</v>
      </c>
      <c r="AE333" s="202">
        <f t="shared" si="81"/>
        <v>56175</v>
      </c>
      <c r="AF333" s="203">
        <v>43649</v>
      </c>
      <c r="AG333" s="199" t="s">
        <v>869</v>
      </c>
      <c r="AH333" s="199"/>
      <c r="AI333" s="199"/>
      <c r="AJ333" s="843" t="s">
        <v>2776</v>
      </c>
      <c r="AK333" s="204"/>
      <c r="AL333" s="205"/>
      <c r="AM333" s="206"/>
      <c r="AN333" s="206"/>
      <c r="AO333" s="207"/>
      <c r="AP333" s="208"/>
      <c r="AQ333" s="204"/>
      <c r="AR333" s="210"/>
      <c r="AS333" s="204"/>
      <c r="AT333" s="204"/>
      <c r="AU333" s="204"/>
      <c r="AV333" s="210"/>
      <c r="AW333" s="204"/>
      <c r="AX333" s="210"/>
      <c r="AY333" s="204"/>
      <c r="AZ333" s="204"/>
      <c r="BA333" s="204"/>
      <c r="BB333" s="210"/>
      <c r="BC333" s="204"/>
      <c r="BD333" s="210"/>
      <c r="BE333" s="204"/>
      <c r="BF333" s="204"/>
      <c r="BG333" s="204"/>
      <c r="BH333" s="210"/>
      <c r="BI333" s="204"/>
      <c r="BJ333" s="210"/>
      <c r="BK333" s="204"/>
      <c r="BL333" s="204"/>
      <c r="BM333" s="204"/>
      <c r="BN333" s="210"/>
      <c r="BO333" s="204"/>
      <c r="BP333" s="210"/>
      <c r="BQ333" s="204"/>
      <c r="BR333" s="204"/>
      <c r="BS333" s="204"/>
      <c r="BT333" s="210"/>
      <c r="BU333" s="204"/>
      <c r="BV333" s="210"/>
      <c r="BW333" s="204"/>
      <c r="BX333" s="204"/>
      <c r="BY333" s="204"/>
      <c r="BZ333" s="210"/>
      <c r="CA333" s="204"/>
      <c r="CB333" s="210"/>
      <c r="CC333" s="204"/>
      <c r="CD333" s="204"/>
      <c r="CE333" s="204"/>
      <c r="CF333" s="204"/>
    </row>
    <row r="334" spans="1:84" x14ac:dyDescent="0.5">
      <c r="A334" s="227">
        <v>19076267</v>
      </c>
      <c r="B334" s="22">
        <v>19070597</v>
      </c>
      <c r="C334" s="23" t="s">
        <v>2310</v>
      </c>
      <c r="D334" s="24" t="s">
        <v>1323</v>
      </c>
      <c r="E334" s="884">
        <v>43651</v>
      </c>
      <c r="F334" s="932" t="s">
        <v>1324</v>
      </c>
      <c r="G334" s="933" t="s">
        <v>2261</v>
      </c>
      <c r="H334" s="62">
        <v>43650</v>
      </c>
      <c r="I334" s="27">
        <v>19186</v>
      </c>
      <c r="J334" s="931" t="s">
        <v>869</v>
      </c>
      <c r="K334" s="957">
        <v>43651</v>
      </c>
      <c r="L334" s="22" t="s">
        <v>1346</v>
      </c>
      <c r="M334" s="28" t="s">
        <v>2311</v>
      </c>
      <c r="N334" s="22" t="s">
        <v>52</v>
      </c>
      <c r="O334" s="29">
        <v>60500</v>
      </c>
      <c r="P334" s="29">
        <f t="shared" si="82"/>
        <v>4235</v>
      </c>
      <c r="Q334" s="29">
        <f t="shared" si="83"/>
        <v>64735</v>
      </c>
      <c r="R334" s="30">
        <v>8300</v>
      </c>
      <c r="S334" s="31" t="s">
        <v>2696</v>
      </c>
      <c r="T334" s="32">
        <f>O334-R334</f>
        <v>52200</v>
      </c>
      <c r="U334" s="33">
        <v>5</v>
      </c>
      <c r="V334" s="34">
        <f>T334*U334/100</f>
        <v>2610</v>
      </c>
      <c r="W334" s="35">
        <f>T334-V334</f>
        <v>49590</v>
      </c>
      <c r="X334" s="36">
        <v>0.27</v>
      </c>
      <c r="Y334" s="36">
        <f>W334*X334/100</f>
        <v>133.893</v>
      </c>
      <c r="Z334" s="37">
        <v>0.2</v>
      </c>
      <c r="AA334" s="38">
        <f>W334*Z334/100</f>
        <v>99.18</v>
      </c>
      <c r="AB334" s="40">
        <v>19070234</v>
      </c>
      <c r="AC334" s="41">
        <v>60500</v>
      </c>
      <c r="AD334" s="52">
        <f t="shared" si="80"/>
        <v>4235</v>
      </c>
      <c r="AE334" s="52">
        <f t="shared" si="81"/>
        <v>64735</v>
      </c>
      <c r="AF334" s="53">
        <v>43647</v>
      </c>
      <c r="AG334" s="39" t="s">
        <v>869</v>
      </c>
      <c r="AH334" s="39"/>
      <c r="AI334" s="39"/>
      <c r="AJ334" s="21" t="s">
        <v>2772</v>
      </c>
      <c r="AK334" s="911">
        <v>1</v>
      </c>
      <c r="AL334" s="45" t="s">
        <v>1249</v>
      </c>
      <c r="AM334" s="46"/>
      <c r="AN334" s="46" t="s">
        <v>869</v>
      </c>
      <c r="AO334" s="47">
        <v>1</v>
      </c>
      <c r="AP334" s="48" t="s">
        <v>634</v>
      </c>
      <c r="AQ334" s="911">
        <v>2</v>
      </c>
      <c r="AR334" s="40" t="s">
        <v>1225</v>
      </c>
      <c r="AS334" s="47"/>
      <c r="AT334" s="47" t="s">
        <v>869</v>
      </c>
      <c r="AU334" s="47">
        <v>1</v>
      </c>
      <c r="AV334" s="49" t="s">
        <v>634</v>
      </c>
      <c r="AW334" s="918"/>
      <c r="AX334" s="54"/>
      <c r="AY334" s="918"/>
      <c r="AZ334" s="918"/>
      <c r="BA334" s="918"/>
      <c r="BB334" s="54"/>
      <c r="BC334" s="918"/>
      <c r="BD334" s="54"/>
      <c r="BE334" s="918"/>
      <c r="BF334" s="918"/>
      <c r="BG334" s="918"/>
      <c r="BH334" s="54"/>
      <c r="BI334" s="918"/>
      <c r="BJ334" s="54"/>
      <c r="BK334" s="918"/>
      <c r="BL334" s="918"/>
      <c r="BM334" s="918"/>
      <c r="BN334" s="54"/>
      <c r="BO334" s="918"/>
      <c r="BP334" s="54"/>
      <c r="BQ334" s="918"/>
      <c r="BR334" s="918"/>
      <c r="BS334" s="918"/>
      <c r="BT334" s="54"/>
      <c r="BU334" s="918"/>
      <c r="BV334" s="54"/>
      <c r="BW334" s="918"/>
      <c r="BX334" s="918"/>
      <c r="BY334" s="918"/>
      <c r="BZ334" s="54"/>
      <c r="CA334" s="918"/>
      <c r="CB334" s="54"/>
      <c r="CC334" s="918"/>
      <c r="CD334" s="918"/>
      <c r="CE334" s="918"/>
      <c r="CF334" s="918"/>
    </row>
    <row r="335" spans="1:84" x14ac:dyDescent="0.5">
      <c r="A335" s="227">
        <v>19066266</v>
      </c>
      <c r="B335" s="22">
        <v>19060595</v>
      </c>
      <c r="C335" s="55"/>
      <c r="D335" s="56"/>
      <c r="E335" s="910"/>
      <c r="F335" s="57"/>
      <c r="G335" s="58"/>
      <c r="H335" s="59"/>
      <c r="I335" s="60"/>
      <c r="J335" s="931" t="s">
        <v>869</v>
      </c>
      <c r="K335" s="957">
        <v>43650</v>
      </c>
      <c r="L335" s="22" t="s">
        <v>2312</v>
      </c>
      <c r="M335" s="28" t="s">
        <v>2313</v>
      </c>
      <c r="N335" s="22" t="s">
        <v>50</v>
      </c>
      <c r="O335" s="29">
        <v>18800</v>
      </c>
      <c r="P335" s="29">
        <f t="shared" si="82"/>
        <v>1316</v>
      </c>
      <c r="Q335" s="29">
        <f t="shared" si="83"/>
        <v>20116</v>
      </c>
      <c r="R335" s="61"/>
      <c r="S335" s="96"/>
      <c r="T335" s="97"/>
      <c r="U335" s="98"/>
      <c r="V335" s="99"/>
      <c r="W335" s="100"/>
      <c r="X335" s="99"/>
      <c r="Y335" s="99"/>
      <c r="Z335" s="100"/>
      <c r="AA335" s="101"/>
      <c r="AB335" s="40">
        <v>19070235</v>
      </c>
      <c r="AC335" s="41">
        <v>18800</v>
      </c>
      <c r="AD335" s="52">
        <f t="shared" si="80"/>
        <v>1316</v>
      </c>
      <c r="AE335" s="52">
        <f t="shared" si="81"/>
        <v>20116</v>
      </c>
      <c r="AF335" s="53">
        <v>43679</v>
      </c>
      <c r="AG335" s="39" t="s">
        <v>869</v>
      </c>
      <c r="AH335" s="39"/>
      <c r="AI335" s="39"/>
      <c r="AJ335" s="21" t="s">
        <v>2717</v>
      </c>
      <c r="AK335" s="890">
        <v>1</v>
      </c>
      <c r="AL335" s="45">
        <v>6844003</v>
      </c>
      <c r="AM335" s="46"/>
      <c r="AN335" s="46"/>
      <c r="AO335" s="47">
        <v>4</v>
      </c>
      <c r="AP335" s="48" t="s">
        <v>628</v>
      </c>
      <c r="AQ335" s="918"/>
      <c r="AR335" s="54"/>
      <c r="AS335" s="918"/>
      <c r="AT335" s="918"/>
      <c r="AU335" s="918"/>
      <c r="AV335" s="54"/>
      <c r="AW335" s="918"/>
      <c r="AX335" s="54"/>
      <c r="AY335" s="918"/>
      <c r="AZ335" s="918"/>
      <c r="BA335" s="918"/>
      <c r="BB335" s="54"/>
      <c r="BC335" s="918"/>
      <c r="BD335" s="54"/>
      <c r="BE335" s="918"/>
      <c r="BF335" s="918"/>
      <c r="BG335" s="918"/>
      <c r="BH335" s="54"/>
      <c r="BI335" s="918"/>
      <c r="BJ335" s="54"/>
      <c r="BK335" s="918"/>
      <c r="BL335" s="918"/>
      <c r="BM335" s="918"/>
      <c r="BN335" s="54"/>
      <c r="BO335" s="918"/>
      <c r="BP335" s="54"/>
      <c r="BQ335" s="918"/>
      <c r="BR335" s="918"/>
      <c r="BS335" s="918"/>
      <c r="BT335" s="54"/>
      <c r="BU335" s="918"/>
      <c r="BV335" s="54"/>
      <c r="BW335" s="918"/>
      <c r="BX335" s="918"/>
      <c r="BY335" s="918"/>
      <c r="BZ335" s="54"/>
      <c r="CA335" s="918"/>
      <c r="CB335" s="54"/>
      <c r="CC335" s="918"/>
      <c r="CD335" s="918"/>
      <c r="CE335" s="918"/>
      <c r="CF335" s="918"/>
    </row>
    <row r="336" spans="1:84" x14ac:dyDescent="0.5">
      <c r="A336" s="227">
        <v>19066265</v>
      </c>
      <c r="B336" s="22">
        <v>19060589</v>
      </c>
      <c r="C336" s="23" t="s">
        <v>2314</v>
      </c>
      <c r="D336" s="24" t="s">
        <v>1323</v>
      </c>
      <c r="E336" s="884">
        <v>43671</v>
      </c>
      <c r="F336" s="932" t="s">
        <v>3368</v>
      </c>
      <c r="G336" s="933" t="s">
        <v>1354</v>
      </c>
      <c r="H336" s="62">
        <v>43836</v>
      </c>
      <c r="I336" s="27">
        <v>63001</v>
      </c>
      <c r="J336" s="931" t="s">
        <v>869</v>
      </c>
      <c r="K336" s="957">
        <v>43837</v>
      </c>
      <c r="L336" s="22" t="s">
        <v>2315</v>
      </c>
      <c r="M336" s="28" t="s">
        <v>2316</v>
      </c>
      <c r="N336" s="22" t="s">
        <v>52</v>
      </c>
      <c r="O336" s="29">
        <v>40000</v>
      </c>
      <c r="P336" s="29">
        <f t="shared" si="82"/>
        <v>2800</v>
      </c>
      <c r="Q336" s="29">
        <f t="shared" si="83"/>
        <v>42800</v>
      </c>
      <c r="R336" s="30">
        <v>7100</v>
      </c>
      <c r="S336" s="587" t="s">
        <v>2696</v>
      </c>
      <c r="T336" s="32">
        <f>O336-R336</f>
        <v>32900</v>
      </c>
      <c r="U336" s="33">
        <v>3</v>
      </c>
      <c r="V336" s="34">
        <f>T336*U336/100</f>
        <v>987</v>
      </c>
      <c r="W336" s="35">
        <f>T336-V336</f>
        <v>31913</v>
      </c>
      <c r="X336" s="36">
        <v>0.24</v>
      </c>
      <c r="Y336" s="36">
        <f>W336*X336/100</f>
        <v>76.591200000000001</v>
      </c>
      <c r="Z336" s="37">
        <v>0.2</v>
      </c>
      <c r="AA336" s="38">
        <f>W336*Z336/100</f>
        <v>63.826000000000001</v>
      </c>
      <c r="AB336" s="40">
        <v>19110451</v>
      </c>
      <c r="AC336" s="41">
        <v>40000</v>
      </c>
      <c r="AD336" s="63">
        <f t="shared" si="80"/>
        <v>2800</v>
      </c>
      <c r="AE336" s="63">
        <f t="shared" si="81"/>
        <v>42800</v>
      </c>
      <c r="AF336" s="53">
        <v>43775</v>
      </c>
      <c r="AG336" s="39" t="s">
        <v>869</v>
      </c>
      <c r="AH336" s="39"/>
      <c r="AI336" s="39"/>
      <c r="AJ336" s="21" t="s">
        <v>3338</v>
      </c>
      <c r="AK336" s="902">
        <v>1</v>
      </c>
      <c r="AL336" s="45" t="s">
        <v>1533</v>
      </c>
      <c r="AM336" s="46"/>
      <c r="AN336" s="46" t="s">
        <v>869</v>
      </c>
      <c r="AO336" s="47">
        <v>1</v>
      </c>
      <c r="AP336" s="48" t="s">
        <v>634</v>
      </c>
      <c r="AQ336" s="902">
        <v>2</v>
      </c>
      <c r="AR336" s="40" t="s">
        <v>648</v>
      </c>
      <c r="AS336" s="47"/>
      <c r="AT336" s="47" t="s">
        <v>869</v>
      </c>
      <c r="AU336" s="47">
        <v>1</v>
      </c>
      <c r="AV336" s="49" t="s">
        <v>634</v>
      </c>
      <c r="AW336" s="918"/>
      <c r="AX336" s="54"/>
      <c r="AY336" s="918"/>
      <c r="AZ336" s="918"/>
      <c r="BA336" s="918"/>
      <c r="BB336" s="54"/>
      <c r="BC336" s="918"/>
      <c r="BD336" s="54"/>
      <c r="BE336" s="918"/>
      <c r="BF336" s="918"/>
      <c r="BG336" s="918"/>
      <c r="BH336" s="54"/>
      <c r="BI336" s="918"/>
      <c r="BJ336" s="54"/>
      <c r="BK336" s="918"/>
      <c r="BL336" s="918"/>
      <c r="BM336" s="918"/>
      <c r="BN336" s="54"/>
      <c r="BO336" s="918"/>
      <c r="BP336" s="54"/>
      <c r="BQ336" s="918"/>
      <c r="BR336" s="918"/>
      <c r="BS336" s="918"/>
      <c r="BT336" s="54"/>
      <c r="BU336" s="918"/>
      <c r="BV336" s="54"/>
      <c r="BW336" s="918"/>
      <c r="BX336" s="918"/>
      <c r="BY336" s="918"/>
      <c r="BZ336" s="54"/>
      <c r="CA336" s="918"/>
      <c r="CB336" s="54"/>
      <c r="CC336" s="918"/>
      <c r="CD336" s="918"/>
      <c r="CE336" s="918"/>
      <c r="CF336" s="918"/>
    </row>
    <row r="337" spans="1:84" x14ac:dyDescent="0.5">
      <c r="A337" s="21">
        <v>19066264</v>
      </c>
      <c r="B337" s="22">
        <v>19060582</v>
      </c>
      <c r="C337" s="55"/>
      <c r="D337" s="56"/>
      <c r="E337" s="910"/>
      <c r="F337" s="57"/>
      <c r="G337" s="58"/>
      <c r="H337" s="59"/>
      <c r="I337" s="60"/>
      <c r="J337" s="269"/>
      <c r="K337" s="59"/>
      <c r="L337" s="22" t="s">
        <v>448</v>
      </c>
      <c r="M337" s="28" t="s">
        <v>2317</v>
      </c>
      <c r="N337" s="22" t="s">
        <v>51</v>
      </c>
      <c r="O337" s="29">
        <v>15750</v>
      </c>
      <c r="P337" s="29">
        <f t="shared" si="82"/>
        <v>1102.5</v>
      </c>
      <c r="Q337" s="29">
        <f t="shared" si="83"/>
        <v>16852.5</v>
      </c>
      <c r="R337" s="61"/>
      <c r="S337" s="96"/>
      <c r="T337" s="97"/>
      <c r="U337" s="98"/>
      <c r="V337" s="99"/>
      <c r="W337" s="100"/>
      <c r="X337" s="99"/>
      <c r="Y337" s="99"/>
      <c r="Z337" s="100"/>
      <c r="AA337" s="101"/>
      <c r="AB337" s="40"/>
      <c r="AC337" s="41"/>
      <c r="AD337" s="42"/>
      <c r="AE337" s="42"/>
      <c r="AF337" s="43"/>
      <c r="AG337" s="39"/>
      <c r="AH337" s="39"/>
      <c r="AI337" s="39"/>
      <c r="AJ337" s="21"/>
      <c r="AK337" s="902">
        <v>1</v>
      </c>
      <c r="AL337" s="45" t="s">
        <v>2318</v>
      </c>
      <c r="AM337" s="46"/>
      <c r="AN337" s="46"/>
      <c r="AO337" s="47">
        <v>1</v>
      </c>
      <c r="AP337" s="48" t="s">
        <v>628</v>
      </c>
      <c r="AQ337" s="918"/>
      <c r="AR337" s="54"/>
      <c r="AS337" s="918"/>
      <c r="AT337" s="918"/>
      <c r="AU337" s="918"/>
      <c r="AV337" s="54"/>
      <c r="AW337" s="918"/>
      <c r="AX337" s="54"/>
      <c r="AY337" s="918"/>
      <c r="AZ337" s="918"/>
      <c r="BA337" s="918"/>
      <c r="BB337" s="54"/>
      <c r="BC337" s="918"/>
      <c r="BD337" s="54"/>
      <c r="BE337" s="918"/>
      <c r="BF337" s="918"/>
      <c r="BG337" s="918"/>
      <c r="BH337" s="54"/>
      <c r="BI337" s="918"/>
      <c r="BJ337" s="54"/>
      <c r="BK337" s="918"/>
      <c r="BL337" s="918"/>
      <c r="BM337" s="918"/>
      <c r="BN337" s="54"/>
      <c r="BO337" s="918"/>
      <c r="BP337" s="54"/>
      <c r="BQ337" s="918"/>
      <c r="BR337" s="918"/>
      <c r="BS337" s="918"/>
      <c r="BT337" s="54"/>
      <c r="BU337" s="918"/>
      <c r="BV337" s="54"/>
      <c r="BW337" s="918"/>
      <c r="BX337" s="918"/>
      <c r="BY337" s="918"/>
      <c r="BZ337" s="54"/>
      <c r="CA337" s="918"/>
      <c r="CB337" s="54"/>
      <c r="CC337" s="918"/>
      <c r="CD337" s="918"/>
      <c r="CE337" s="918"/>
      <c r="CF337" s="918"/>
    </row>
    <row r="338" spans="1:84" s="1114" customFormat="1" x14ac:dyDescent="0.5">
      <c r="A338" s="70">
        <v>19066263</v>
      </c>
      <c r="B338" s="68">
        <v>19060578</v>
      </c>
      <c r="C338" s="67" t="s">
        <v>2319</v>
      </c>
      <c r="D338" s="68" t="s">
        <v>1323</v>
      </c>
      <c r="E338" s="328"/>
      <c r="F338" s="934"/>
      <c r="G338" s="935"/>
      <c r="H338" s="68"/>
      <c r="I338" s="1092"/>
      <c r="J338" s="1093"/>
      <c r="K338" s="1094"/>
      <c r="L338" s="68" t="s">
        <v>2320</v>
      </c>
      <c r="M338" s="1095" t="s">
        <v>2321</v>
      </c>
      <c r="N338" s="68" t="s">
        <v>1523</v>
      </c>
      <c r="O338" s="73">
        <v>1950000</v>
      </c>
      <c r="P338" s="73">
        <f t="shared" si="82"/>
        <v>136500</v>
      </c>
      <c r="Q338" s="73">
        <f t="shared" si="83"/>
        <v>2086500</v>
      </c>
      <c r="R338" s="1096"/>
      <c r="S338" s="1097" t="s">
        <v>1310</v>
      </c>
      <c r="T338" s="1098">
        <f>O338</f>
        <v>1950000</v>
      </c>
      <c r="U338" s="1099">
        <v>5</v>
      </c>
      <c r="V338" s="1100">
        <f>T338*U338/100</f>
        <v>97500</v>
      </c>
      <c r="W338" s="1101">
        <f>T338-V338</f>
        <v>1852500</v>
      </c>
      <c r="X338" s="1101">
        <v>0.2</v>
      </c>
      <c r="Y338" s="1101">
        <f>W338*X338/100</f>
        <v>3705</v>
      </c>
      <c r="Z338" s="1102">
        <v>0.2</v>
      </c>
      <c r="AA338" s="1103">
        <f>W338*Z338/100</f>
        <v>3705</v>
      </c>
      <c r="AB338" s="1094"/>
      <c r="AC338" s="1104"/>
      <c r="AD338" s="1105"/>
      <c r="AE338" s="1105"/>
      <c r="AF338" s="1106"/>
      <c r="AG338" s="1107"/>
      <c r="AH338" s="1107"/>
      <c r="AI338" s="1107"/>
      <c r="AJ338" s="70" t="s">
        <v>2748</v>
      </c>
      <c r="AK338" s="1108">
        <v>1</v>
      </c>
      <c r="AL338" s="1109" t="s">
        <v>2322</v>
      </c>
      <c r="AM338" s="1110"/>
      <c r="AN338" s="1110" t="s">
        <v>869</v>
      </c>
      <c r="AO338" s="1111">
        <v>1</v>
      </c>
      <c r="AP338" s="1112" t="s">
        <v>634</v>
      </c>
      <c r="AQ338" s="1108"/>
      <c r="AR338" s="1113"/>
      <c r="AS338" s="1108"/>
      <c r="AT338" s="1108"/>
      <c r="AU338" s="1108"/>
      <c r="AV338" s="1113"/>
      <c r="AW338" s="1108"/>
      <c r="AX338" s="1113"/>
      <c r="AY338" s="1108"/>
      <c r="AZ338" s="1108"/>
      <c r="BA338" s="1108"/>
      <c r="BB338" s="1113"/>
      <c r="BC338" s="1108"/>
      <c r="BD338" s="1113"/>
      <c r="BE338" s="1108"/>
      <c r="BF338" s="1108"/>
      <c r="BG338" s="1108"/>
      <c r="BH338" s="1113"/>
      <c r="BI338" s="1108"/>
      <c r="BJ338" s="1113"/>
      <c r="BK338" s="1108"/>
      <c r="BL338" s="1108"/>
      <c r="BM338" s="1108"/>
      <c r="BN338" s="1113"/>
      <c r="BO338" s="1108"/>
      <c r="BP338" s="1113"/>
      <c r="BQ338" s="1108"/>
      <c r="BR338" s="1108"/>
      <c r="BS338" s="1108"/>
      <c r="BT338" s="1113"/>
      <c r="BU338" s="1108"/>
      <c r="BV338" s="1113"/>
      <c r="BW338" s="1108"/>
      <c r="BX338" s="1108"/>
      <c r="BY338" s="1108"/>
      <c r="BZ338" s="1113"/>
      <c r="CA338" s="1108"/>
      <c r="CB338" s="1113"/>
      <c r="CC338" s="1108"/>
      <c r="CD338" s="1108"/>
      <c r="CE338" s="1108"/>
      <c r="CF338" s="1108"/>
    </row>
    <row r="339" spans="1:84" x14ac:dyDescent="0.5">
      <c r="A339" s="227">
        <v>19066262</v>
      </c>
      <c r="B339" s="22">
        <v>19060581</v>
      </c>
      <c r="C339" s="23" t="s">
        <v>1734</v>
      </c>
      <c r="D339" s="24" t="s">
        <v>1323</v>
      </c>
      <c r="E339" s="884">
        <v>43658</v>
      </c>
      <c r="F339" s="932" t="s">
        <v>1324</v>
      </c>
      <c r="G339" s="933" t="s">
        <v>2301</v>
      </c>
      <c r="H339" s="62">
        <v>43657</v>
      </c>
      <c r="I339" s="27">
        <v>19195</v>
      </c>
      <c r="J339" s="931" t="s">
        <v>869</v>
      </c>
      <c r="K339" s="957">
        <v>43658</v>
      </c>
      <c r="L339" s="22" t="s">
        <v>1221</v>
      </c>
      <c r="M339" s="28" t="s">
        <v>2307</v>
      </c>
      <c r="N339" s="22" t="s">
        <v>51</v>
      </c>
      <c r="O339" s="29">
        <v>110600</v>
      </c>
      <c r="P339" s="29">
        <f t="shared" ref="P339:P347" si="84">O339*7/100</f>
        <v>7742</v>
      </c>
      <c r="Q339" s="29">
        <f t="shared" ref="Q339:Q347" si="85">O339+P339</f>
        <v>118342</v>
      </c>
      <c r="R339" s="61"/>
      <c r="S339" s="96"/>
      <c r="T339" s="97"/>
      <c r="U339" s="98"/>
      <c r="V339" s="99"/>
      <c r="W339" s="100"/>
      <c r="X339" s="99"/>
      <c r="Y339" s="99"/>
      <c r="Z339" s="100"/>
      <c r="AA339" s="101"/>
      <c r="AB339" s="40">
        <v>19070250</v>
      </c>
      <c r="AC339" s="41">
        <v>110600</v>
      </c>
      <c r="AD339" s="52">
        <f t="shared" ref="AD339:AD344" si="86">AC339*7/100</f>
        <v>7742</v>
      </c>
      <c r="AE339" s="52">
        <f t="shared" ref="AE339:AE344" si="87">AC339+AD339</f>
        <v>118342</v>
      </c>
      <c r="AF339" s="53">
        <v>43709</v>
      </c>
      <c r="AG339" s="39" t="s">
        <v>869</v>
      </c>
      <c r="AH339" s="39"/>
      <c r="AI339" s="39"/>
      <c r="AJ339" s="21" t="s">
        <v>2869</v>
      </c>
      <c r="AK339" s="902">
        <v>1</v>
      </c>
      <c r="AL339" s="45" t="s">
        <v>2019</v>
      </c>
      <c r="AM339" s="46" t="s">
        <v>869</v>
      </c>
      <c r="AN339" s="46"/>
      <c r="AO339" s="47">
        <v>1</v>
      </c>
      <c r="AP339" s="48" t="s">
        <v>635</v>
      </c>
      <c r="AQ339" s="903"/>
      <c r="AR339" s="54"/>
      <c r="AS339" s="903"/>
      <c r="AT339" s="903"/>
      <c r="AU339" s="903"/>
      <c r="AV339" s="54"/>
      <c r="AW339" s="903"/>
      <c r="AX339" s="54"/>
      <c r="AY339" s="903"/>
      <c r="AZ339" s="903"/>
      <c r="BA339" s="903"/>
      <c r="BB339" s="54"/>
      <c r="BC339" s="903"/>
      <c r="BD339" s="54"/>
      <c r="BE339" s="903"/>
      <c r="BF339" s="903"/>
      <c r="BG339" s="903"/>
      <c r="BH339" s="54"/>
      <c r="BI339" s="903"/>
      <c r="BJ339" s="54"/>
      <c r="BK339" s="903"/>
      <c r="BL339" s="903"/>
      <c r="BM339" s="903"/>
      <c r="BN339" s="54"/>
      <c r="BO339" s="903"/>
      <c r="BP339" s="54"/>
      <c r="BQ339" s="903"/>
      <c r="BR339" s="903"/>
      <c r="BS339" s="903"/>
      <c r="BT339" s="54"/>
      <c r="BU339" s="903"/>
      <c r="BV339" s="54"/>
      <c r="BW339" s="903"/>
      <c r="BX339" s="903"/>
      <c r="BY339" s="903"/>
      <c r="BZ339" s="54"/>
      <c r="CA339" s="903"/>
      <c r="CB339" s="54"/>
      <c r="CC339" s="903"/>
      <c r="CD339" s="903"/>
      <c r="CE339" s="903"/>
      <c r="CF339" s="903"/>
    </row>
    <row r="340" spans="1:84" x14ac:dyDescent="0.5">
      <c r="A340" s="103">
        <v>19066261</v>
      </c>
      <c r="B340" s="104">
        <v>19060575</v>
      </c>
      <c r="C340" s="105" t="s">
        <v>2303</v>
      </c>
      <c r="D340" s="106" t="s">
        <v>1323</v>
      </c>
      <c r="E340" s="302">
        <v>43676</v>
      </c>
      <c r="F340" s="936" t="s">
        <v>1324</v>
      </c>
      <c r="G340" s="937" t="s">
        <v>2374</v>
      </c>
      <c r="H340" s="122">
        <v>43678</v>
      </c>
      <c r="I340" s="109">
        <v>19215</v>
      </c>
      <c r="J340" s="960" t="s">
        <v>869</v>
      </c>
      <c r="K340" s="965">
        <v>43679</v>
      </c>
      <c r="L340" s="104" t="s">
        <v>2304</v>
      </c>
      <c r="M340" s="110" t="s">
        <v>2305</v>
      </c>
      <c r="N340" s="104" t="s">
        <v>50</v>
      </c>
      <c r="O340" s="111">
        <v>320000</v>
      </c>
      <c r="P340" s="111">
        <f t="shared" si="84"/>
        <v>22400</v>
      </c>
      <c r="Q340" s="111">
        <f t="shared" si="85"/>
        <v>342400</v>
      </c>
      <c r="R340" s="1009"/>
      <c r="S340" s="1010"/>
      <c r="T340" s="1011"/>
      <c r="U340" s="1012"/>
      <c r="V340" s="1013"/>
      <c r="W340" s="1014"/>
      <c r="X340" s="1013"/>
      <c r="Y340" s="1013"/>
      <c r="Z340" s="1014"/>
      <c r="AA340" s="1015"/>
      <c r="AB340" s="229" t="s">
        <v>2340</v>
      </c>
      <c r="AC340" s="230">
        <v>96000</v>
      </c>
      <c r="AD340" s="220">
        <f t="shared" si="86"/>
        <v>6720</v>
      </c>
      <c r="AE340" s="220">
        <f t="shared" si="87"/>
        <v>102720</v>
      </c>
      <c r="AF340" s="221">
        <v>43649</v>
      </c>
      <c r="AG340" s="121" t="s">
        <v>869</v>
      </c>
      <c r="AH340" s="121"/>
      <c r="AI340" s="121"/>
      <c r="AJ340" s="222" t="s">
        <v>2749</v>
      </c>
      <c r="AK340" s="128">
        <v>1</v>
      </c>
      <c r="AL340" s="129" t="s">
        <v>2306</v>
      </c>
      <c r="AM340" s="130" t="s">
        <v>869</v>
      </c>
      <c r="AN340" s="130"/>
      <c r="AO340" s="131">
        <v>1</v>
      </c>
      <c r="AP340" s="132" t="s">
        <v>1882</v>
      </c>
      <c r="AQ340" s="128"/>
      <c r="AR340" s="133"/>
      <c r="AS340" s="128"/>
      <c r="AT340" s="128"/>
      <c r="AU340" s="128"/>
      <c r="AV340" s="133"/>
      <c r="AW340" s="128"/>
      <c r="AX340" s="133"/>
      <c r="AY340" s="128"/>
      <c r="AZ340" s="128"/>
      <c r="BA340" s="128"/>
      <c r="BB340" s="133"/>
      <c r="BC340" s="128"/>
      <c r="BD340" s="133"/>
      <c r="BE340" s="128"/>
      <c r="BF340" s="128"/>
      <c r="BG340" s="128"/>
      <c r="BH340" s="133"/>
      <c r="BI340" s="128"/>
      <c r="BJ340" s="133"/>
      <c r="BK340" s="128"/>
      <c r="BL340" s="128"/>
      <c r="BM340" s="128"/>
      <c r="BN340" s="133"/>
      <c r="BO340" s="128"/>
      <c r="BP340" s="133"/>
      <c r="BQ340" s="128"/>
      <c r="BR340" s="128"/>
      <c r="BS340" s="128"/>
      <c r="BT340" s="133"/>
      <c r="BU340" s="128"/>
      <c r="BV340" s="133"/>
      <c r="BW340" s="128"/>
      <c r="BX340" s="128"/>
      <c r="BY340" s="128"/>
      <c r="BZ340" s="133"/>
      <c r="CA340" s="128"/>
      <c r="CB340" s="133"/>
      <c r="CC340" s="128"/>
      <c r="CD340" s="128"/>
      <c r="CE340" s="128"/>
      <c r="CF340" s="128"/>
    </row>
    <row r="341" spans="1:84" x14ac:dyDescent="0.5">
      <c r="A341" s="180"/>
      <c r="B341" s="181"/>
      <c r="C341" s="182"/>
      <c r="D341" s="183"/>
      <c r="E341" s="749"/>
      <c r="F341" s="938"/>
      <c r="G341" s="939"/>
      <c r="H341" s="186"/>
      <c r="I341" s="187"/>
      <c r="J341" s="961"/>
      <c r="K341" s="966"/>
      <c r="L341" s="181"/>
      <c r="M341" s="188"/>
      <c r="N341" s="181"/>
      <c r="O341" s="189"/>
      <c r="P341" s="189"/>
      <c r="Q341" s="189"/>
      <c r="R341" s="1002"/>
      <c r="S341" s="1003"/>
      <c r="T341" s="1004"/>
      <c r="U341" s="1005"/>
      <c r="V341" s="1006"/>
      <c r="W341" s="1007"/>
      <c r="X341" s="1006"/>
      <c r="Y341" s="1006"/>
      <c r="Z341" s="1007"/>
      <c r="AA341" s="1008"/>
      <c r="AB341" s="200" t="s">
        <v>2554</v>
      </c>
      <c r="AC341" s="201">
        <v>192000</v>
      </c>
      <c r="AD341" s="202">
        <f t="shared" si="86"/>
        <v>13440</v>
      </c>
      <c r="AE341" s="202">
        <f t="shared" si="87"/>
        <v>205440</v>
      </c>
      <c r="AF341" s="203">
        <v>43684</v>
      </c>
      <c r="AG341" s="199" t="s">
        <v>869</v>
      </c>
      <c r="AH341" s="199"/>
      <c r="AI341" s="199"/>
      <c r="AJ341" s="180" t="s">
        <v>2705</v>
      </c>
      <c r="AK341" s="204"/>
      <c r="AL341" s="205"/>
      <c r="AM341" s="206"/>
      <c r="AN341" s="206"/>
      <c r="AO341" s="207"/>
      <c r="AP341" s="208"/>
      <c r="AQ341" s="204"/>
      <c r="AR341" s="210"/>
      <c r="AS341" s="204"/>
      <c r="AT341" s="204"/>
      <c r="AU341" s="204"/>
      <c r="AV341" s="210"/>
      <c r="AW341" s="204"/>
      <c r="AX341" s="210"/>
      <c r="AY341" s="204"/>
      <c r="AZ341" s="204"/>
      <c r="BA341" s="204"/>
      <c r="BB341" s="210"/>
      <c r="BC341" s="204"/>
      <c r="BD341" s="210"/>
      <c r="BE341" s="204"/>
      <c r="BF341" s="204"/>
      <c r="BG341" s="204"/>
      <c r="BH341" s="210"/>
      <c r="BI341" s="204"/>
      <c r="BJ341" s="210"/>
      <c r="BK341" s="204"/>
      <c r="BL341" s="204"/>
      <c r="BM341" s="204"/>
      <c r="BN341" s="210"/>
      <c r="BO341" s="204"/>
      <c r="BP341" s="210"/>
      <c r="BQ341" s="204"/>
      <c r="BR341" s="204"/>
      <c r="BS341" s="204"/>
      <c r="BT341" s="210"/>
      <c r="BU341" s="204"/>
      <c r="BV341" s="210"/>
      <c r="BW341" s="204"/>
      <c r="BX341" s="204"/>
      <c r="BY341" s="204"/>
      <c r="BZ341" s="210"/>
      <c r="CA341" s="204"/>
      <c r="CB341" s="210"/>
      <c r="CC341" s="204"/>
      <c r="CD341" s="204"/>
      <c r="CE341" s="204"/>
      <c r="CF341" s="204"/>
    </row>
    <row r="342" spans="1:84" x14ac:dyDescent="0.5">
      <c r="A342" s="227">
        <v>19066260</v>
      </c>
      <c r="B342" s="22">
        <v>19060563</v>
      </c>
      <c r="C342" s="55"/>
      <c r="D342" s="56"/>
      <c r="E342" s="910"/>
      <c r="F342" s="57"/>
      <c r="G342" s="58"/>
      <c r="H342" s="59"/>
      <c r="I342" s="60"/>
      <c r="J342" s="931" t="s">
        <v>869</v>
      </c>
      <c r="K342" s="957">
        <v>43637</v>
      </c>
      <c r="L342" s="22" t="s">
        <v>1546</v>
      </c>
      <c r="M342" s="28" t="s">
        <v>2294</v>
      </c>
      <c r="N342" s="22" t="s">
        <v>1523</v>
      </c>
      <c r="O342" s="29">
        <v>1200</v>
      </c>
      <c r="P342" s="29">
        <f t="shared" si="84"/>
        <v>84</v>
      </c>
      <c r="Q342" s="29">
        <f t="shared" si="85"/>
        <v>1284</v>
      </c>
      <c r="R342" s="61"/>
      <c r="S342" s="96"/>
      <c r="T342" s="97"/>
      <c r="U342" s="98"/>
      <c r="V342" s="99"/>
      <c r="W342" s="35">
        <f>O342</f>
        <v>1200</v>
      </c>
      <c r="X342" s="36">
        <v>1</v>
      </c>
      <c r="Y342" s="36">
        <f t="shared" ref="Y342:Y349" si="88">W342*X342/100</f>
        <v>12</v>
      </c>
      <c r="Z342" s="100"/>
      <c r="AA342" s="101"/>
      <c r="AB342" s="40">
        <v>19060225</v>
      </c>
      <c r="AC342" s="41">
        <v>1200</v>
      </c>
      <c r="AD342" s="52">
        <f t="shared" si="86"/>
        <v>84</v>
      </c>
      <c r="AE342" s="52">
        <f t="shared" si="87"/>
        <v>1284</v>
      </c>
      <c r="AF342" s="53">
        <v>43675</v>
      </c>
      <c r="AG342" s="39" t="s">
        <v>869</v>
      </c>
      <c r="AH342" s="39"/>
      <c r="AI342" s="39"/>
      <c r="AJ342" s="21" t="s">
        <v>2593</v>
      </c>
      <c r="AK342" s="901">
        <v>1</v>
      </c>
      <c r="AL342" s="45" t="s">
        <v>649</v>
      </c>
      <c r="AM342" s="46"/>
      <c r="AN342" s="46"/>
      <c r="AO342" s="47">
        <v>1</v>
      </c>
      <c r="AP342" s="48" t="s">
        <v>628</v>
      </c>
      <c r="AQ342" s="902"/>
      <c r="AR342" s="54"/>
      <c r="AS342" s="902"/>
      <c r="AT342" s="902"/>
      <c r="AU342" s="902"/>
      <c r="AV342" s="54"/>
      <c r="AW342" s="902"/>
      <c r="AX342" s="54"/>
      <c r="AY342" s="902"/>
      <c r="AZ342" s="902"/>
      <c r="BA342" s="902"/>
      <c r="BB342" s="54"/>
      <c r="BC342" s="902"/>
      <c r="BD342" s="54"/>
      <c r="BE342" s="902"/>
      <c r="BF342" s="902"/>
      <c r="BG342" s="902"/>
      <c r="BH342" s="54"/>
      <c r="BI342" s="902"/>
      <c r="BJ342" s="54"/>
      <c r="BK342" s="902"/>
      <c r="BL342" s="902"/>
      <c r="BM342" s="902"/>
      <c r="BN342" s="54"/>
      <c r="BO342" s="902"/>
      <c r="BP342" s="54"/>
      <c r="BQ342" s="902"/>
      <c r="BR342" s="902"/>
      <c r="BS342" s="902"/>
      <c r="BT342" s="54"/>
      <c r="BU342" s="902"/>
      <c r="BV342" s="54"/>
      <c r="BW342" s="902"/>
      <c r="BX342" s="902"/>
      <c r="BY342" s="902"/>
      <c r="BZ342" s="54"/>
      <c r="CA342" s="902"/>
      <c r="CB342" s="54"/>
      <c r="CC342" s="902"/>
      <c r="CD342" s="902"/>
      <c r="CE342" s="902"/>
      <c r="CF342" s="902"/>
    </row>
    <row r="343" spans="1:84" x14ac:dyDescent="0.5">
      <c r="A343" s="227">
        <v>19066259</v>
      </c>
      <c r="B343" s="22">
        <v>19060571</v>
      </c>
      <c r="C343" s="55"/>
      <c r="D343" s="56"/>
      <c r="E343" s="910"/>
      <c r="F343" s="57"/>
      <c r="G343" s="58"/>
      <c r="H343" s="59"/>
      <c r="I343" s="60"/>
      <c r="J343" s="931" t="s">
        <v>869</v>
      </c>
      <c r="K343" s="957">
        <v>43641</v>
      </c>
      <c r="L343" s="22" t="s">
        <v>2292</v>
      </c>
      <c r="M343" s="28" t="s">
        <v>2295</v>
      </c>
      <c r="N343" s="22" t="s">
        <v>50</v>
      </c>
      <c r="O343" s="29">
        <v>1650</v>
      </c>
      <c r="P343" s="29">
        <f t="shared" si="84"/>
        <v>115.5</v>
      </c>
      <c r="Q343" s="29">
        <f t="shared" si="85"/>
        <v>1765.5</v>
      </c>
      <c r="R343" s="61"/>
      <c r="S343" s="96"/>
      <c r="T343" s="97"/>
      <c r="U343" s="98"/>
      <c r="V343" s="99"/>
      <c r="W343" s="35">
        <f>O343</f>
        <v>1650</v>
      </c>
      <c r="X343" s="36">
        <v>1</v>
      </c>
      <c r="Y343" s="36">
        <f t="shared" si="88"/>
        <v>16.5</v>
      </c>
      <c r="Z343" s="100"/>
      <c r="AA343" s="101"/>
      <c r="AB343" s="40">
        <v>19060224</v>
      </c>
      <c r="AC343" s="41">
        <v>1650</v>
      </c>
      <c r="AD343" s="42">
        <f t="shared" si="86"/>
        <v>115.5</v>
      </c>
      <c r="AE343" s="64">
        <f t="shared" si="87"/>
        <v>1765.5</v>
      </c>
      <c r="AF343" s="53">
        <v>43645</v>
      </c>
      <c r="AG343" s="39" t="s">
        <v>869</v>
      </c>
      <c r="AH343" s="39"/>
      <c r="AI343" s="39"/>
      <c r="AJ343" s="21" t="s">
        <v>2350</v>
      </c>
      <c r="AK343" s="901">
        <v>1</v>
      </c>
      <c r="AL343" s="45" t="s">
        <v>2293</v>
      </c>
      <c r="AM343" s="46"/>
      <c r="AN343" s="46"/>
      <c r="AO343" s="47">
        <v>3</v>
      </c>
      <c r="AP343" s="48" t="s">
        <v>628</v>
      </c>
      <c r="AQ343" s="902"/>
      <c r="AR343" s="54"/>
      <c r="AS343" s="902"/>
      <c r="AT343" s="902"/>
      <c r="AU343" s="902"/>
      <c r="AV343" s="54"/>
      <c r="AW343" s="902"/>
      <c r="AX343" s="54"/>
      <c r="AY343" s="902"/>
      <c r="AZ343" s="902"/>
      <c r="BA343" s="902"/>
      <c r="BB343" s="54"/>
      <c r="BC343" s="902"/>
      <c r="BD343" s="54"/>
      <c r="BE343" s="902"/>
      <c r="BF343" s="902"/>
      <c r="BG343" s="902"/>
      <c r="BH343" s="54"/>
      <c r="BI343" s="902"/>
      <c r="BJ343" s="54"/>
      <c r="BK343" s="902"/>
      <c r="BL343" s="902"/>
      <c r="BM343" s="902"/>
      <c r="BN343" s="54"/>
      <c r="BO343" s="902"/>
      <c r="BP343" s="54"/>
      <c r="BQ343" s="902"/>
      <c r="BR343" s="902"/>
      <c r="BS343" s="902"/>
      <c r="BT343" s="54"/>
      <c r="BU343" s="902"/>
      <c r="BV343" s="54"/>
      <c r="BW343" s="902"/>
      <c r="BX343" s="902"/>
      <c r="BY343" s="902"/>
      <c r="BZ343" s="54"/>
      <c r="CA343" s="902"/>
      <c r="CB343" s="54"/>
      <c r="CC343" s="902"/>
      <c r="CD343" s="902"/>
      <c r="CE343" s="902"/>
      <c r="CF343" s="902"/>
    </row>
    <row r="344" spans="1:84" x14ac:dyDescent="0.5">
      <c r="A344" s="259">
        <v>19066258</v>
      </c>
      <c r="B344" s="104">
        <v>19060574</v>
      </c>
      <c r="C344" s="105" t="s">
        <v>2296</v>
      </c>
      <c r="D344" s="106" t="s">
        <v>1323</v>
      </c>
      <c r="E344" s="302">
        <v>43665</v>
      </c>
      <c r="F344" s="936" t="s">
        <v>3368</v>
      </c>
      <c r="G344" s="937" t="s">
        <v>1425</v>
      </c>
      <c r="H344" s="122">
        <v>43878</v>
      </c>
      <c r="I344" s="109">
        <v>63048</v>
      </c>
      <c r="J344" s="960" t="s">
        <v>869</v>
      </c>
      <c r="K344" s="965">
        <v>43879</v>
      </c>
      <c r="L344" s="104" t="s">
        <v>2298</v>
      </c>
      <c r="M344" s="110" t="s">
        <v>162</v>
      </c>
      <c r="N344" s="104" t="s">
        <v>50</v>
      </c>
      <c r="O344" s="111">
        <v>65000</v>
      </c>
      <c r="P344" s="111">
        <f t="shared" si="84"/>
        <v>4550</v>
      </c>
      <c r="Q344" s="111">
        <f t="shared" si="85"/>
        <v>69550</v>
      </c>
      <c r="R344" s="212"/>
      <c r="S344" s="113" t="s">
        <v>2323</v>
      </c>
      <c r="T344" s="114">
        <f>O344</f>
        <v>65000</v>
      </c>
      <c r="U344" s="115">
        <v>5</v>
      </c>
      <c r="V344" s="116">
        <f>T344*U344/100</f>
        <v>3250</v>
      </c>
      <c r="W344" s="117">
        <f>T344-V344</f>
        <v>61750</v>
      </c>
      <c r="X344" s="118">
        <v>0.27</v>
      </c>
      <c r="Y344" s="118">
        <f t="shared" si="88"/>
        <v>166.72499999999999</v>
      </c>
      <c r="Z344" s="119">
        <v>0.2</v>
      </c>
      <c r="AA344" s="120">
        <f>W344*Z344/100</f>
        <v>123.5</v>
      </c>
      <c r="AB344" s="123">
        <v>20020051</v>
      </c>
      <c r="AC344" s="124">
        <v>65000</v>
      </c>
      <c r="AD344" s="260">
        <f t="shared" si="86"/>
        <v>4550</v>
      </c>
      <c r="AE344" s="260">
        <f t="shared" si="87"/>
        <v>69550</v>
      </c>
      <c r="AF344" s="126">
        <v>43917</v>
      </c>
      <c r="AG344" s="127" t="s">
        <v>869</v>
      </c>
      <c r="AH344" s="127"/>
      <c r="AI344" s="127"/>
      <c r="AJ344" s="103" t="s">
        <v>4034</v>
      </c>
      <c r="AK344" s="128">
        <v>1</v>
      </c>
      <c r="AL344" s="129" t="s">
        <v>650</v>
      </c>
      <c r="AM344" s="130"/>
      <c r="AN344" s="130" t="s">
        <v>869</v>
      </c>
      <c r="AO344" s="131">
        <v>2</v>
      </c>
      <c r="AP344" s="132" t="s">
        <v>634</v>
      </c>
      <c r="AQ344" s="128">
        <v>2</v>
      </c>
      <c r="AR344" s="123" t="s">
        <v>715</v>
      </c>
      <c r="AS344" s="131"/>
      <c r="AT344" s="131" t="s">
        <v>869</v>
      </c>
      <c r="AU344" s="131">
        <v>1</v>
      </c>
      <c r="AV344" s="169" t="s">
        <v>634</v>
      </c>
      <c r="AW344" s="128"/>
      <c r="AX344" s="133"/>
      <c r="AY344" s="128"/>
      <c r="AZ344" s="128"/>
      <c r="BA344" s="128"/>
      <c r="BB344" s="133"/>
      <c r="BC344" s="128"/>
      <c r="BD344" s="133"/>
      <c r="BE344" s="128"/>
      <c r="BF344" s="128"/>
      <c r="BG344" s="128"/>
      <c r="BH344" s="133"/>
      <c r="BI344" s="128"/>
      <c r="BJ344" s="133"/>
      <c r="BK344" s="128"/>
      <c r="BL344" s="128"/>
      <c r="BM344" s="128"/>
      <c r="BN344" s="133"/>
      <c r="BO344" s="128"/>
      <c r="BP344" s="133"/>
      <c r="BQ344" s="128"/>
      <c r="BR344" s="128"/>
      <c r="BS344" s="128"/>
      <c r="BT344" s="133"/>
      <c r="BU344" s="128"/>
      <c r="BV344" s="133"/>
      <c r="BW344" s="128"/>
      <c r="BX344" s="128"/>
      <c r="BY344" s="128"/>
      <c r="BZ344" s="133"/>
      <c r="CA344" s="128"/>
      <c r="CB344" s="133"/>
      <c r="CC344" s="128"/>
      <c r="CD344" s="128"/>
      <c r="CE344" s="128"/>
      <c r="CF344" s="128"/>
    </row>
    <row r="345" spans="1:84" x14ac:dyDescent="0.5">
      <c r="A345" s="268"/>
      <c r="B345" s="181"/>
      <c r="C345" s="182"/>
      <c r="D345" s="183"/>
      <c r="E345" s="749"/>
      <c r="F345" s="938"/>
      <c r="G345" s="939"/>
      <c r="H345" s="186">
        <v>43878</v>
      </c>
      <c r="I345" s="187">
        <v>63049</v>
      </c>
      <c r="J345" s="961"/>
      <c r="K345" s="966"/>
      <c r="L345" s="181"/>
      <c r="M345" s="188"/>
      <c r="N345" s="181"/>
      <c r="O345" s="189"/>
      <c r="P345" s="189"/>
      <c r="Q345" s="189"/>
      <c r="R345" s="214"/>
      <c r="S345" s="215"/>
      <c r="T345" s="216"/>
      <c r="U345" s="217"/>
      <c r="V345" s="218"/>
      <c r="W345" s="195"/>
      <c r="X345" s="196"/>
      <c r="Y345" s="196"/>
      <c r="Z345" s="197"/>
      <c r="AA345" s="198"/>
      <c r="AB345" s="200"/>
      <c r="AC345" s="201"/>
      <c r="AD345" s="240"/>
      <c r="AE345" s="240"/>
      <c r="AF345" s="241"/>
      <c r="AG345" s="199"/>
      <c r="AH345" s="199"/>
      <c r="AI345" s="199"/>
      <c r="AJ345" s="180"/>
      <c r="AK345" s="204"/>
      <c r="AL345" s="205"/>
      <c r="AM345" s="206"/>
      <c r="AN345" s="206"/>
      <c r="AO345" s="207"/>
      <c r="AP345" s="208"/>
      <c r="AQ345" s="204"/>
      <c r="AR345" s="200"/>
      <c r="AS345" s="207"/>
      <c r="AT345" s="207"/>
      <c r="AU345" s="207"/>
      <c r="AV345" s="209"/>
      <c r="AW345" s="204"/>
      <c r="AX345" s="210"/>
      <c r="AY345" s="204"/>
      <c r="AZ345" s="204"/>
      <c r="BA345" s="204"/>
      <c r="BB345" s="210"/>
      <c r="BC345" s="204"/>
      <c r="BD345" s="210"/>
      <c r="BE345" s="204"/>
      <c r="BF345" s="204"/>
      <c r="BG345" s="204"/>
      <c r="BH345" s="210"/>
      <c r="BI345" s="204"/>
      <c r="BJ345" s="210"/>
      <c r="BK345" s="204"/>
      <c r="BL345" s="204"/>
      <c r="BM345" s="204"/>
      <c r="BN345" s="210"/>
      <c r="BO345" s="204"/>
      <c r="BP345" s="210"/>
      <c r="BQ345" s="204"/>
      <c r="BR345" s="204"/>
      <c r="BS345" s="204"/>
      <c r="BT345" s="210"/>
      <c r="BU345" s="204"/>
      <c r="BV345" s="210"/>
      <c r="BW345" s="204"/>
      <c r="BX345" s="204"/>
      <c r="BY345" s="204"/>
      <c r="BZ345" s="210"/>
      <c r="CA345" s="204"/>
      <c r="CB345" s="210"/>
      <c r="CC345" s="204"/>
      <c r="CD345" s="204"/>
      <c r="CE345" s="204"/>
      <c r="CF345" s="204"/>
    </row>
    <row r="346" spans="1:84" x14ac:dyDescent="0.5">
      <c r="A346" s="227">
        <v>19066257</v>
      </c>
      <c r="B346" s="22">
        <v>19060572</v>
      </c>
      <c r="C346" s="23" t="s">
        <v>2299</v>
      </c>
      <c r="D346" s="24" t="s">
        <v>1323</v>
      </c>
      <c r="E346" s="884">
        <v>43654</v>
      </c>
      <c r="F346" s="932" t="s">
        <v>1324</v>
      </c>
      <c r="G346" s="933" t="s">
        <v>2280</v>
      </c>
      <c r="H346" s="62">
        <v>43654</v>
      </c>
      <c r="I346" s="27">
        <v>19191</v>
      </c>
      <c r="J346" s="931" t="s">
        <v>869</v>
      </c>
      <c r="K346" s="957">
        <v>43654</v>
      </c>
      <c r="L346" s="22" t="s">
        <v>11</v>
      </c>
      <c r="M346" s="28" t="s">
        <v>2300</v>
      </c>
      <c r="N346" s="22" t="s">
        <v>50</v>
      </c>
      <c r="O346" s="29">
        <v>14250</v>
      </c>
      <c r="P346" s="29">
        <f t="shared" si="84"/>
        <v>997.5</v>
      </c>
      <c r="Q346" s="29">
        <f t="shared" si="85"/>
        <v>15247.5</v>
      </c>
      <c r="R346" s="61"/>
      <c r="S346" s="31" t="s">
        <v>2323</v>
      </c>
      <c r="T346" s="32">
        <f>O346</f>
        <v>14250</v>
      </c>
      <c r="U346" s="33">
        <v>5</v>
      </c>
      <c r="V346" s="34">
        <f>T346*U346/100</f>
        <v>712.5</v>
      </c>
      <c r="W346" s="35">
        <f>T346-V346</f>
        <v>13537.5</v>
      </c>
      <c r="X346" s="36">
        <v>0.5</v>
      </c>
      <c r="Y346" s="36">
        <f t="shared" si="88"/>
        <v>67.6875</v>
      </c>
      <c r="Z346" s="37">
        <v>0.2</v>
      </c>
      <c r="AA346" s="38">
        <f>W346*Z346/100</f>
        <v>27.074999999999999</v>
      </c>
      <c r="AB346" s="40">
        <v>19070249</v>
      </c>
      <c r="AC346" s="41">
        <v>14250</v>
      </c>
      <c r="AD346" s="52">
        <f>AC346*7/100</f>
        <v>997.5</v>
      </c>
      <c r="AE346" s="52">
        <f>AC346+AD346</f>
        <v>15247.5</v>
      </c>
      <c r="AF346" s="53">
        <v>43667</v>
      </c>
      <c r="AG346" s="39" t="s">
        <v>869</v>
      </c>
      <c r="AH346" s="39"/>
      <c r="AI346" s="39"/>
      <c r="AJ346" s="21" t="s">
        <v>2747</v>
      </c>
      <c r="AK346" s="893">
        <v>1</v>
      </c>
      <c r="AL346" s="45" t="s">
        <v>653</v>
      </c>
      <c r="AM346" s="46" t="s">
        <v>869</v>
      </c>
      <c r="AN346" s="46"/>
      <c r="AO346" s="47">
        <v>3</v>
      </c>
      <c r="AP346" s="48" t="s">
        <v>636</v>
      </c>
      <c r="AQ346" s="902"/>
      <c r="AR346" s="54"/>
      <c r="AS346" s="902"/>
      <c r="AT346" s="902"/>
      <c r="AU346" s="902"/>
      <c r="AV346" s="54"/>
      <c r="AW346" s="902"/>
      <c r="AX346" s="54"/>
      <c r="AY346" s="902"/>
      <c r="AZ346" s="902"/>
      <c r="BA346" s="902"/>
      <c r="BB346" s="54"/>
      <c r="BC346" s="902"/>
      <c r="BD346" s="54"/>
      <c r="BE346" s="902"/>
      <c r="BF346" s="902"/>
      <c r="BG346" s="902"/>
      <c r="BH346" s="54"/>
      <c r="BI346" s="902"/>
      <c r="BJ346" s="54"/>
      <c r="BK346" s="902"/>
      <c r="BL346" s="902"/>
      <c r="BM346" s="902"/>
      <c r="BN346" s="54"/>
      <c r="BO346" s="902"/>
      <c r="BP346" s="54"/>
      <c r="BQ346" s="902"/>
      <c r="BR346" s="902"/>
      <c r="BS346" s="902"/>
      <c r="BT346" s="54"/>
      <c r="BU346" s="902"/>
      <c r="BV346" s="54"/>
      <c r="BW346" s="902"/>
      <c r="BX346" s="902"/>
      <c r="BY346" s="902"/>
      <c r="BZ346" s="54"/>
      <c r="CA346" s="902"/>
      <c r="CB346" s="54"/>
      <c r="CC346" s="902"/>
      <c r="CD346" s="902"/>
      <c r="CE346" s="902"/>
      <c r="CF346" s="902"/>
    </row>
    <row r="347" spans="1:84" x14ac:dyDescent="0.5">
      <c r="A347" s="227">
        <v>19066256</v>
      </c>
      <c r="B347" s="22">
        <v>19060573</v>
      </c>
      <c r="C347" s="23" t="s">
        <v>2301</v>
      </c>
      <c r="D347" s="24" t="s">
        <v>1323</v>
      </c>
      <c r="E347" s="884">
        <v>43644</v>
      </c>
      <c r="F347" s="932" t="s">
        <v>1324</v>
      </c>
      <c r="G347" s="933" t="s">
        <v>2144</v>
      </c>
      <c r="H347" s="62">
        <v>43643</v>
      </c>
      <c r="I347" s="27">
        <v>19177</v>
      </c>
      <c r="J347" s="931" t="s">
        <v>869</v>
      </c>
      <c r="K347" s="957">
        <v>43644</v>
      </c>
      <c r="L347" s="22" t="s">
        <v>319</v>
      </c>
      <c r="M347" s="28" t="s">
        <v>2285</v>
      </c>
      <c r="N347" s="22" t="s">
        <v>52</v>
      </c>
      <c r="O347" s="29">
        <v>46000</v>
      </c>
      <c r="P347" s="29">
        <f t="shared" si="84"/>
        <v>3220</v>
      </c>
      <c r="Q347" s="29">
        <f t="shared" si="85"/>
        <v>49220</v>
      </c>
      <c r="R347" s="30">
        <v>7100</v>
      </c>
      <c r="S347" s="96"/>
      <c r="T347" s="97"/>
      <c r="U347" s="98"/>
      <c r="V347" s="99"/>
      <c r="W347" s="35">
        <f>O347-R347</f>
        <v>38900</v>
      </c>
      <c r="X347" s="36">
        <v>0.27</v>
      </c>
      <c r="Y347" s="36">
        <f t="shared" si="88"/>
        <v>105.03</v>
      </c>
      <c r="Z347" s="37">
        <v>0.2</v>
      </c>
      <c r="AA347" s="38">
        <f>W347*Z347/100</f>
        <v>77.8</v>
      </c>
      <c r="AB347" s="40">
        <v>19070230</v>
      </c>
      <c r="AC347" s="41">
        <v>46000</v>
      </c>
      <c r="AD347" s="52">
        <f>AC347*7/100</f>
        <v>3220</v>
      </c>
      <c r="AE347" s="52">
        <f>AC347+AD347</f>
        <v>49220</v>
      </c>
      <c r="AF347" s="53">
        <v>43677</v>
      </c>
      <c r="AG347" s="39" t="s">
        <v>869</v>
      </c>
      <c r="AH347" s="39"/>
      <c r="AI347" s="39"/>
      <c r="AJ347" s="21" t="s">
        <v>2595</v>
      </c>
      <c r="AK347" s="893">
        <v>1</v>
      </c>
      <c r="AL347" s="45" t="s">
        <v>2302</v>
      </c>
      <c r="AM347" s="46"/>
      <c r="AN347" s="46" t="s">
        <v>869</v>
      </c>
      <c r="AO347" s="47">
        <v>2</v>
      </c>
      <c r="AP347" s="48" t="s">
        <v>634</v>
      </c>
      <c r="AQ347" s="902"/>
      <c r="AR347" s="54"/>
      <c r="AS347" s="902"/>
      <c r="AT347" s="902"/>
      <c r="AU347" s="902"/>
      <c r="AV347" s="54"/>
      <c r="AW347" s="902"/>
      <c r="AX347" s="54"/>
      <c r="AY347" s="902"/>
      <c r="AZ347" s="902"/>
      <c r="BA347" s="902"/>
      <c r="BB347" s="54"/>
      <c r="BC347" s="902"/>
      <c r="BD347" s="54"/>
      <c r="BE347" s="902"/>
      <c r="BF347" s="902"/>
      <c r="BG347" s="902"/>
      <c r="BH347" s="54"/>
      <c r="BI347" s="902"/>
      <c r="BJ347" s="54"/>
      <c r="BK347" s="902"/>
      <c r="BL347" s="902"/>
      <c r="BM347" s="902"/>
      <c r="BN347" s="54"/>
      <c r="BO347" s="902"/>
      <c r="BP347" s="54"/>
      <c r="BQ347" s="902"/>
      <c r="BR347" s="902"/>
      <c r="BS347" s="902"/>
      <c r="BT347" s="54"/>
      <c r="BU347" s="902"/>
      <c r="BV347" s="54"/>
      <c r="BW347" s="902"/>
      <c r="BX347" s="902"/>
      <c r="BY347" s="902"/>
      <c r="BZ347" s="54"/>
      <c r="CA347" s="902"/>
      <c r="CB347" s="54"/>
      <c r="CC347" s="902"/>
      <c r="CD347" s="902"/>
      <c r="CE347" s="902"/>
      <c r="CF347" s="902"/>
    </row>
    <row r="348" spans="1:84" x14ac:dyDescent="0.5">
      <c r="A348" s="227">
        <v>19066255</v>
      </c>
      <c r="B348" s="22">
        <v>19060561</v>
      </c>
      <c r="C348" s="55"/>
      <c r="D348" s="56"/>
      <c r="E348" s="910"/>
      <c r="F348" s="57"/>
      <c r="G348" s="58"/>
      <c r="H348" s="59"/>
      <c r="I348" s="60"/>
      <c r="J348" s="931" t="s">
        <v>869</v>
      </c>
      <c r="K348" s="59"/>
      <c r="L348" s="22" t="s">
        <v>2287</v>
      </c>
      <c r="M348" s="28" t="s">
        <v>2288</v>
      </c>
      <c r="N348" s="22" t="s">
        <v>1700</v>
      </c>
      <c r="O348" s="29">
        <v>352300</v>
      </c>
      <c r="P348" s="29">
        <f t="shared" ref="P348:P354" si="89">O348*7/100</f>
        <v>24661</v>
      </c>
      <c r="Q348" s="29">
        <f t="shared" ref="Q348:Q354" si="90">O348+P348</f>
        <v>376961</v>
      </c>
      <c r="R348" s="61"/>
      <c r="S348" s="96"/>
      <c r="T348" s="97"/>
      <c r="U348" s="98"/>
      <c r="V348" s="99"/>
      <c r="W348" s="35">
        <f>O348</f>
        <v>352300</v>
      </c>
      <c r="X348" s="36">
        <v>1</v>
      </c>
      <c r="Y348" s="36">
        <f t="shared" si="88"/>
        <v>3523</v>
      </c>
      <c r="Z348" s="100"/>
      <c r="AA348" s="101"/>
      <c r="AB348" s="40">
        <v>19080298</v>
      </c>
      <c r="AC348" s="41">
        <v>352300</v>
      </c>
      <c r="AD348" s="63">
        <f>AC348*7/100</f>
        <v>24661</v>
      </c>
      <c r="AE348" s="63">
        <f>AC348+AD348</f>
        <v>376961</v>
      </c>
      <c r="AF348" s="43"/>
      <c r="AG348" s="39" t="s">
        <v>869</v>
      </c>
      <c r="AH348" s="39"/>
      <c r="AI348" s="39"/>
      <c r="AJ348" s="21" t="s">
        <v>3069</v>
      </c>
      <c r="AK348" s="893">
        <v>1</v>
      </c>
      <c r="AL348" s="45" t="s">
        <v>2289</v>
      </c>
      <c r="AM348" s="46"/>
      <c r="AN348" s="46"/>
      <c r="AO348" s="47">
        <v>1</v>
      </c>
      <c r="AP348" s="48" t="s">
        <v>2290</v>
      </c>
      <c r="AQ348" s="901"/>
      <c r="AR348" s="54"/>
      <c r="AS348" s="901"/>
      <c r="AT348" s="901"/>
      <c r="AU348" s="901"/>
      <c r="AV348" s="54"/>
      <c r="AW348" s="901"/>
      <c r="AX348" s="54"/>
      <c r="AY348" s="901"/>
      <c r="AZ348" s="901"/>
      <c r="BA348" s="901"/>
      <c r="BB348" s="54"/>
      <c r="BC348" s="901"/>
      <c r="BD348" s="54"/>
      <c r="BE348" s="901"/>
      <c r="BF348" s="901"/>
      <c r="BG348" s="901"/>
      <c r="BH348" s="54"/>
      <c r="BI348" s="901"/>
      <c r="BJ348" s="54"/>
      <c r="BK348" s="901"/>
      <c r="BL348" s="901"/>
      <c r="BM348" s="901"/>
      <c r="BN348" s="54"/>
      <c r="BO348" s="901"/>
      <c r="BP348" s="54"/>
      <c r="BQ348" s="901"/>
      <c r="BR348" s="901"/>
      <c r="BS348" s="901"/>
      <c r="BT348" s="54"/>
      <c r="BU348" s="901"/>
      <c r="BV348" s="54"/>
      <c r="BW348" s="901"/>
      <c r="BX348" s="901"/>
      <c r="BY348" s="901"/>
      <c r="BZ348" s="54"/>
      <c r="CA348" s="901"/>
      <c r="CB348" s="54"/>
      <c r="CC348" s="901"/>
      <c r="CD348" s="901"/>
      <c r="CE348" s="901"/>
      <c r="CF348" s="901"/>
    </row>
    <row r="349" spans="1:84" x14ac:dyDescent="0.5">
      <c r="A349" s="227">
        <v>19066254</v>
      </c>
      <c r="B349" s="22">
        <v>19060560</v>
      </c>
      <c r="C349" s="55"/>
      <c r="D349" s="56"/>
      <c r="E349" s="910"/>
      <c r="F349" s="57"/>
      <c r="G349" s="58"/>
      <c r="H349" s="59"/>
      <c r="I349" s="60"/>
      <c r="J349" s="931" t="s">
        <v>869</v>
      </c>
      <c r="K349" s="59"/>
      <c r="L349" s="22" t="s">
        <v>2287</v>
      </c>
      <c r="M349" s="28" t="s">
        <v>2291</v>
      </c>
      <c r="N349" s="22" t="s">
        <v>1700</v>
      </c>
      <c r="O349" s="29">
        <v>271345</v>
      </c>
      <c r="P349" s="29">
        <f t="shared" si="89"/>
        <v>18994.150000000001</v>
      </c>
      <c r="Q349" s="29">
        <f t="shared" si="90"/>
        <v>290339.15000000002</v>
      </c>
      <c r="R349" s="61"/>
      <c r="S349" s="96"/>
      <c r="T349" s="97"/>
      <c r="U349" s="98"/>
      <c r="V349" s="99"/>
      <c r="W349" s="35">
        <f>O349</f>
        <v>271345</v>
      </c>
      <c r="X349" s="36">
        <v>1</v>
      </c>
      <c r="Y349" s="36">
        <f t="shared" si="88"/>
        <v>2713.45</v>
      </c>
      <c r="Z349" s="100"/>
      <c r="AA349" s="101"/>
      <c r="AB349" s="40">
        <v>19080297</v>
      </c>
      <c r="AC349" s="41">
        <v>271345</v>
      </c>
      <c r="AD349" s="52">
        <f>AC349*7/100</f>
        <v>18994.150000000001</v>
      </c>
      <c r="AE349" s="52">
        <f>AC349+AD349</f>
        <v>290339.15000000002</v>
      </c>
      <c r="AF349" s="43"/>
      <c r="AG349" s="39" t="s">
        <v>869</v>
      </c>
      <c r="AH349" s="39"/>
      <c r="AI349" s="39"/>
      <c r="AJ349" s="21" t="s">
        <v>3069</v>
      </c>
      <c r="AK349" s="893">
        <v>1</v>
      </c>
      <c r="AL349" s="45" t="s">
        <v>2289</v>
      </c>
      <c r="AM349" s="46"/>
      <c r="AN349" s="46"/>
      <c r="AO349" s="47">
        <v>1</v>
      </c>
      <c r="AP349" s="48" t="s">
        <v>2290</v>
      </c>
      <c r="AQ349" s="901"/>
      <c r="AR349" s="54"/>
      <c r="AS349" s="901"/>
      <c r="AT349" s="901"/>
      <c r="AU349" s="901"/>
      <c r="AV349" s="54"/>
      <c r="AW349" s="901"/>
      <c r="AX349" s="54"/>
      <c r="AY349" s="901"/>
      <c r="AZ349" s="901"/>
      <c r="BA349" s="901"/>
      <c r="BB349" s="54"/>
      <c r="BC349" s="901"/>
      <c r="BD349" s="54"/>
      <c r="BE349" s="901"/>
      <c r="BF349" s="901"/>
      <c r="BG349" s="901"/>
      <c r="BH349" s="54"/>
      <c r="BI349" s="901"/>
      <c r="BJ349" s="54"/>
      <c r="BK349" s="901"/>
      <c r="BL349" s="901"/>
      <c r="BM349" s="901"/>
      <c r="BN349" s="54"/>
      <c r="BO349" s="901"/>
      <c r="BP349" s="54"/>
      <c r="BQ349" s="901"/>
      <c r="BR349" s="901"/>
      <c r="BS349" s="901"/>
      <c r="BT349" s="54"/>
      <c r="BU349" s="901"/>
      <c r="BV349" s="54"/>
      <c r="BW349" s="901"/>
      <c r="BX349" s="901"/>
      <c r="BY349" s="901"/>
      <c r="BZ349" s="54"/>
      <c r="CA349" s="901"/>
      <c r="CB349" s="54"/>
      <c r="CC349" s="901"/>
      <c r="CD349" s="901"/>
      <c r="CE349" s="901"/>
      <c r="CF349" s="901"/>
    </row>
    <row r="350" spans="1:84" x14ac:dyDescent="0.5">
      <c r="A350" s="227">
        <v>19066253</v>
      </c>
      <c r="B350" s="22">
        <v>19060555</v>
      </c>
      <c r="C350" s="23" t="s">
        <v>2274</v>
      </c>
      <c r="D350" s="24" t="s">
        <v>1323</v>
      </c>
      <c r="E350" s="884">
        <v>43656</v>
      </c>
      <c r="F350" s="932" t="s">
        <v>1324</v>
      </c>
      <c r="G350" s="933" t="s">
        <v>2284</v>
      </c>
      <c r="H350" s="62">
        <v>43656</v>
      </c>
      <c r="I350" s="27">
        <v>19193</v>
      </c>
      <c r="J350" s="931" t="s">
        <v>869</v>
      </c>
      <c r="K350" s="957">
        <v>43658</v>
      </c>
      <c r="L350" s="22" t="s">
        <v>435</v>
      </c>
      <c r="M350" s="28" t="s">
        <v>2275</v>
      </c>
      <c r="N350" s="22" t="s">
        <v>51</v>
      </c>
      <c r="O350" s="29">
        <v>582000</v>
      </c>
      <c r="P350" s="29">
        <f t="shared" si="89"/>
        <v>40740</v>
      </c>
      <c r="Q350" s="29">
        <f t="shared" si="90"/>
        <v>622740</v>
      </c>
      <c r="R350" s="894"/>
      <c r="S350" s="31" t="s">
        <v>2276</v>
      </c>
      <c r="T350" s="895"/>
      <c r="U350" s="33">
        <v>5</v>
      </c>
      <c r="V350" s="896"/>
      <c r="W350" s="100"/>
      <c r="X350" s="99"/>
      <c r="Y350" s="99"/>
      <c r="Z350" s="100"/>
      <c r="AA350" s="101"/>
      <c r="AB350" s="40">
        <v>19080278</v>
      </c>
      <c r="AC350" s="41">
        <v>582000</v>
      </c>
      <c r="AD350" s="52">
        <f>AC350*7/100</f>
        <v>40740</v>
      </c>
      <c r="AE350" s="52">
        <f>AC350+AD350</f>
        <v>622740</v>
      </c>
      <c r="AF350" s="53">
        <v>43750</v>
      </c>
      <c r="AG350" s="39" t="s">
        <v>869</v>
      </c>
      <c r="AH350" s="39"/>
      <c r="AI350" s="39"/>
      <c r="AJ350" s="21" t="s">
        <v>3353</v>
      </c>
      <c r="AK350" s="890">
        <v>1</v>
      </c>
      <c r="AL350" s="45" t="s">
        <v>2277</v>
      </c>
      <c r="AM350" s="46" t="s">
        <v>869</v>
      </c>
      <c r="AN350" s="46"/>
      <c r="AO350" s="47">
        <v>1</v>
      </c>
      <c r="AP350" s="48" t="s">
        <v>634</v>
      </c>
      <c r="AQ350" s="893"/>
      <c r="AR350" s="54"/>
      <c r="AS350" s="893"/>
      <c r="AT350" s="893"/>
      <c r="AU350" s="893"/>
      <c r="AV350" s="54"/>
      <c r="AW350" s="893"/>
      <c r="AX350" s="54"/>
      <c r="AY350" s="893"/>
      <c r="AZ350" s="893"/>
      <c r="BA350" s="893"/>
      <c r="BB350" s="54"/>
      <c r="BC350" s="893"/>
      <c r="BD350" s="54"/>
      <c r="BE350" s="893"/>
      <c r="BF350" s="893"/>
      <c r="BG350" s="893"/>
      <c r="BH350" s="54"/>
      <c r="BI350" s="893"/>
      <c r="BJ350" s="54"/>
      <c r="BK350" s="893"/>
      <c r="BL350" s="893"/>
      <c r="BM350" s="893"/>
      <c r="BN350" s="54"/>
      <c r="BO350" s="893"/>
      <c r="BP350" s="54"/>
      <c r="BQ350" s="893"/>
      <c r="BR350" s="893"/>
      <c r="BS350" s="893"/>
      <c r="BT350" s="54"/>
      <c r="BU350" s="893"/>
      <c r="BV350" s="54"/>
      <c r="BW350" s="893"/>
      <c r="BX350" s="893"/>
      <c r="BY350" s="893"/>
      <c r="BZ350" s="54"/>
      <c r="CA350" s="893"/>
      <c r="CB350" s="54"/>
      <c r="CC350" s="893"/>
      <c r="CD350" s="893"/>
      <c r="CE350" s="893"/>
      <c r="CF350" s="893"/>
    </row>
    <row r="351" spans="1:84" s="95" customFormat="1" x14ac:dyDescent="0.5">
      <c r="A351" s="65">
        <v>19066252</v>
      </c>
      <c r="B351" s="66">
        <v>19060541</v>
      </c>
      <c r="C351" s="67" t="s">
        <v>2284</v>
      </c>
      <c r="D351" s="68" t="s">
        <v>1323</v>
      </c>
      <c r="E351" s="905">
        <v>43641</v>
      </c>
      <c r="F351" s="934" t="s">
        <v>1324</v>
      </c>
      <c r="G351" s="935" t="s">
        <v>2118</v>
      </c>
      <c r="H351" s="66"/>
      <c r="I351" s="71"/>
      <c r="J351" s="958" t="s">
        <v>869</v>
      </c>
      <c r="K351" s="959">
        <v>43641</v>
      </c>
      <c r="L351" s="66" t="s">
        <v>319</v>
      </c>
      <c r="M351" s="72" t="s">
        <v>2285</v>
      </c>
      <c r="N351" s="66" t="s">
        <v>52</v>
      </c>
      <c r="O351" s="73">
        <v>68000</v>
      </c>
      <c r="P351" s="73">
        <f t="shared" si="89"/>
        <v>4760</v>
      </c>
      <c r="Q351" s="73">
        <f t="shared" si="90"/>
        <v>72760</v>
      </c>
      <c r="R351" s="74">
        <v>7100</v>
      </c>
      <c r="S351" s="319"/>
      <c r="T351" s="320"/>
      <c r="U351" s="321"/>
      <c r="V351" s="322"/>
      <c r="W351" s="79">
        <f>O351-R351</f>
        <v>60900</v>
      </c>
      <c r="X351" s="80">
        <v>0.36</v>
      </c>
      <c r="Y351" s="80">
        <f>W351*X351/100</f>
        <v>219.24</v>
      </c>
      <c r="Z351" s="81">
        <v>0.2</v>
      </c>
      <c r="AA351" s="82">
        <f>W351*Z351/100</f>
        <v>121.8</v>
      </c>
      <c r="AB351" s="84"/>
      <c r="AC351" s="85"/>
      <c r="AD351" s="86"/>
      <c r="AE351" s="86"/>
      <c r="AF351" s="87"/>
      <c r="AG351" s="83"/>
      <c r="AH351" s="83"/>
      <c r="AI351" s="83"/>
      <c r="AJ351" s="65"/>
      <c r="AK351" s="88"/>
      <c r="AL351" s="89"/>
      <c r="AM351" s="90"/>
      <c r="AN351" s="90"/>
      <c r="AO351" s="91"/>
      <c r="AP351" s="92"/>
      <c r="AQ351" s="88"/>
      <c r="AR351" s="84"/>
      <c r="AS351" s="91"/>
      <c r="AT351" s="91"/>
      <c r="AU351" s="91"/>
      <c r="AV351" s="93"/>
      <c r="AW351" s="88"/>
      <c r="AX351" s="84"/>
      <c r="AY351" s="91"/>
      <c r="AZ351" s="91"/>
      <c r="BA351" s="91"/>
      <c r="BB351" s="93"/>
      <c r="BC351" s="88"/>
      <c r="BD351" s="84"/>
      <c r="BE351" s="91"/>
      <c r="BF351" s="91"/>
      <c r="BG351" s="91"/>
      <c r="BH351" s="93"/>
      <c r="BI351" s="88"/>
      <c r="BJ351" s="84"/>
      <c r="BK351" s="91"/>
      <c r="BL351" s="91"/>
      <c r="BM351" s="91"/>
      <c r="BN351" s="93"/>
      <c r="BO351" s="88"/>
      <c r="BP351" s="84"/>
      <c r="BQ351" s="91"/>
      <c r="BR351" s="91"/>
      <c r="BS351" s="91"/>
      <c r="BT351" s="93"/>
      <c r="BU351" s="88"/>
      <c r="BV351" s="84"/>
      <c r="BW351" s="91"/>
      <c r="BX351" s="91"/>
      <c r="BY351" s="91"/>
      <c r="BZ351" s="93"/>
      <c r="CA351" s="88"/>
      <c r="CB351" s="84"/>
      <c r="CC351" s="91"/>
      <c r="CD351" s="91"/>
      <c r="CE351" s="91"/>
      <c r="CF351" s="616"/>
    </row>
    <row r="352" spans="1:84" x14ac:dyDescent="0.5">
      <c r="A352" s="227">
        <v>19066251</v>
      </c>
      <c r="B352" s="22">
        <v>19060549</v>
      </c>
      <c r="C352" s="55"/>
      <c r="D352" s="56"/>
      <c r="E352" s="910"/>
      <c r="F352" s="57"/>
      <c r="G352" s="58"/>
      <c r="H352" s="59"/>
      <c r="I352" s="60"/>
      <c r="J352" s="269"/>
      <c r="K352" s="59"/>
      <c r="L352" s="22" t="s">
        <v>2278</v>
      </c>
      <c r="M352" s="28" t="s">
        <v>404</v>
      </c>
      <c r="N352" s="22" t="s">
        <v>51</v>
      </c>
      <c r="O352" s="29">
        <v>9400</v>
      </c>
      <c r="P352" s="29">
        <f t="shared" si="89"/>
        <v>658</v>
      </c>
      <c r="Q352" s="29">
        <f t="shared" si="90"/>
        <v>10058</v>
      </c>
      <c r="R352" s="61"/>
      <c r="S352" s="96"/>
      <c r="T352" s="97"/>
      <c r="U352" s="98"/>
      <c r="V352" s="99"/>
      <c r="W352" s="100"/>
      <c r="X352" s="99"/>
      <c r="Y352" s="99"/>
      <c r="Z352" s="100"/>
      <c r="AA352" s="101"/>
      <c r="AB352" s="40">
        <v>19060219</v>
      </c>
      <c r="AC352" s="41">
        <v>9400</v>
      </c>
      <c r="AD352" s="52">
        <f>AC352*7/100</f>
        <v>658</v>
      </c>
      <c r="AE352" s="52">
        <f>AC352+AD352</f>
        <v>10058</v>
      </c>
      <c r="AF352" s="53">
        <v>43670</v>
      </c>
      <c r="AG352" s="39" t="s">
        <v>869</v>
      </c>
      <c r="AH352" s="39"/>
      <c r="AI352" s="39"/>
      <c r="AJ352" s="21" t="s">
        <v>2735</v>
      </c>
      <c r="AK352" s="890">
        <v>1</v>
      </c>
      <c r="AL352" s="45" t="s">
        <v>404</v>
      </c>
      <c r="AM352" s="46"/>
      <c r="AN352" s="46"/>
      <c r="AO352" s="47">
        <v>1</v>
      </c>
      <c r="AP352" s="102"/>
      <c r="AQ352" s="893"/>
      <c r="AR352" s="54"/>
      <c r="AS352" s="893"/>
      <c r="AT352" s="893"/>
      <c r="AU352" s="893"/>
      <c r="AV352" s="54"/>
      <c r="AW352" s="893"/>
      <c r="AX352" s="54"/>
      <c r="AY352" s="893"/>
      <c r="AZ352" s="893"/>
      <c r="BA352" s="893"/>
      <c r="BB352" s="54"/>
      <c r="BC352" s="893"/>
      <c r="BD352" s="54"/>
      <c r="BE352" s="893"/>
      <c r="BF352" s="893"/>
      <c r="BG352" s="893"/>
      <c r="BH352" s="54"/>
      <c r="BI352" s="893"/>
      <c r="BJ352" s="54"/>
      <c r="BK352" s="893"/>
      <c r="BL352" s="893"/>
      <c r="BM352" s="893"/>
      <c r="BN352" s="54"/>
      <c r="BO352" s="893"/>
      <c r="BP352" s="54"/>
      <c r="BQ352" s="893"/>
      <c r="BR352" s="893"/>
      <c r="BS352" s="893"/>
      <c r="BT352" s="54"/>
      <c r="BU352" s="893"/>
      <c r="BV352" s="54"/>
      <c r="BW352" s="893"/>
      <c r="BX352" s="893"/>
      <c r="BY352" s="893"/>
      <c r="BZ352" s="54"/>
      <c r="CA352" s="893"/>
      <c r="CB352" s="54"/>
      <c r="CC352" s="893"/>
      <c r="CD352" s="893"/>
      <c r="CE352" s="893"/>
      <c r="CF352" s="893"/>
    </row>
    <row r="353" spans="1:84" x14ac:dyDescent="0.5">
      <c r="A353" s="227">
        <v>19066250</v>
      </c>
      <c r="B353" s="22">
        <v>19060547</v>
      </c>
      <c r="C353" s="55"/>
      <c r="D353" s="56"/>
      <c r="E353" s="910"/>
      <c r="F353" s="57"/>
      <c r="G353" s="58"/>
      <c r="H353" s="59"/>
      <c r="I353" s="60"/>
      <c r="J353" s="269"/>
      <c r="K353" s="59"/>
      <c r="L353" s="22" t="s">
        <v>60</v>
      </c>
      <c r="M353" s="28" t="s">
        <v>2279</v>
      </c>
      <c r="N353" s="22" t="s">
        <v>51</v>
      </c>
      <c r="O353" s="29">
        <v>112900</v>
      </c>
      <c r="P353" s="29">
        <f t="shared" si="89"/>
        <v>7903</v>
      </c>
      <c r="Q353" s="29">
        <f t="shared" si="90"/>
        <v>120803</v>
      </c>
      <c r="R353" s="61"/>
      <c r="S353" s="96"/>
      <c r="T353" s="97"/>
      <c r="U353" s="98"/>
      <c r="V353" s="99"/>
      <c r="W353" s="100"/>
      <c r="X353" s="99"/>
      <c r="Y353" s="99"/>
      <c r="Z353" s="100"/>
      <c r="AA353" s="101"/>
      <c r="AB353" s="40">
        <v>19080276</v>
      </c>
      <c r="AC353" s="41">
        <v>112900</v>
      </c>
      <c r="AD353" s="52">
        <f>AC353*7/100</f>
        <v>7903</v>
      </c>
      <c r="AE353" s="52">
        <f>AC353+AD353</f>
        <v>120803</v>
      </c>
      <c r="AF353" s="53">
        <v>43735</v>
      </c>
      <c r="AG353" s="39" t="s">
        <v>869</v>
      </c>
      <c r="AH353" s="39"/>
      <c r="AI353" s="39"/>
      <c r="AJ353" s="21" t="s">
        <v>3070</v>
      </c>
      <c r="AK353" s="890">
        <v>1</v>
      </c>
      <c r="AL353" s="45" t="s">
        <v>404</v>
      </c>
      <c r="AM353" s="46"/>
      <c r="AN353" s="46"/>
      <c r="AO353" s="47">
        <v>1</v>
      </c>
      <c r="AP353" s="102"/>
      <c r="AQ353" s="893"/>
      <c r="AR353" s="54"/>
      <c r="AS353" s="893"/>
      <c r="AT353" s="893"/>
      <c r="AU353" s="893"/>
      <c r="AV353" s="54"/>
      <c r="AW353" s="893"/>
      <c r="AX353" s="54"/>
      <c r="AY353" s="893"/>
      <c r="AZ353" s="893"/>
      <c r="BA353" s="893"/>
      <c r="BB353" s="54"/>
      <c r="BC353" s="893"/>
      <c r="BD353" s="54"/>
      <c r="BE353" s="893"/>
      <c r="BF353" s="893"/>
      <c r="BG353" s="893"/>
      <c r="BH353" s="54"/>
      <c r="BI353" s="893"/>
      <c r="BJ353" s="54"/>
      <c r="BK353" s="893"/>
      <c r="BL353" s="893"/>
      <c r="BM353" s="893"/>
      <c r="BN353" s="54"/>
      <c r="BO353" s="893"/>
      <c r="BP353" s="54"/>
      <c r="BQ353" s="893"/>
      <c r="BR353" s="893"/>
      <c r="BS353" s="893"/>
      <c r="BT353" s="54"/>
      <c r="BU353" s="893"/>
      <c r="BV353" s="54"/>
      <c r="BW353" s="893"/>
      <c r="BX353" s="893"/>
      <c r="BY353" s="893"/>
      <c r="BZ353" s="54"/>
      <c r="CA353" s="893"/>
      <c r="CB353" s="54"/>
      <c r="CC353" s="893"/>
      <c r="CD353" s="893"/>
      <c r="CE353" s="893"/>
      <c r="CF353" s="893"/>
    </row>
    <row r="354" spans="1:84" x14ac:dyDescent="0.5">
      <c r="A354" s="259">
        <v>19066249</v>
      </c>
      <c r="B354" s="104">
        <v>19060546</v>
      </c>
      <c r="C354" s="105" t="s">
        <v>2280</v>
      </c>
      <c r="D354" s="106" t="s">
        <v>1323</v>
      </c>
      <c r="E354" s="302">
        <v>43676</v>
      </c>
      <c r="F354" s="936" t="s">
        <v>1324</v>
      </c>
      <c r="G354" s="937" t="s">
        <v>2431</v>
      </c>
      <c r="H354" s="211">
        <v>43679</v>
      </c>
      <c r="I354" s="164">
        <v>19216</v>
      </c>
      <c r="J354" s="960" t="s">
        <v>869</v>
      </c>
      <c r="K354" s="965">
        <v>43682</v>
      </c>
      <c r="L354" s="104" t="s">
        <v>60</v>
      </c>
      <c r="M354" s="110" t="s">
        <v>2281</v>
      </c>
      <c r="N354" s="104" t="s">
        <v>51</v>
      </c>
      <c r="O354" s="111">
        <v>3200000</v>
      </c>
      <c r="P354" s="111">
        <f t="shared" si="89"/>
        <v>224000</v>
      </c>
      <c r="Q354" s="111">
        <f t="shared" si="90"/>
        <v>3424000</v>
      </c>
      <c r="R354" s="212"/>
      <c r="S354" s="113" t="s">
        <v>2276</v>
      </c>
      <c r="T354" s="114">
        <f>O354</f>
        <v>3200000</v>
      </c>
      <c r="U354" s="115">
        <v>5</v>
      </c>
      <c r="V354" s="116">
        <f>T354*U354/100</f>
        <v>160000</v>
      </c>
      <c r="W354" s="231"/>
      <c r="X354" s="168"/>
      <c r="Y354" s="168"/>
      <c r="Z354" s="231"/>
      <c r="AA354" s="232"/>
      <c r="AB354" s="782">
        <v>19080277</v>
      </c>
      <c r="AC354" s="772">
        <v>2560000</v>
      </c>
      <c r="AD354" s="773">
        <f>AC354*7/100</f>
        <v>179200</v>
      </c>
      <c r="AE354" s="773">
        <f>AC354+AD354</f>
        <v>2739200</v>
      </c>
      <c r="AF354" s="774">
        <v>43728</v>
      </c>
      <c r="AG354" s="770"/>
      <c r="AH354" s="770"/>
      <c r="AI354" s="770" t="s">
        <v>869</v>
      </c>
      <c r="AJ354" s="103" t="s">
        <v>2557</v>
      </c>
      <c r="AK354" s="128">
        <v>1</v>
      </c>
      <c r="AL354" s="129" t="s">
        <v>2282</v>
      </c>
      <c r="AM354" s="130" t="s">
        <v>869</v>
      </c>
      <c r="AN354" s="130"/>
      <c r="AO354" s="131">
        <v>1</v>
      </c>
      <c r="AP354" s="132" t="s">
        <v>1882</v>
      </c>
      <c r="AQ354" s="128">
        <v>2</v>
      </c>
      <c r="AR354" s="123" t="s">
        <v>2283</v>
      </c>
      <c r="AS354" s="131" t="s">
        <v>869</v>
      </c>
      <c r="AT354" s="131"/>
      <c r="AU354" s="131">
        <v>1</v>
      </c>
      <c r="AV354" s="169" t="s">
        <v>636</v>
      </c>
      <c r="AW354" s="128">
        <v>3</v>
      </c>
      <c r="AX354" s="123" t="s">
        <v>2075</v>
      </c>
      <c r="AY354" s="131" t="s">
        <v>869</v>
      </c>
      <c r="AZ354" s="131"/>
      <c r="BA354" s="131">
        <v>3</v>
      </c>
      <c r="BB354" s="169" t="s">
        <v>636</v>
      </c>
      <c r="BC354" s="128"/>
      <c r="BD354" s="133"/>
      <c r="BE354" s="128"/>
      <c r="BF354" s="128"/>
      <c r="BG354" s="128"/>
      <c r="BH354" s="133"/>
      <c r="BI354" s="128"/>
      <c r="BJ354" s="133"/>
      <c r="BK354" s="128"/>
      <c r="BL354" s="128"/>
      <c r="BM354" s="128"/>
      <c r="BN354" s="133"/>
      <c r="BO354" s="128"/>
      <c r="BP354" s="133"/>
      <c r="BQ354" s="128"/>
      <c r="BR354" s="128"/>
      <c r="BS354" s="128"/>
      <c r="BT354" s="133"/>
      <c r="BU354" s="128"/>
      <c r="BV354" s="133"/>
      <c r="BW354" s="128"/>
      <c r="BX354" s="128"/>
      <c r="BY354" s="128"/>
      <c r="BZ354" s="133"/>
      <c r="CA354" s="128"/>
      <c r="CB354" s="133"/>
      <c r="CC354" s="128"/>
      <c r="CD354" s="128"/>
      <c r="CE354" s="128"/>
      <c r="CF354" s="128"/>
    </row>
    <row r="355" spans="1:84" x14ac:dyDescent="0.5">
      <c r="A355" s="262"/>
      <c r="B355" s="135"/>
      <c r="C355" s="136"/>
      <c r="D355" s="137"/>
      <c r="E355" s="906"/>
      <c r="F355" s="940"/>
      <c r="G355" s="941"/>
      <c r="H355" s="178">
        <v>43679</v>
      </c>
      <c r="I355" s="171">
        <v>19217</v>
      </c>
      <c r="J355" s="963"/>
      <c r="K355" s="964"/>
      <c r="L355" s="135"/>
      <c r="M355" s="141"/>
      <c r="N355" s="135"/>
      <c r="O355" s="142"/>
      <c r="P355" s="142"/>
      <c r="Q355" s="142"/>
      <c r="R355" s="213"/>
      <c r="S355" s="144"/>
      <c r="T355" s="145"/>
      <c r="U355" s="146"/>
      <c r="V355" s="147"/>
      <c r="W355" s="282"/>
      <c r="X355" s="175"/>
      <c r="Y355" s="175"/>
      <c r="Z355" s="282"/>
      <c r="AA355" s="283"/>
      <c r="AB355" s="154" t="s">
        <v>2987</v>
      </c>
      <c r="AC355" s="155">
        <v>3200000</v>
      </c>
      <c r="AD355" s="253">
        <f>AC355*7/100</f>
        <v>224000</v>
      </c>
      <c r="AE355" s="253">
        <f>AC355+AD355</f>
        <v>3424000</v>
      </c>
      <c r="AF355" s="157">
        <v>43735</v>
      </c>
      <c r="AG355" s="152" t="s">
        <v>869</v>
      </c>
      <c r="AH355" s="152"/>
      <c r="AI355" s="152"/>
      <c r="AJ355" s="134" t="s">
        <v>3609</v>
      </c>
      <c r="AK355" s="158"/>
      <c r="AL355" s="159"/>
      <c r="AM355" s="160"/>
      <c r="AN355" s="160"/>
      <c r="AO355" s="161"/>
      <c r="AP355" s="162"/>
      <c r="AQ355" s="158"/>
      <c r="AR355" s="154"/>
      <c r="AS355" s="161"/>
      <c r="AT355" s="161"/>
      <c r="AU355" s="161"/>
      <c r="AV355" s="177"/>
      <c r="AW355" s="158"/>
      <c r="AX355" s="154"/>
      <c r="AY355" s="161"/>
      <c r="AZ355" s="161"/>
      <c r="BA355" s="161"/>
      <c r="BB355" s="177"/>
      <c r="BC355" s="158"/>
      <c r="BD355" s="163"/>
      <c r="BE355" s="158"/>
      <c r="BF355" s="158"/>
      <c r="BG355" s="158"/>
      <c r="BH355" s="163"/>
      <c r="BI355" s="158"/>
      <c r="BJ355" s="163"/>
      <c r="BK355" s="158"/>
      <c r="BL355" s="158"/>
      <c r="BM355" s="158"/>
      <c r="BN355" s="163"/>
      <c r="BO355" s="158"/>
      <c r="BP355" s="163"/>
      <c r="BQ355" s="158"/>
      <c r="BR355" s="158"/>
      <c r="BS355" s="158"/>
      <c r="BT355" s="163"/>
      <c r="BU355" s="158"/>
      <c r="BV355" s="163"/>
      <c r="BW355" s="158"/>
      <c r="BX355" s="158"/>
      <c r="BY355" s="158"/>
      <c r="BZ355" s="163"/>
      <c r="CA355" s="158"/>
      <c r="CB355" s="163"/>
      <c r="CC355" s="158"/>
      <c r="CD355" s="158"/>
      <c r="CE355" s="158"/>
      <c r="CF355" s="158"/>
    </row>
    <row r="356" spans="1:84" x14ac:dyDescent="0.5">
      <c r="A356" s="262"/>
      <c r="B356" s="135"/>
      <c r="C356" s="136"/>
      <c r="D356" s="137"/>
      <c r="E356" s="906"/>
      <c r="F356" s="940"/>
      <c r="G356" s="941"/>
      <c r="H356" s="178">
        <v>43679</v>
      </c>
      <c r="I356" s="171">
        <v>19218</v>
      </c>
      <c r="J356" s="963"/>
      <c r="K356" s="964"/>
      <c r="L356" s="135"/>
      <c r="M356" s="141"/>
      <c r="N356" s="135"/>
      <c r="O356" s="142"/>
      <c r="P356" s="142"/>
      <c r="Q356" s="142"/>
      <c r="R356" s="213"/>
      <c r="S356" s="144"/>
      <c r="T356" s="145"/>
      <c r="U356" s="146"/>
      <c r="V356" s="147"/>
      <c r="W356" s="282"/>
      <c r="X356" s="175"/>
      <c r="Y356" s="175"/>
      <c r="Z356" s="282"/>
      <c r="AA356" s="283"/>
      <c r="AB356" s="154"/>
      <c r="AC356" s="155"/>
      <c r="AD356" s="255"/>
      <c r="AE356" s="255"/>
      <c r="AF356" s="256"/>
      <c r="AG356" s="152"/>
      <c r="AH356" s="152"/>
      <c r="AI356" s="152"/>
      <c r="AJ356" s="134"/>
      <c r="AK356" s="158"/>
      <c r="AL356" s="159"/>
      <c r="AM356" s="160"/>
      <c r="AN356" s="160"/>
      <c r="AO356" s="161"/>
      <c r="AP356" s="162"/>
      <c r="AQ356" s="158"/>
      <c r="AR356" s="154"/>
      <c r="AS356" s="161"/>
      <c r="AT356" s="161"/>
      <c r="AU356" s="161"/>
      <c r="AV356" s="177"/>
      <c r="AW356" s="158"/>
      <c r="AX356" s="154"/>
      <c r="AY356" s="161"/>
      <c r="AZ356" s="161"/>
      <c r="BA356" s="161"/>
      <c r="BB356" s="177"/>
      <c r="BC356" s="158"/>
      <c r="BD356" s="163"/>
      <c r="BE356" s="158"/>
      <c r="BF356" s="158"/>
      <c r="BG356" s="158"/>
      <c r="BH356" s="163"/>
      <c r="BI356" s="158"/>
      <c r="BJ356" s="163"/>
      <c r="BK356" s="158"/>
      <c r="BL356" s="158"/>
      <c r="BM356" s="158"/>
      <c r="BN356" s="163"/>
      <c r="BO356" s="158"/>
      <c r="BP356" s="163"/>
      <c r="BQ356" s="158"/>
      <c r="BR356" s="158"/>
      <c r="BS356" s="158"/>
      <c r="BT356" s="163"/>
      <c r="BU356" s="158"/>
      <c r="BV356" s="163"/>
      <c r="BW356" s="158"/>
      <c r="BX356" s="158"/>
      <c r="BY356" s="158"/>
      <c r="BZ356" s="163"/>
      <c r="CA356" s="158"/>
      <c r="CB356" s="163"/>
      <c r="CC356" s="158"/>
      <c r="CD356" s="158"/>
      <c r="CE356" s="158"/>
      <c r="CF356" s="158"/>
    </row>
    <row r="357" spans="1:84" x14ac:dyDescent="0.5">
      <c r="A357" s="262"/>
      <c r="B357" s="135"/>
      <c r="C357" s="136"/>
      <c r="D357" s="137"/>
      <c r="E357" s="906"/>
      <c r="F357" s="940"/>
      <c r="G357" s="941"/>
      <c r="H357" s="178">
        <v>43679</v>
      </c>
      <c r="I357" s="171">
        <v>19219</v>
      </c>
      <c r="J357" s="963"/>
      <c r="K357" s="964"/>
      <c r="L357" s="135"/>
      <c r="M357" s="141"/>
      <c r="N357" s="135"/>
      <c r="O357" s="142"/>
      <c r="P357" s="142"/>
      <c r="Q357" s="142"/>
      <c r="R357" s="213"/>
      <c r="S357" s="144"/>
      <c r="T357" s="145"/>
      <c r="U357" s="146"/>
      <c r="V357" s="147"/>
      <c r="W357" s="282"/>
      <c r="X357" s="175"/>
      <c r="Y357" s="175"/>
      <c r="Z357" s="282"/>
      <c r="AA357" s="283"/>
      <c r="AB357" s="154"/>
      <c r="AC357" s="155"/>
      <c r="AD357" s="255"/>
      <c r="AE357" s="255"/>
      <c r="AF357" s="256"/>
      <c r="AG357" s="152"/>
      <c r="AH357" s="152"/>
      <c r="AI357" s="152"/>
      <c r="AJ357" s="134"/>
      <c r="AK357" s="158"/>
      <c r="AL357" s="159"/>
      <c r="AM357" s="160"/>
      <c r="AN357" s="160"/>
      <c r="AO357" s="161"/>
      <c r="AP357" s="162"/>
      <c r="AQ357" s="158"/>
      <c r="AR357" s="154"/>
      <c r="AS357" s="161"/>
      <c r="AT357" s="161"/>
      <c r="AU357" s="161"/>
      <c r="AV357" s="177"/>
      <c r="AW357" s="158"/>
      <c r="AX357" s="154"/>
      <c r="AY357" s="161"/>
      <c r="AZ357" s="161"/>
      <c r="BA357" s="161"/>
      <c r="BB357" s="177"/>
      <c r="BC357" s="158"/>
      <c r="BD357" s="163"/>
      <c r="BE357" s="158"/>
      <c r="BF357" s="158"/>
      <c r="BG357" s="158"/>
      <c r="BH357" s="163"/>
      <c r="BI357" s="158"/>
      <c r="BJ357" s="163"/>
      <c r="BK357" s="158"/>
      <c r="BL357" s="158"/>
      <c r="BM357" s="158"/>
      <c r="BN357" s="163"/>
      <c r="BO357" s="158"/>
      <c r="BP357" s="163"/>
      <c r="BQ357" s="158"/>
      <c r="BR357" s="158"/>
      <c r="BS357" s="158"/>
      <c r="BT357" s="163"/>
      <c r="BU357" s="158"/>
      <c r="BV357" s="163"/>
      <c r="BW357" s="158"/>
      <c r="BX357" s="158"/>
      <c r="BY357" s="158"/>
      <c r="BZ357" s="163"/>
      <c r="CA357" s="158"/>
      <c r="CB357" s="163"/>
      <c r="CC357" s="158"/>
      <c r="CD357" s="158"/>
      <c r="CE357" s="158"/>
      <c r="CF357" s="158"/>
    </row>
    <row r="358" spans="1:84" x14ac:dyDescent="0.5">
      <c r="A358" s="262"/>
      <c r="B358" s="135"/>
      <c r="C358" s="136"/>
      <c r="D358" s="137"/>
      <c r="E358" s="906"/>
      <c r="F358" s="940"/>
      <c r="G358" s="941"/>
      <c r="H358" s="170">
        <v>43679</v>
      </c>
      <c r="I358" s="251">
        <v>19220</v>
      </c>
      <c r="J358" s="963"/>
      <c r="K358" s="964"/>
      <c r="L358" s="135"/>
      <c r="M358" s="141"/>
      <c r="N358" s="135"/>
      <c r="O358" s="142"/>
      <c r="P358" s="142"/>
      <c r="Q358" s="142"/>
      <c r="R358" s="213"/>
      <c r="S358" s="144"/>
      <c r="T358" s="145"/>
      <c r="U358" s="146"/>
      <c r="V358" s="147"/>
      <c r="W358" s="282"/>
      <c r="X358" s="175"/>
      <c r="Y358" s="175"/>
      <c r="Z358" s="282"/>
      <c r="AA358" s="283"/>
      <c r="AB358" s="154"/>
      <c r="AC358" s="155"/>
      <c r="AD358" s="255"/>
      <c r="AE358" s="255"/>
      <c r="AF358" s="256"/>
      <c r="AG358" s="152"/>
      <c r="AH358" s="152"/>
      <c r="AI358" s="152"/>
      <c r="AJ358" s="134"/>
      <c r="AK358" s="158"/>
      <c r="AL358" s="159"/>
      <c r="AM358" s="160"/>
      <c r="AN358" s="160"/>
      <c r="AO358" s="161"/>
      <c r="AP358" s="162"/>
      <c r="AQ358" s="158"/>
      <c r="AR358" s="154"/>
      <c r="AS358" s="161"/>
      <c r="AT358" s="161"/>
      <c r="AU358" s="161"/>
      <c r="AV358" s="177"/>
      <c r="AW358" s="158"/>
      <c r="AX358" s="154"/>
      <c r="AY358" s="161"/>
      <c r="AZ358" s="161"/>
      <c r="BA358" s="161"/>
      <c r="BB358" s="177"/>
      <c r="BC358" s="158"/>
      <c r="BD358" s="163"/>
      <c r="BE358" s="158"/>
      <c r="BF358" s="158"/>
      <c r="BG358" s="158"/>
      <c r="BH358" s="163"/>
      <c r="BI358" s="158"/>
      <c r="BJ358" s="163"/>
      <c r="BK358" s="158"/>
      <c r="BL358" s="158"/>
      <c r="BM358" s="158"/>
      <c r="BN358" s="163"/>
      <c r="BO358" s="158"/>
      <c r="BP358" s="163"/>
      <c r="BQ358" s="158"/>
      <c r="BR358" s="158"/>
      <c r="BS358" s="158"/>
      <c r="BT358" s="163"/>
      <c r="BU358" s="158"/>
      <c r="BV358" s="163"/>
      <c r="BW358" s="158"/>
      <c r="BX358" s="158"/>
      <c r="BY358" s="158"/>
      <c r="BZ358" s="163"/>
      <c r="CA358" s="158"/>
      <c r="CB358" s="163"/>
      <c r="CC358" s="158"/>
      <c r="CD358" s="158"/>
      <c r="CE358" s="158"/>
      <c r="CF358" s="158"/>
    </row>
    <row r="359" spans="1:84" x14ac:dyDescent="0.5">
      <c r="A359" s="268"/>
      <c r="B359" s="181"/>
      <c r="C359" s="182"/>
      <c r="D359" s="183"/>
      <c r="E359" s="749"/>
      <c r="F359" s="938"/>
      <c r="G359" s="939"/>
      <c r="H359" s="186">
        <v>43679</v>
      </c>
      <c r="I359" s="187">
        <v>19221</v>
      </c>
      <c r="J359" s="961"/>
      <c r="K359" s="966"/>
      <c r="L359" s="181"/>
      <c r="M359" s="188"/>
      <c r="N359" s="181"/>
      <c r="O359" s="189"/>
      <c r="P359" s="189"/>
      <c r="Q359" s="189"/>
      <c r="R359" s="214"/>
      <c r="S359" s="215"/>
      <c r="T359" s="216"/>
      <c r="U359" s="217"/>
      <c r="V359" s="218"/>
      <c r="W359" s="235"/>
      <c r="X359" s="194"/>
      <c r="Y359" s="194"/>
      <c r="Z359" s="235"/>
      <c r="AA359" s="236"/>
      <c r="AB359" s="200"/>
      <c r="AC359" s="201"/>
      <c r="AD359" s="240"/>
      <c r="AE359" s="240"/>
      <c r="AF359" s="241"/>
      <c r="AG359" s="199"/>
      <c r="AH359" s="199"/>
      <c r="AI359" s="199"/>
      <c r="AJ359" s="180"/>
      <c r="AK359" s="204"/>
      <c r="AL359" s="205"/>
      <c r="AM359" s="206"/>
      <c r="AN359" s="206"/>
      <c r="AO359" s="207"/>
      <c r="AP359" s="208"/>
      <c r="AQ359" s="204"/>
      <c r="AR359" s="200"/>
      <c r="AS359" s="207"/>
      <c r="AT359" s="207"/>
      <c r="AU359" s="207"/>
      <c r="AV359" s="209"/>
      <c r="AW359" s="204"/>
      <c r="AX359" s="200"/>
      <c r="AY359" s="207"/>
      <c r="AZ359" s="207"/>
      <c r="BA359" s="207"/>
      <c r="BB359" s="209"/>
      <c r="BC359" s="204"/>
      <c r="BD359" s="210"/>
      <c r="BE359" s="204"/>
      <c r="BF359" s="204"/>
      <c r="BG359" s="204"/>
      <c r="BH359" s="210"/>
      <c r="BI359" s="204"/>
      <c r="BJ359" s="210"/>
      <c r="BK359" s="204"/>
      <c r="BL359" s="204"/>
      <c r="BM359" s="204"/>
      <c r="BN359" s="210"/>
      <c r="BO359" s="204"/>
      <c r="BP359" s="210"/>
      <c r="BQ359" s="204"/>
      <c r="BR359" s="204"/>
      <c r="BS359" s="204"/>
      <c r="BT359" s="210"/>
      <c r="BU359" s="204"/>
      <c r="BV359" s="210"/>
      <c r="BW359" s="204"/>
      <c r="BX359" s="204"/>
      <c r="BY359" s="204"/>
      <c r="BZ359" s="210"/>
      <c r="CA359" s="204"/>
      <c r="CB359" s="210"/>
      <c r="CC359" s="204"/>
      <c r="CD359" s="204"/>
      <c r="CE359" s="204"/>
      <c r="CF359" s="204"/>
    </row>
    <row r="360" spans="1:84" x14ac:dyDescent="0.5">
      <c r="A360" s="227">
        <v>19066248</v>
      </c>
      <c r="B360" s="22">
        <v>19060542</v>
      </c>
      <c r="C360" s="23" t="s">
        <v>2268</v>
      </c>
      <c r="D360" s="24" t="s">
        <v>1323</v>
      </c>
      <c r="E360" s="884">
        <v>43638</v>
      </c>
      <c r="F360" s="932" t="s">
        <v>1324</v>
      </c>
      <c r="G360" s="933" t="s">
        <v>2124</v>
      </c>
      <c r="H360" s="62">
        <v>43637</v>
      </c>
      <c r="I360" s="27">
        <v>19170</v>
      </c>
      <c r="J360" s="931" t="s">
        <v>869</v>
      </c>
      <c r="K360" s="957">
        <v>43638</v>
      </c>
      <c r="L360" s="22" t="s">
        <v>15</v>
      </c>
      <c r="M360" s="28" t="s">
        <v>437</v>
      </c>
      <c r="N360" s="22" t="s">
        <v>51</v>
      </c>
      <c r="O360" s="29">
        <v>5000</v>
      </c>
      <c r="P360" s="29">
        <f t="shared" ref="P360:P370" si="91">O360*7/100</f>
        <v>350</v>
      </c>
      <c r="Q360" s="29">
        <f t="shared" ref="Q360:Q370" si="92">O360+P360</f>
        <v>5350</v>
      </c>
      <c r="R360" s="61"/>
      <c r="S360" s="96"/>
      <c r="T360" s="97"/>
      <c r="U360" s="98"/>
      <c r="V360" s="99"/>
      <c r="W360" s="100"/>
      <c r="X360" s="99"/>
      <c r="Y360" s="99"/>
      <c r="Z360" s="100"/>
      <c r="AA360" s="101"/>
      <c r="AB360" s="40">
        <v>19060221</v>
      </c>
      <c r="AC360" s="41">
        <v>5000</v>
      </c>
      <c r="AD360" s="52">
        <f t="shared" ref="AD360:AD366" si="93">AC360*7/100</f>
        <v>350</v>
      </c>
      <c r="AE360" s="52">
        <f t="shared" ref="AE360:AE366" si="94">AC360+AD360</f>
        <v>5350</v>
      </c>
      <c r="AF360" s="53">
        <v>43685</v>
      </c>
      <c r="AG360" s="39" t="s">
        <v>869</v>
      </c>
      <c r="AH360" s="39"/>
      <c r="AI360" s="39"/>
      <c r="AJ360" s="21" t="s">
        <v>2718</v>
      </c>
      <c r="AK360" s="846">
        <v>1</v>
      </c>
      <c r="AL360" s="45" t="s">
        <v>2269</v>
      </c>
      <c r="AM360" s="46"/>
      <c r="AN360" s="46" t="s">
        <v>869</v>
      </c>
      <c r="AO360" s="47">
        <v>1</v>
      </c>
      <c r="AP360" s="48" t="s">
        <v>633</v>
      </c>
      <c r="AQ360" s="892"/>
      <c r="AR360" s="54"/>
      <c r="AS360" s="892"/>
      <c r="AT360" s="892"/>
      <c r="AU360" s="892"/>
      <c r="AV360" s="54"/>
      <c r="AW360" s="892"/>
      <c r="AX360" s="54"/>
      <c r="AY360" s="892"/>
      <c r="AZ360" s="892"/>
      <c r="BA360" s="892"/>
      <c r="BB360" s="54"/>
      <c r="BC360" s="892"/>
      <c r="BD360" s="54"/>
      <c r="BE360" s="892"/>
      <c r="BF360" s="892"/>
      <c r="BG360" s="892"/>
      <c r="BH360" s="54"/>
      <c r="BI360" s="892"/>
      <c r="BJ360" s="54"/>
      <c r="BK360" s="892"/>
      <c r="BL360" s="892"/>
      <c r="BM360" s="892"/>
      <c r="BN360" s="54"/>
      <c r="BO360" s="892"/>
      <c r="BP360" s="54"/>
      <c r="BQ360" s="892"/>
      <c r="BR360" s="892"/>
      <c r="BS360" s="892"/>
      <c r="BT360" s="54"/>
      <c r="BU360" s="892"/>
      <c r="BV360" s="54"/>
      <c r="BW360" s="892"/>
      <c r="BX360" s="892"/>
      <c r="BY360" s="892"/>
      <c r="BZ360" s="54"/>
      <c r="CA360" s="892"/>
      <c r="CB360" s="54"/>
      <c r="CC360" s="892"/>
      <c r="CD360" s="892"/>
      <c r="CE360" s="892"/>
      <c r="CF360" s="892"/>
    </row>
    <row r="361" spans="1:84" x14ac:dyDescent="0.5">
      <c r="A361" s="259">
        <v>19066247</v>
      </c>
      <c r="B361" s="104">
        <v>19060517</v>
      </c>
      <c r="C361" s="105" t="s">
        <v>2270</v>
      </c>
      <c r="D361" s="106" t="s">
        <v>1323</v>
      </c>
      <c r="E361" s="302">
        <v>43641</v>
      </c>
      <c r="F361" s="946" t="s">
        <v>1324</v>
      </c>
      <c r="G361" s="947" t="s">
        <v>2299</v>
      </c>
      <c r="H361" s="211">
        <v>43657</v>
      </c>
      <c r="I361" s="164">
        <v>19196</v>
      </c>
      <c r="J361" s="248" t="s">
        <v>869</v>
      </c>
      <c r="K361" s="962">
        <v>43658</v>
      </c>
      <c r="L361" s="104" t="s">
        <v>23</v>
      </c>
      <c r="M361" s="110" t="s">
        <v>505</v>
      </c>
      <c r="N361" s="104" t="s">
        <v>51</v>
      </c>
      <c r="O361" s="111">
        <v>450000</v>
      </c>
      <c r="P361" s="111">
        <f t="shared" si="91"/>
        <v>31500</v>
      </c>
      <c r="Q361" s="111">
        <f t="shared" si="92"/>
        <v>481500</v>
      </c>
      <c r="R361" s="212"/>
      <c r="S361" s="165"/>
      <c r="T361" s="166"/>
      <c r="U361" s="167"/>
      <c r="V361" s="168"/>
      <c r="W361" s="231"/>
      <c r="X361" s="168"/>
      <c r="Y361" s="168"/>
      <c r="Z361" s="231"/>
      <c r="AA361" s="232"/>
      <c r="AB361" s="123">
        <v>19070257</v>
      </c>
      <c r="AC361" s="124">
        <v>380000</v>
      </c>
      <c r="AD361" s="260">
        <f t="shared" si="93"/>
        <v>26600</v>
      </c>
      <c r="AE361" s="261">
        <f t="shared" si="94"/>
        <v>406600</v>
      </c>
      <c r="AF361" s="126">
        <v>43694</v>
      </c>
      <c r="AG361" s="127" t="s">
        <v>869</v>
      </c>
      <c r="AH361" s="127"/>
      <c r="AI361" s="127"/>
      <c r="AJ361" s="103" t="s">
        <v>2704</v>
      </c>
      <c r="AK361" s="128">
        <v>1</v>
      </c>
      <c r="AL361" s="129" t="s">
        <v>2271</v>
      </c>
      <c r="AM361" s="130"/>
      <c r="AN361" s="130" t="s">
        <v>869</v>
      </c>
      <c r="AO361" s="131">
        <v>1</v>
      </c>
      <c r="AP361" s="132" t="s">
        <v>633</v>
      </c>
      <c r="AQ361" s="128"/>
      <c r="AR361" s="133"/>
      <c r="AS361" s="128"/>
      <c r="AT361" s="128"/>
      <c r="AU361" s="128"/>
      <c r="AV361" s="133"/>
      <c r="AW361" s="128"/>
      <c r="AX361" s="133"/>
      <c r="AY361" s="128"/>
      <c r="AZ361" s="128"/>
      <c r="BA361" s="128"/>
      <c r="BB361" s="133"/>
      <c r="BC361" s="128"/>
      <c r="BD361" s="133"/>
      <c r="BE361" s="128"/>
      <c r="BF361" s="128"/>
      <c r="BG361" s="128"/>
      <c r="BH361" s="133"/>
      <c r="BI361" s="128"/>
      <c r="BJ361" s="133"/>
      <c r="BK361" s="128"/>
      <c r="BL361" s="128"/>
      <c r="BM361" s="128"/>
      <c r="BN361" s="133"/>
      <c r="BO361" s="128"/>
      <c r="BP361" s="133"/>
      <c r="BQ361" s="128"/>
      <c r="BR361" s="128"/>
      <c r="BS361" s="128"/>
      <c r="BT361" s="133"/>
      <c r="BU361" s="128"/>
      <c r="BV361" s="133"/>
      <c r="BW361" s="128"/>
      <c r="BX361" s="128"/>
      <c r="BY361" s="128"/>
      <c r="BZ361" s="133"/>
      <c r="CA361" s="128"/>
      <c r="CB361" s="133"/>
      <c r="CC361" s="128"/>
      <c r="CD361" s="128"/>
      <c r="CE361" s="128"/>
      <c r="CF361" s="128"/>
    </row>
    <row r="362" spans="1:84" x14ac:dyDescent="0.5">
      <c r="A362" s="268"/>
      <c r="B362" s="181"/>
      <c r="C362" s="182"/>
      <c r="D362" s="183"/>
      <c r="E362" s="749"/>
      <c r="F362" s="938" t="s">
        <v>1324</v>
      </c>
      <c r="G362" s="939" t="s">
        <v>2568</v>
      </c>
      <c r="H362" s="186">
        <v>43711</v>
      </c>
      <c r="I362" s="187">
        <v>19265</v>
      </c>
      <c r="J362" s="257"/>
      <c r="K362" s="966">
        <v>43711</v>
      </c>
      <c r="L362" s="181"/>
      <c r="M362" s="188"/>
      <c r="N362" s="181"/>
      <c r="O362" s="189"/>
      <c r="P362" s="189"/>
      <c r="Q362" s="189"/>
      <c r="R362" s="214"/>
      <c r="S362" s="191"/>
      <c r="T362" s="192"/>
      <c r="U362" s="193"/>
      <c r="V362" s="194"/>
      <c r="W362" s="235"/>
      <c r="X362" s="194"/>
      <c r="Y362" s="194"/>
      <c r="Z362" s="235"/>
      <c r="AA362" s="236"/>
      <c r="AB362" s="200">
        <v>19090334</v>
      </c>
      <c r="AC362" s="201">
        <v>70000</v>
      </c>
      <c r="AD362" s="237">
        <f t="shared" si="93"/>
        <v>4900</v>
      </c>
      <c r="AE362" s="238">
        <f t="shared" si="94"/>
        <v>74900</v>
      </c>
      <c r="AF362" s="203">
        <v>43747</v>
      </c>
      <c r="AG362" s="199" t="s">
        <v>869</v>
      </c>
      <c r="AH362" s="199"/>
      <c r="AI362" s="199"/>
      <c r="AJ362" s="180" t="s">
        <v>3033</v>
      </c>
      <c r="AK362" s="204"/>
      <c r="AL362" s="205"/>
      <c r="AM362" s="206"/>
      <c r="AN362" s="206"/>
      <c r="AO362" s="207"/>
      <c r="AP362" s="208"/>
      <c r="AQ362" s="204"/>
      <c r="AR362" s="210"/>
      <c r="AS362" s="204"/>
      <c r="AT362" s="204"/>
      <c r="AU362" s="204"/>
      <c r="AV362" s="210"/>
      <c r="AW362" s="204"/>
      <c r="AX362" s="210"/>
      <c r="AY362" s="204"/>
      <c r="AZ362" s="204"/>
      <c r="BA362" s="204"/>
      <c r="BB362" s="210"/>
      <c r="BC362" s="204"/>
      <c r="BD362" s="210"/>
      <c r="BE362" s="204"/>
      <c r="BF362" s="204"/>
      <c r="BG362" s="204"/>
      <c r="BH362" s="210"/>
      <c r="BI362" s="204"/>
      <c r="BJ362" s="210"/>
      <c r="BK362" s="204"/>
      <c r="BL362" s="204"/>
      <c r="BM362" s="204"/>
      <c r="BN362" s="210"/>
      <c r="BO362" s="204"/>
      <c r="BP362" s="210"/>
      <c r="BQ362" s="204"/>
      <c r="BR362" s="204"/>
      <c r="BS362" s="204"/>
      <c r="BT362" s="210"/>
      <c r="BU362" s="204"/>
      <c r="BV362" s="210"/>
      <c r="BW362" s="204"/>
      <c r="BX362" s="204"/>
      <c r="BY362" s="204"/>
      <c r="BZ362" s="210"/>
      <c r="CA362" s="204"/>
      <c r="CB362" s="210"/>
      <c r="CC362" s="204"/>
      <c r="CD362" s="204"/>
      <c r="CE362" s="204"/>
      <c r="CF362" s="204"/>
    </row>
    <row r="363" spans="1:84" x14ac:dyDescent="0.5">
      <c r="A363" s="227">
        <v>19066246</v>
      </c>
      <c r="B363" s="22">
        <v>19060529</v>
      </c>
      <c r="C363" s="55"/>
      <c r="D363" s="56"/>
      <c r="E363" s="910"/>
      <c r="F363" s="57"/>
      <c r="G363" s="58"/>
      <c r="H363" s="59"/>
      <c r="I363" s="60"/>
      <c r="J363" s="269"/>
      <c r="K363" s="59"/>
      <c r="L363" s="22" t="s">
        <v>2272</v>
      </c>
      <c r="M363" s="28" t="s">
        <v>2273</v>
      </c>
      <c r="N363" s="22" t="s">
        <v>51</v>
      </c>
      <c r="O363" s="29">
        <v>25200</v>
      </c>
      <c r="P363" s="29">
        <f t="shared" si="91"/>
        <v>1764</v>
      </c>
      <c r="Q363" s="29">
        <f t="shared" si="92"/>
        <v>26964</v>
      </c>
      <c r="R363" s="61"/>
      <c r="S363" s="96"/>
      <c r="T363" s="97"/>
      <c r="U363" s="98"/>
      <c r="V363" s="99"/>
      <c r="W363" s="100"/>
      <c r="X363" s="99"/>
      <c r="Y363" s="99"/>
      <c r="Z363" s="100"/>
      <c r="AA363" s="101"/>
      <c r="AB363" s="40">
        <v>19090368</v>
      </c>
      <c r="AC363" s="41">
        <v>25200</v>
      </c>
      <c r="AD363" s="63">
        <f t="shared" si="93"/>
        <v>1764</v>
      </c>
      <c r="AE363" s="64">
        <f t="shared" si="94"/>
        <v>26964</v>
      </c>
      <c r="AF363" s="53">
        <v>43763</v>
      </c>
      <c r="AG363" s="39" t="s">
        <v>869</v>
      </c>
      <c r="AH363" s="39"/>
      <c r="AI363" s="39"/>
      <c r="AJ363" s="21" t="s">
        <v>3359</v>
      </c>
      <c r="AK363" s="869"/>
      <c r="AL363" s="45"/>
      <c r="AM363" s="46"/>
      <c r="AN363" s="46"/>
      <c r="AO363" s="47"/>
      <c r="AP363" s="48"/>
      <c r="AQ363" s="869"/>
      <c r="AR363" s="40"/>
      <c r="AS363" s="47"/>
      <c r="AT363" s="47"/>
      <c r="AU363" s="47"/>
      <c r="AV363" s="49"/>
      <c r="AW363" s="869"/>
      <c r="AX363" s="40"/>
      <c r="AY363" s="47"/>
      <c r="AZ363" s="47"/>
      <c r="BA363" s="47"/>
      <c r="BB363" s="49"/>
      <c r="BC363" s="869"/>
      <c r="BD363" s="40"/>
      <c r="BE363" s="47"/>
      <c r="BF363" s="47"/>
      <c r="BG363" s="47"/>
      <c r="BH363" s="49"/>
      <c r="BI363" s="869"/>
      <c r="BJ363" s="40"/>
      <c r="BK363" s="47"/>
      <c r="BL363" s="47"/>
      <c r="BM363" s="47"/>
      <c r="BN363" s="49"/>
      <c r="BO363" s="869"/>
      <c r="BP363" s="40"/>
      <c r="BQ363" s="47"/>
      <c r="BR363" s="47"/>
      <c r="BS363" s="47"/>
      <c r="BT363" s="49"/>
      <c r="BU363" s="869"/>
      <c r="BV363" s="40"/>
      <c r="BW363" s="47"/>
      <c r="BX363" s="47"/>
      <c r="BY363" s="47"/>
      <c r="BZ363" s="49"/>
      <c r="CA363" s="869"/>
      <c r="CB363" s="40"/>
      <c r="CC363" s="47"/>
      <c r="CD363" s="47"/>
      <c r="CE363" s="47"/>
      <c r="CF363" s="50"/>
    </row>
    <row r="364" spans="1:84" x14ac:dyDescent="0.5">
      <c r="A364" s="227">
        <v>19066245</v>
      </c>
      <c r="B364" s="22">
        <v>19060525</v>
      </c>
      <c r="C364" s="55"/>
      <c r="D364" s="56"/>
      <c r="E364" s="910"/>
      <c r="F364" s="57"/>
      <c r="G364" s="58"/>
      <c r="H364" s="59"/>
      <c r="I364" s="60"/>
      <c r="J364" s="931" t="s">
        <v>869</v>
      </c>
      <c r="K364" s="957">
        <v>43630</v>
      </c>
      <c r="L364" s="22" t="s">
        <v>554</v>
      </c>
      <c r="M364" s="28" t="s">
        <v>2260</v>
      </c>
      <c r="N364" s="22" t="s">
        <v>52</v>
      </c>
      <c r="O364" s="29">
        <v>1200</v>
      </c>
      <c r="P364" s="29">
        <f t="shared" si="91"/>
        <v>84</v>
      </c>
      <c r="Q364" s="29">
        <f t="shared" si="92"/>
        <v>1284</v>
      </c>
      <c r="R364" s="61"/>
      <c r="S364" s="96"/>
      <c r="T364" s="97"/>
      <c r="U364" s="98"/>
      <c r="V364" s="99"/>
      <c r="W364" s="35">
        <f>O364</f>
        <v>1200</v>
      </c>
      <c r="X364" s="36">
        <v>1</v>
      </c>
      <c r="Y364" s="36">
        <f>W364*X364/100</f>
        <v>12</v>
      </c>
      <c r="Z364" s="100"/>
      <c r="AA364" s="101"/>
      <c r="AB364" s="40">
        <v>19060211</v>
      </c>
      <c r="AC364" s="41">
        <v>1200</v>
      </c>
      <c r="AD364" s="52">
        <f t="shared" si="93"/>
        <v>84</v>
      </c>
      <c r="AE364" s="52">
        <f t="shared" si="94"/>
        <v>1284</v>
      </c>
      <c r="AF364" s="53">
        <v>43630</v>
      </c>
      <c r="AG364" s="39" t="s">
        <v>869</v>
      </c>
      <c r="AH364" s="39"/>
      <c r="AI364" s="39"/>
      <c r="AJ364" s="21" t="s">
        <v>2357</v>
      </c>
      <c r="AK364" s="869">
        <v>1</v>
      </c>
      <c r="AL364" s="45" t="s">
        <v>548</v>
      </c>
      <c r="AM364" s="46"/>
      <c r="AN364" s="46"/>
      <c r="AO364" s="47">
        <v>1</v>
      </c>
      <c r="AP364" s="48" t="s">
        <v>628</v>
      </c>
      <c r="AQ364" s="891"/>
      <c r="AR364" s="54"/>
      <c r="AS364" s="891"/>
      <c r="AT364" s="891"/>
      <c r="AU364" s="891"/>
      <c r="AV364" s="54"/>
      <c r="AW364" s="891"/>
      <c r="AX364" s="54"/>
      <c r="AY364" s="891"/>
      <c r="AZ364" s="891"/>
      <c r="BA364" s="891"/>
      <c r="BB364" s="54"/>
      <c r="BC364" s="891"/>
      <c r="BD364" s="54"/>
      <c r="BE364" s="891"/>
      <c r="BF364" s="891"/>
      <c r="BG364" s="891"/>
      <c r="BH364" s="54"/>
      <c r="BI364" s="891"/>
      <c r="BJ364" s="54"/>
      <c r="BK364" s="891"/>
      <c r="BL364" s="891"/>
      <c r="BM364" s="891"/>
      <c r="BN364" s="54"/>
      <c r="BO364" s="891"/>
      <c r="BP364" s="54"/>
      <c r="BQ364" s="891"/>
      <c r="BR364" s="891"/>
      <c r="BS364" s="891"/>
      <c r="BT364" s="54"/>
      <c r="BU364" s="891"/>
      <c r="BV364" s="54"/>
      <c r="BW364" s="891"/>
      <c r="BX364" s="891"/>
      <c r="BY364" s="891"/>
      <c r="BZ364" s="54"/>
      <c r="CA364" s="891"/>
      <c r="CB364" s="54"/>
      <c r="CC364" s="891"/>
      <c r="CD364" s="891"/>
      <c r="CE364" s="891"/>
      <c r="CF364" s="891"/>
    </row>
    <row r="365" spans="1:84" x14ac:dyDescent="0.5">
      <c r="A365" s="259">
        <v>19066244</v>
      </c>
      <c r="B365" s="104">
        <v>19060524</v>
      </c>
      <c r="C365" s="105" t="s">
        <v>2261</v>
      </c>
      <c r="D365" s="106" t="s">
        <v>1323</v>
      </c>
      <c r="E365" s="302">
        <v>43647</v>
      </c>
      <c r="F365" s="936" t="s">
        <v>1324</v>
      </c>
      <c r="G365" s="937" t="s">
        <v>2481</v>
      </c>
      <c r="H365" s="122">
        <v>43697</v>
      </c>
      <c r="I365" s="109">
        <v>19246</v>
      </c>
      <c r="J365" s="248" t="s">
        <v>869</v>
      </c>
      <c r="K365" s="965">
        <v>43700</v>
      </c>
      <c r="L365" s="104" t="s">
        <v>1604</v>
      </c>
      <c r="M365" s="110" t="s">
        <v>2262</v>
      </c>
      <c r="N365" s="104" t="s">
        <v>50</v>
      </c>
      <c r="O365" s="111">
        <v>360280</v>
      </c>
      <c r="P365" s="111">
        <f t="shared" si="91"/>
        <v>25219.599999999999</v>
      </c>
      <c r="Q365" s="111">
        <f t="shared" si="92"/>
        <v>385499.6</v>
      </c>
      <c r="R365" s="212"/>
      <c r="S365" s="165"/>
      <c r="T365" s="166"/>
      <c r="U365" s="167"/>
      <c r="V365" s="168"/>
      <c r="W365" s="117">
        <f>O365</f>
        <v>360280</v>
      </c>
      <c r="X365" s="118">
        <v>0.25</v>
      </c>
      <c r="Y365" s="118">
        <f>W365*X365/100</f>
        <v>900.7</v>
      </c>
      <c r="Z365" s="119">
        <v>0.2</v>
      </c>
      <c r="AA365" s="120">
        <f>W365*Z365/100</f>
        <v>720.56</v>
      </c>
      <c r="AB365" s="123">
        <v>19090333</v>
      </c>
      <c r="AC365" s="124">
        <v>281400</v>
      </c>
      <c r="AD365" s="260">
        <f t="shared" si="93"/>
        <v>19698</v>
      </c>
      <c r="AE365" s="260">
        <f t="shared" si="94"/>
        <v>301098</v>
      </c>
      <c r="AF365" s="126">
        <v>43732</v>
      </c>
      <c r="AG365" s="127" t="s">
        <v>869</v>
      </c>
      <c r="AH365" s="127"/>
      <c r="AI365" s="127"/>
      <c r="AJ365" s="103" t="s">
        <v>3037</v>
      </c>
      <c r="AK365" s="128">
        <v>1</v>
      </c>
      <c r="AL365" s="129" t="s">
        <v>1608</v>
      </c>
      <c r="AM365" s="130"/>
      <c r="AN365" s="130" t="s">
        <v>869</v>
      </c>
      <c r="AO365" s="131">
        <v>1</v>
      </c>
      <c r="AP365" s="132" t="s">
        <v>634</v>
      </c>
      <c r="AQ365" s="128">
        <v>2</v>
      </c>
      <c r="AR365" s="123" t="s">
        <v>1606</v>
      </c>
      <c r="AS365" s="131" t="s">
        <v>869</v>
      </c>
      <c r="AT365" s="131"/>
      <c r="AU365" s="131">
        <v>4</v>
      </c>
      <c r="AV365" s="169" t="s">
        <v>636</v>
      </c>
      <c r="AW365" s="128">
        <v>3</v>
      </c>
      <c r="AX365" s="123" t="s">
        <v>1607</v>
      </c>
      <c r="AY365" s="131"/>
      <c r="AZ365" s="131" t="s">
        <v>869</v>
      </c>
      <c r="BA365" s="131">
        <v>1</v>
      </c>
      <c r="BB365" s="169" t="s">
        <v>636</v>
      </c>
      <c r="BC365" s="128"/>
      <c r="BD365" s="133"/>
      <c r="BE365" s="128"/>
      <c r="BF365" s="128"/>
      <c r="BG365" s="128"/>
      <c r="BH365" s="133"/>
      <c r="BI365" s="128"/>
      <c r="BJ365" s="133"/>
      <c r="BK365" s="128"/>
      <c r="BL365" s="128"/>
      <c r="BM365" s="128"/>
      <c r="BN365" s="133"/>
      <c r="BO365" s="128"/>
      <c r="BP365" s="133"/>
      <c r="BQ365" s="128"/>
      <c r="BR365" s="128"/>
      <c r="BS365" s="128"/>
      <c r="BT365" s="133"/>
      <c r="BU365" s="128"/>
      <c r="BV365" s="133"/>
      <c r="BW365" s="128"/>
      <c r="BX365" s="128"/>
      <c r="BY365" s="128"/>
      <c r="BZ365" s="133"/>
      <c r="CA365" s="128"/>
      <c r="CB365" s="133"/>
      <c r="CC365" s="128"/>
      <c r="CD365" s="128"/>
      <c r="CE365" s="128"/>
      <c r="CF365" s="128"/>
    </row>
    <row r="366" spans="1:84" x14ac:dyDescent="0.5">
      <c r="A366" s="262"/>
      <c r="B366" s="135"/>
      <c r="C366" s="136"/>
      <c r="D366" s="137"/>
      <c r="E366" s="1030">
        <v>43656</v>
      </c>
      <c r="F366" s="952"/>
      <c r="G366" s="953"/>
      <c r="H366" s="1029"/>
      <c r="I366" s="171"/>
      <c r="J366" s="252"/>
      <c r="K366" s="637"/>
      <c r="L366" s="135"/>
      <c r="M366" s="141"/>
      <c r="N366" s="135"/>
      <c r="O366" s="142"/>
      <c r="P366" s="142"/>
      <c r="Q366" s="142"/>
      <c r="R366" s="213"/>
      <c r="S366" s="172"/>
      <c r="T366" s="173"/>
      <c r="U366" s="174"/>
      <c r="V366" s="175"/>
      <c r="W366" s="148"/>
      <c r="X366" s="149"/>
      <c r="Y366" s="149"/>
      <c r="Z366" s="150"/>
      <c r="AA366" s="151"/>
      <c r="AB366" s="154">
        <v>19090376</v>
      </c>
      <c r="AC366" s="155">
        <v>78880</v>
      </c>
      <c r="AD366" s="253">
        <f t="shared" si="93"/>
        <v>5521.6</v>
      </c>
      <c r="AE366" s="253">
        <f t="shared" si="94"/>
        <v>84401.600000000006</v>
      </c>
      <c r="AF366" s="157">
        <v>43751</v>
      </c>
      <c r="AG366" s="152" t="s">
        <v>869</v>
      </c>
      <c r="AH366" s="152"/>
      <c r="AI366" s="152"/>
      <c r="AJ366" s="134" t="s">
        <v>3038</v>
      </c>
      <c r="AK366" s="158"/>
      <c r="AL366" s="159"/>
      <c r="AM366" s="160"/>
      <c r="AN366" s="160"/>
      <c r="AO366" s="161"/>
      <c r="AP366" s="162"/>
      <c r="AQ366" s="158"/>
      <c r="AR366" s="154"/>
      <c r="AS366" s="161"/>
      <c r="AT366" s="161"/>
      <c r="AU366" s="161"/>
      <c r="AV366" s="177"/>
      <c r="AW366" s="158"/>
      <c r="AX366" s="154"/>
      <c r="AY366" s="161"/>
      <c r="AZ366" s="161"/>
      <c r="BA366" s="161"/>
      <c r="BB366" s="177"/>
      <c r="BC366" s="158"/>
      <c r="BD366" s="163"/>
      <c r="BE366" s="158"/>
      <c r="BF366" s="158"/>
      <c r="BG366" s="158"/>
      <c r="BH366" s="163"/>
      <c r="BI366" s="158"/>
      <c r="BJ366" s="163"/>
      <c r="BK366" s="158"/>
      <c r="BL366" s="158"/>
      <c r="BM366" s="158"/>
      <c r="BN366" s="163"/>
      <c r="BO366" s="158"/>
      <c r="BP366" s="163"/>
      <c r="BQ366" s="158"/>
      <c r="BR366" s="158"/>
      <c r="BS366" s="158"/>
      <c r="BT366" s="163"/>
      <c r="BU366" s="158"/>
      <c r="BV366" s="163"/>
      <c r="BW366" s="158"/>
      <c r="BX366" s="158"/>
      <c r="BY366" s="158"/>
      <c r="BZ366" s="163"/>
      <c r="CA366" s="158"/>
      <c r="CB366" s="163"/>
      <c r="CC366" s="158"/>
      <c r="CD366" s="158"/>
      <c r="CE366" s="158"/>
      <c r="CF366" s="158"/>
    </row>
    <row r="367" spans="1:84" x14ac:dyDescent="0.5">
      <c r="A367" s="262"/>
      <c r="B367" s="135"/>
      <c r="C367" s="136"/>
      <c r="D367" s="137"/>
      <c r="E367" s="906"/>
      <c r="F367" s="948" t="s">
        <v>1324</v>
      </c>
      <c r="G367" s="949" t="s">
        <v>2507</v>
      </c>
      <c r="H367" s="170">
        <v>43707</v>
      </c>
      <c r="I367" s="251">
        <v>19261</v>
      </c>
      <c r="J367" s="252"/>
      <c r="K367" s="969">
        <v>43708</v>
      </c>
      <c r="L367" s="135"/>
      <c r="M367" s="141"/>
      <c r="N367" s="135"/>
      <c r="O367" s="142"/>
      <c r="P367" s="142"/>
      <c r="Q367" s="142"/>
      <c r="R367" s="213"/>
      <c r="S367" s="172"/>
      <c r="T367" s="173"/>
      <c r="U367" s="174"/>
      <c r="V367" s="175"/>
      <c r="W367" s="148"/>
      <c r="X367" s="149"/>
      <c r="Y367" s="149"/>
      <c r="Z367" s="150"/>
      <c r="AA367" s="151"/>
      <c r="AB367" s="154"/>
      <c r="AC367" s="155"/>
      <c r="AD367" s="255"/>
      <c r="AE367" s="255"/>
      <c r="AF367" s="256"/>
      <c r="AG367" s="152"/>
      <c r="AH367" s="152"/>
      <c r="AI367" s="152"/>
      <c r="AJ367" s="134"/>
      <c r="AK367" s="158"/>
      <c r="AL367" s="159"/>
      <c r="AM367" s="160"/>
      <c r="AN367" s="160"/>
      <c r="AO367" s="161"/>
      <c r="AP367" s="162"/>
      <c r="AQ367" s="158"/>
      <c r="AR367" s="154"/>
      <c r="AS367" s="161"/>
      <c r="AT367" s="161"/>
      <c r="AU367" s="161"/>
      <c r="AV367" s="177"/>
      <c r="AW367" s="158"/>
      <c r="AX367" s="154"/>
      <c r="AY367" s="161"/>
      <c r="AZ367" s="161"/>
      <c r="BA367" s="161"/>
      <c r="BB367" s="177"/>
      <c r="BC367" s="158"/>
      <c r="BD367" s="163"/>
      <c r="BE367" s="158"/>
      <c r="BF367" s="158"/>
      <c r="BG367" s="158"/>
      <c r="BH367" s="163"/>
      <c r="BI367" s="158"/>
      <c r="BJ367" s="163"/>
      <c r="BK367" s="158"/>
      <c r="BL367" s="158"/>
      <c r="BM367" s="158"/>
      <c r="BN367" s="163"/>
      <c r="BO367" s="158"/>
      <c r="BP367" s="163"/>
      <c r="BQ367" s="158"/>
      <c r="BR367" s="158"/>
      <c r="BS367" s="158"/>
      <c r="BT367" s="163"/>
      <c r="BU367" s="158"/>
      <c r="BV367" s="163"/>
      <c r="BW367" s="158"/>
      <c r="BX367" s="158"/>
      <c r="BY367" s="158"/>
      <c r="BZ367" s="163"/>
      <c r="CA367" s="158"/>
      <c r="CB367" s="163"/>
      <c r="CC367" s="158"/>
      <c r="CD367" s="158"/>
      <c r="CE367" s="158"/>
      <c r="CF367" s="158"/>
    </row>
    <row r="368" spans="1:84" x14ac:dyDescent="0.5">
      <c r="A368" s="268"/>
      <c r="B368" s="181"/>
      <c r="C368" s="182"/>
      <c r="D368" s="183"/>
      <c r="E368" s="749"/>
      <c r="F368" s="938" t="s">
        <v>1324</v>
      </c>
      <c r="G368" s="939" t="s">
        <v>2622</v>
      </c>
      <c r="H368" s="186">
        <v>43724</v>
      </c>
      <c r="I368" s="187">
        <v>19286</v>
      </c>
      <c r="J368" s="257"/>
      <c r="K368" s="966">
        <v>43725</v>
      </c>
      <c r="L368" s="181"/>
      <c r="M368" s="188"/>
      <c r="N368" s="181"/>
      <c r="O368" s="189"/>
      <c r="P368" s="189"/>
      <c r="Q368" s="189"/>
      <c r="R368" s="214"/>
      <c r="S368" s="191"/>
      <c r="T368" s="192"/>
      <c r="U368" s="193"/>
      <c r="V368" s="194"/>
      <c r="W368" s="195"/>
      <c r="X368" s="196"/>
      <c r="Y368" s="196"/>
      <c r="Z368" s="197"/>
      <c r="AA368" s="198"/>
      <c r="AB368" s="200"/>
      <c r="AC368" s="201"/>
      <c r="AD368" s="240"/>
      <c r="AE368" s="240"/>
      <c r="AF368" s="241"/>
      <c r="AG368" s="199"/>
      <c r="AH368" s="199"/>
      <c r="AI368" s="199"/>
      <c r="AJ368" s="180"/>
      <c r="AK368" s="204"/>
      <c r="AL368" s="205"/>
      <c r="AM368" s="206"/>
      <c r="AN368" s="206"/>
      <c r="AO368" s="207"/>
      <c r="AP368" s="208"/>
      <c r="AQ368" s="204"/>
      <c r="AR368" s="200"/>
      <c r="AS368" s="207"/>
      <c r="AT368" s="207"/>
      <c r="AU368" s="207"/>
      <c r="AV368" s="209"/>
      <c r="AW368" s="204"/>
      <c r="AX368" s="200"/>
      <c r="AY368" s="207"/>
      <c r="AZ368" s="207"/>
      <c r="BA368" s="207"/>
      <c r="BB368" s="209"/>
      <c r="BC368" s="204"/>
      <c r="BD368" s="210"/>
      <c r="BE368" s="204"/>
      <c r="BF368" s="204"/>
      <c r="BG368" s="204"/>
      <c r="BH368" s="210"/>
      <c r="BI368" s="204"/>
      <c r="BJ368" s="210"/>
      <c r="BK368" s="204"/>
      <c r="BL368" s="204"/>
      <c r="BM368" s="204"/>
      <c r="BN368" s="210"/>
      <c r="BO368" s="204"/>
      <c r="BP368" s="210"/>
      <c r="BQ368" s="204"/>
      <c r="BR368" s="204"/>
      <c r="BS368" s="204"/>
      <c r="BT368" s="210"/>
      <c r="BU368" s="204"/>
      <c r="BV368" s="210"/>
      <c r="BW368" s="204"/>
      <c r="BX368" s="204"/>
      <c r="BY368" s="204"/>
      <c r="BZ368" s="210"/>
      <c r="CA368" s="204"/>
      <c r="CB368" s="210"/>
      <c r="CC368" s="204"/>
      <c r="CD368" s="204"/>
      <c r="CE368" s="204"/>
      <c r="CF368" s="204"/>
    </row>
    <row r="369" spans="1:84" x14ac:dyDescent="0.5">
      <c r="A369" s="227">
        <v>19066243</v>
      </c>
      <c r="B369" s="22">
        <v>19060516</v>
      </c>
      <c r="C369" s="23" t="s">
        <v>2254</v>
      </c>
      <c r="D369" s="24" t="s">
        <v>1323</v>
      </c>
      <c r="E369" s="884">
        <v>43641</v>
      </c>
      <c r="F369" s="932" t="s">
        <v>1324</v>
      </c>
      <c r="G369" s="933" t="s">
        <v>2157</v>
      </c>
      <c r="H369" s="62">
        <v>43654</v>
      </c>
      <c r="I369" s="27">
        <v>19190</v>
      </c>
      <c r="J369" s="931" t="s">
        <v>869</v>
      </c>
      <c r="K369" s="957">
        <v>43654</v>
      </c>
      <c r="L369" s="22" t="s">
        <v>2255</v>
      </c>
      <c r="M369" s="28" t="s">
        <v>2256</v>
      </c>
      <c r="N369" s="22" t="s">
        <v>51</v>
      </c>
      <c r="O369" s="29">
        <v>121000</v>
      </c>
      <c r="P369" s="29">
        <f t="shared" si="91"/>
        <v>8470</v>
      </c>
      <c r="Q369" s="29">
        <f t="shared" si="92"/>
        <v>129470</v>
      </c>
      <c r="R369" s="61"/>
      <c r="S369" s="96"/>
      <c r="T369" s="97"/>
      <c r="U369" s="98"/>
      <c r="V369" s="99"/>
      <c r="W369" s="100"/>
      <c r="X369" s="99"/>
      <c r="Y369" s="99"/>
      <c r="Z369" s="100"/>
      <c r="AA369" s="101"/>
      <c r="AB369" s="40">
        <v>19060217</v>
      </c>
      <c r="AC369" s="41">
        <v>121000</v>
      </c>
      <c r="AD369" s="52">
        <f>AC369*7/100</f>
        <v>8470</v>
      </c>
      <c r="AE369" s="52">
        <f>AC369+AD369</f>
        <v>129470</v>
      </c>
      <c r="AF369" s="53">
        <v>43670</v>
      </c>
      <c r="AG369" s="39" t="s">
        <v>869</v>
      </c>
      <c r="AH369" s="39"/>
      <c r="AI369" s="39"/>
      <c r="AJ369" s="21" t="s">
        <v>2712</v>
      </c>
      <c r="AK369" s="869">
        <v>1</v>
      </c>
      <c r="AL369" s="45" t="s">
        <v>2257</v>
      </c>
      <c r="AM369" s="46"/>
      <c r="AN369" s="46" t="s">
        <v>869</v>
      </c>
      <c r="AO369" s="47">
        <v>1</v>
      </c>
      <c r="AP369" s="48" t="s">
        <v>633</v>
      </c>
      <c r="AQ369" s="883"/>
      <c r="AR369" s="54"/>
      <c r="AS369" s="883"/>
      <c r="AT369" s="883"/>
      <c r="AU369" s="883"/>
      <c r="AV369" s="54"/>
      <c r="AW369" s="883"/>
      <c r="AX369" s="54"/>
      <c r="AY369" s="883"/>
      <c r="AZ369" s="883"/>
      <c r="BA369" s="883"/>
      <c r="BB369" s="54"/>
      <c r="BC369" s="883"/>
      <c r="BD369" s="54"/>
      <c r="BE369" s="883"/>
      <c r="BF369" s="883"/>
      <c r="BG369" s="883"/>
      <c r="BH369" s="54"/>
      <c r="BI369" s="883"/>
      <c r="BJ369" s="54"/>
      <c r="BK369" s="883"/>
      <c r="BL369" s="883"/>
      <c r="BM369" s="883"/>
      <c r="BN369" s="54"/>
      <c r="BO369" s="883"/>
      <c r="BP369" s="54"/>
      <c r="BQ369" s="883"/>
      <c r="BR369" s="883"/>
      <c r="BS369" s="883"/>
      <c r="BT369" s="54"/>
      <c r="BU369" s="883"/>
      <c r="BV369" s="54"/>
      <c r="BW369" s="883"/>
      <c r="BX369" s="883"/>
      <c r="BY369" s="883"/>
      <c r="BZ369" s="54"/>
      <c r="CA369" s="883"/>
      <c r="CB369" s="54"/>
      <c r="CC369" s="883"/>
      <c r="CD369" s="883"/>
      <c r="CE369" s="883"/>
      <c r="CF369" s="883"/>
    </row>
    <row r="370" spans="1:84" x14ac:dyDescent="0.5">
      <c r="A370" s="259">
        <v>19066242</v>
      </c>
      <c r="B370" s="104">
        <v>19050446</v>
      </c>
      <c r="C370" s="105" t="s">
        <v>2247</v>
      </c>
      <c r="D370" s="106" t="s">
        <v>1323</v>
      </c>
      <c r="E370" s="302">
        <v>43661</v>
      </c>
      <c r="F370" s="946" t="s">
        <v>1324</v>
      </c>
      <c r="G370" s="947" t="s">
        <v>1734</v>
      </c>
      <c r="H370" s="211">
        <v>43661</v>
      </c>
      <c r="I370" s="164">
        <v>19198</v>
      </c>
      <c r="J370" s="1216"/>
      <c r="K370" s="962">
        <v>43664</v>
      </c>
      <c r="L370" s="104" t="s">
        <v>2248</v>
      </c>
      <c r="M370" s="110" t="s">
        <v>2249</v>
      </c>
      <c r="N370" s="104" t="s">
        <v>1523</v>
      </c>
      <c r="O370" s="111">
        <v>300000</v>
      </c>
      <c r="P370" s="111">
        <f t="shared" si="91"/>
        <v>21000</v>
      </c>
      <c r="Q370" s="111">
        <f t="shared" si="92"/>
        <v>321000</v>
      </c>
      <c r="R370" s="311">
        <v>10000</v>
      </c>
      <c r="S370" s="113" t="s">
        <v>2246</v>
      </c>
      <c r="T370" s="114">
        <f>O370-R370</f>
        <v>290000</v>
      </c>
      <c r="U370" s="115">
        <v>5</v>
      </c>
      <c r="V370" s="116">
        <f>T370*U370/100</f>
        <v>14500</v>
      </c>
      <c r="W370" s="117">
        <f>T370-V370</f>
        <v>275500</v>
      </c>
      <c r="X370" s="118">
        <v>0.27</v>
      </c>
      <c r="Y370" s="118">
        <f>W370*X370/100</f>
        <v>743.85</v>
      </c>
      <c r="Z370" s="119">
        <v>0.2</v>
      </c>
      <c r="AA370" s="120">
        <f>W370*Z370/100</f>
        <v>551</v>
      </c>
      <c r="AB370" s="123">
        <v>19070233</v>
      </c>
      <c r="AC370" s="124">
        <v>90000</v>
      </c>
      <c r="AD370" s="260">
        <f>AC370*7/100</f>
        <v>6300</v>
      </c>
      <c r="AE370" s="261">
        <f>AC370+AD370</f>
        <v>96300</v>
      </c>
      <c r="AF370" s="126">
        <v>43647</v>
      </c>
      <c r="AG370" s="127" t="s">
        <v>869</v>
      </c>
      <c r="AH370" s="127"/>
      <c r="AI370" s="127"/>
      <c r="AJ370" s="103" t="s">
        <v>2774</v>
      </c>
      <c r="AK370" s="128">
        <v>1</v>
      </c>
      <c r="AL370" s="129" t="s">
        <v>2250</v>
      </c>
      <c r="AM370" s="130"/>
      <c r="AN370" s="130" t="s">
        <v>869</v>
      </c>
      <c r="AO370" s="131">
        <v>1</v>
      </c>
      <c r="AP370" s="132" t="s">
        <v>634</v>
      </c>
      <c r="AQ370" s="128">
        <v>2</v>
      </c>
      <c r="AR370" s="123" t="s">
        <v>1902</v>
      </c>
      <c r="AS370" s="131"/>
      <c r="AT370" s="131" t="s">
        <v>869</v>
      </c>
      <c r="AU370" s="131">
        <v>4</v>
      </c>
      <c r="AV370" s="169" t="s">
        <v>634</v>
      </c>
      <c r="AW370" s="128">
        <v>3</v>
      </c>
      <c r="AX370" s="123" t="s">
        <v>2251</v>
      </c>
      <c r="AY370" s="131"/>
      <c r="AZ370" s="131" t="s">
        <v>869</v>
      </c>
      <c r="BA370" s="131">
        <v>1</v>
      </c>
      <c r="BB370" s="169" t="s">
        <v>634</v>
      </c>
      <c r="BC370" s="128">
        <v>4</v>
      </c>
      <c r="BD370" s="123" t="s">
        <v>2252</v>
      </c>
      <c r="BE370" s="131"/>
      <c r="BF370" s="131" t="s">
        <v>869</v>
      </c>
      <c r="BG370" s="131">
        <v>1</v>
      </c>
      <c r="BH370" s="169" t="s">
        <v>634</v>
      </c>
      <c r="BI370" s="128">
        <v>5</v>
      </c>
      <c r="BJ370" s="123" t="s">
        <v>780</v>
      </c>
      <c r="BK370" s="131"/>
      <c r="BL370" s="131" t="s">
        <v>869</v>
      </c>
      <c r="BM370" s="131">
        <v>1</v>
      </c>
      <c r="BN370" s="169" t="s">
        <v>634</v>
      </c>
      <c r="BO370" s="128">
        <v>6</v>
      </c>
      <c r="BP370" s="123" t="s">
        <v>2253</v>
      </c>
      <c r="BQ370" s="131"/>
      <c r="BR370" s="131" t="s">
        <v>869</v>
      </c>
      <c r="BS370" s="131">
        <v>1</v>
      </c>
      <c r="BT370" s="169" t="s">
        <v>634</v>
      </c>
      <c r="BU370" s="128"/>
      <c r="BV370" s="133"/>
      <c r="BW370" s="128"/>
      <c r="BX370" s="128"/>
      <c r="BY370" s="128"/>
      <c r="BZ370" s="133"/>
      <c r="CA370" s="128"/>
      <c r="CB370" s="133"/>
      <c r="CC370" s="128"/>
      <c r="CD370" s="128"/>
      <c r="CE370" s="128"/>
      <c r="CF370" s="128"/>
    </row>
    <row r="371" spans="1:84" x14ac:dyDescent="0.5">
      <c r="A371" s="262"/>
      <c r="B371" s="135"/>
      <c r="C371" s="136"/>
      <c r="D371" s="137"/>
      <c r="E371" s="906"/>
      <c r="F371" s="940" t="s">
        <v>1324</v>
      </c>
      <c r="G371" s="941" t="s">
        <v>2400</v>
      </c>
      <c r="H371" s="170">
        <v>43683</v>
      </c>
      <c r="I371" s="251">
        <v>19224</v>
      </c>
      <c r="J371" s="1217"/>
      <c r="K371" s="964">
        <v>43684</v>
      </c>
      <c r="L371" s="135"/>
      <c r="M371" s="141"/>
      <c r="N371" s="135"/>
      <c r="O371" s="142"/>
      <c r="P371" s="142"/>
      <c r="Q371" s="142"/>
      <c r="R371" s="143"/>
      <c r="S371" s="144"/>
      <c r="T371" s="145"/>
      <c r="U371" s="146"/>
      <c r="V371" s="147"/>
      <c r="W371" s="148"/>
      <c r="X371" s="149"/>
      <c r="Y371" s="149"/>
      <c r="Z371" s="150"/>
      <c r="AA371" s="151"/>
      <c r="AB371" s="154">
        <v>19090336</v>
      </c>
      <c r="AC371" s="155">
        <v>210000</v>
      </c>
      <c r="AD371" s="253">
        <f>AC371*7/100</f>
        <v>14700</v>
      </c>
      <c r="AE371" s="263">
        <f>AC371+AD371</f>
        <v>224700</v>
      </c>
      <c r="AF371" s="157">
        <v>43718</v>
      </c>
      <c r="AG371" s="152" t="s">
        <v>869</v>
      </c>
      <c r="AH371" s="152"/>
      <c r="AI371" s="152"/>
      <c r="AJ371" s="134" t="s">
        <v>3633</v>
      </c>
      <c r="AK371" s="158"/>
      <c r="AL371" s="159"/>
      <c r="AM371" s="160"/>
      <c r="AN371" s="160"/>
      <c r="AO371" s="161"/>
      <c r="AP371" s="162"/>
      <c r="AQ371" s="158"/>
      <c r="AR371" s="154"/>
      <c r="AS371" s="161"/>
      <c r="AT371" s="161"/>
      <c r="AU371" s="161"/>
      <c r="AV371" s="177"/>
      <c r="AW371" s="158"/>
      <c r="AX371" s="154"/>
      <c r="AY371" s="161"/>
      <c r="AZ371" s="161"/>
      <c r="BA371" s="161"/>
      <c r="BB371" s="177"/>
      <c r="BC371" s="158"/>
      <c r="BD371" s="154"/>
      <c r="BE371" s="161"/>
      <c r="BF371" s="161"/>
      <c r="BG371" s="161"/>
      <c r="BH371" s="177"/>
      <c r="BI371" s="158"/>
      <c r="BJ371" s="154"/>
      <c r="BK371" s="161"/>
      <c r="BL371" s="161"/>
      <c r="BM371" s="161"/>
      <c r="BN371" s="177"/>
      <c r="BO371" s="158"/>
      <c r="BP371" s="154"/>
      <c r="BQ371" s="161"/>
      <c r="BR371" s="161"/>
      <c r="BS371" s="161"/>
      <c r="BT371" s="177"/>
      <c r="BU371" s="158"/>
      <c r="BV371" s="163"/>
      <c r="BW371" s="158"/>
      <c r="BX371" s="158"/>
      <c r="BY371" s="158"/>
      <c r="BZ371" s="163"/>
      <c r="CA371" s="158"/>
      <c r="CB371" s="163"/>
      <c r="CC371" s="158"/>
      <c r="CD371" s="158"/>
      <c r="CE371" s="158"/>
      <c r="CF371" s="158"/>
    </row>
    <row r="372" spans="1:84" x14ac:dyDescent="0.5">
      <c r="A372" s="262"/>
      <c r="B372" s="135"/>
      <c r="C372" s="136"/>
      <c r="D372" s="137"/>
      <c r="E372" s="906"/>
      <c r="F372" s="952"/>
      <c r="G372" s="953"/>
      <c r="H372" s="178">
        <v>43683</v>
      </c>
      <c r="I372" s="171">
        <v>19225</v>
      </c>
      <c r="J372" s="1219"/>
      <c r="K372" s="974"/>
      <c r="L372" s="135"/>
      <c r="M372" s="141"/>
      <c r="N372" s="135"/>
      <c r="O372" s="142"/>
      <c r="P372" s="142"/>
      <c r="Q372" s="142"/>
      <c r="R372" s="143"/>
      <c r="S372" s="144"/>
      <c r="T372" s="145"/>
      <c r="U372" s="146"/>
      <c r="V372" s="147"/>
      <c r="W372" s="148"/>
      <c r="X372" s="149"/>
      <c r="Y372" s="149"/>
      <c r="Z372" s="150"/>
      <c r="AA372" s="151"/>
      <c r="AB372" s="154"/>
      <c r="AC372" s="155"/>
      <c r="AD372" s="253"/>
      <c r="AE372" s="263"/>
      <c r="AF372" s="157"/>
      <c r="AG372" s="152"/>
      <c r="AH372" s="152"/>
      <c r="AI372" s="152"/>
      <c r="AJ372" s="134"/>
      <c r="AK372" s="158"/>
      <c r="AL372" s="159"/>
      <c r="AM372" s="160"/>
      <c r="AN372" s="160"/>
      <c r="AO372" s="161"/>
      <c r="AP372" s="162"/>
      <c r="AQ372" s="158"/>
      <c r="AR372" s="154"/>
      <c r="AS372" s="161"/>
      <c r="AT372" s="161"/>
      <c r="AU372" s="161"/>
      <c r="AV372" s="177"/>
      <c r="AW372" s="158"/>
      <c r="AX372" s="154"/>
      <c r="AY372" s="161"/>
      <c r="AZ372" s="161"/>
      <c r="BA372" s="161"/>
      <c r="BB372" s="177"/>
      <c r="BC372" s="158"/>
      <c r="BD372" s="154"/>
      <c r="BE372" s="161"/>
      <c r="BF372" s="161"/>
      <c r="BG372" s="161"/>
      <c r="BH372" s="177"/>
      <c r="BI372" s="158"/>
      <c r="BJ372" s="154"/>
      <c r="BK372" s="161"/>
      <c r="BL372" s="161"/>
      <c r="BM372" s="161"/>
      <c r="BN372" s="177"/>
      <c r="BO372" s="158"/>
      <c r="BP372" s="154"/>
      <c r="BQ372" s="161"/>
      <c r="BR372" s="161"/>
      <c r="BS372" s="161"/>
      <c r="BT372" s="177"/>
      <c r="BU372" s="158"/>
      <c r="BV372" s="163"/>
      <c r="BW372" s="158"/>
      <c r="BX372" s="158"/>
      <c r="BY372" s="158"/>
      <c r="BZ372" s="163"/>
      <c r="CA372" s="158"/>
      <c r="CB372" s="163"/>
      <c r="CC372" s="158"/>
      <c r="CD372" s="158"/>
      <c r="CE372" s="158"/>
      <c r="CF372" s="158"/>
    </row>
    <row r="373" spans="1:84" x14ac:dyDescent="0.5">
      <c r="A373" s="262"/>
      <c r="B373" s="135"/>
      <c r="C373" s="136"/>
      <c r="D373" s="137"/>
      <c r="E373" s="906"/>
      <c r="F373" s="940" t="s">
        <v>3368</v>
      </c>
      <c r="G373" s="941" t="s">
        <v>1435</v>
      </c>
      <c r="H373" s="170">
        <v>43864</v>
      </c>
      <c r="I373" s="251">
        <v>63034</v>
      </c>
      <c r="J373" s="1217" t="s">
        <v>869</v>
      </c>
      <c r="K373" s="964">
        <v>43865</v>
      </c>
      <c r="L373" s="135"/>
      <c r="M373" s="141"/>
      <c r="N373" s="135"/>
      <c r="O373" s="142"/>
      <c r="P373" s="142"/>
      <c r="Q373" s="142"/>
      <c r="R373" s="143"/>
      <c r="S373" s="144"/>
      <c r="T373" s="145"/>
      <c r="U373" s="146"/>
      <c r="V373" s="147"/>
      <c r="W373" s="148"/>
      <c r="X373" s="149"/>
      <c r="Y373" s="149"/>
      <c r="Z373" s="150"/>
      <c r="AA373" s="151"/>
      <c r="AB373" s="154"/>
      <c r="AC373" s="155"/>
      <c r="AD373" s="253"/>
      <c r="AE373" s="263"/>
      <c r="AF373" s="157"/>
      <c r="AG373" s="152"/>
      <c r="AH373" s="152"/>
      <c r="AI373" s="152"/>
      <c r="AJ373" s="134"/>
      <c r="AK373" s="158"/>
      <c r="AL373" s="159"/>
      <c r="AM373" s="160"/>
      <c r="AN373" s="160"/>
      <c r="AO373" s="161"/>
      <c r="AP373" s="162"/>
      <c r="AQ373" s="158"/>
      <c r="AR373" s="154"/>
      <c r="AS373" s="161"/>
      <c r="AT373" s="161"/>
      <c r="AU373" s="161"/>
      <c r="AV373" s="177"/>
      <c r="AW373" s="158"/>
      <c r="AX373" s="154"/>
      <c r="AY373" s="161"/>
      <c r="AZ373" s="161"/>
      <c r="BA373" s="161"/>
      <c r="BB373" s="177"/>
      <c r="BC373" s="158"/>
      <c r="BD373" s="154"/>
      <c r="BE373" s="161"/>
      <c r="BF373" s="161"/>
      <c r="BG373" s="161"/>
      <c r="BH373" s="177"/>
      <c r="BI373" s="158"/>
      <c r="BJ373" s="154"/>
      <c r="BK373" s="161"/>
      <c r="BL373" s="161"/>
      <c r="BM373" s="161"/>
      <c r="BN373" s="177"/>
      <c r="BO373" s="158"/>
      <c r="BP373" s="154"/>
      <c r="BQ373" s="161"/>
      <c r="BR373" s="161"/>
      <c r="BS373" s="161"/>
      <c r="BT373" s="177"/>
      <c r="BU373" s="158"/>
      <c r="BV373" s="163"/>
      <c r="BW373" s="158"/>
      <c r="BX373" s="158"/>
      <c r="BY373" s="158"/>
      <c r="BZ373" s="163"/>
      <c r="CA373" s="158"/>
      <c r="CB373" s="163"/>
      <c r="CC373" s="158"/>
      <c r="CD373" s="158"/>
      <c r="CE373" s="158"/>
      <c r="CF373" s="158"/>
    </row>
    <row r="374" spans="1:84" x14ac:dyDescent="0.5">
      <c r="A374" s="268"/>
      <c r="B374" s="181"/>
      <c r="C374" s="182"/>
      <c r="D374" s="183"/>
      <c r="E374" s="749"/>
      <c r="F374" s="938"/>
      <c r="G374" s="939"/>
      <c r="H374" s="186">
        <v>43864</v>
      </c>
      <c r="I374" s="187">
        <v>63035</v>
      </c>
      <c r="J374" s="1218"/>
      <c r="K374" s="966"/>
      <c r="L374" s="181"/>
      <c r="M374" s="188"/>
      <c r="N374" s="181"/>
      <c r="O374" s="189"/>
      <c r="P374" s="189"/>
      <c r="Q374" s="189"/>
      <c r="R374" s="190"/>
      <c r="S374" s="215"/>
      <c r="T374" s="216"/>
      <c r="U374" s="217"/>
      <c r="V374" s="218"/>
      <c r="W374" s="195"/>
      <c r="X374" s="196"/>
      <c r="Y374" s="196"/>
      <c r="Z374" s="197"/>
      <c r="AA374" s="198"/>
      <c r="AB374" s="200"/>
      <c r="AC374" s="201"/>
      <c r="AD374" s="237"/>
      <c r="AE374" s="238"/>
      <c r="AF374" s="203"/>
      <c r="AG374" s="199"/>
      <c r="AH374" s="199"/>
      <c r="AI374" s="199"/>
      <c r="AJ374" s="180"/>
      <c r="AK374" s="204"/>
      <c r="AL374" s="205"/>
      <c r="AM374" s="206"/>
      <c r="AN374" s="206"/>
      <c r="AO374" s="207"/>
      <c r="AP374" s="208"/>
      <c r="AQ374" s="204"/>
      <c r="AR374" s="200"/>
      <c r="AS374" s="207"/>
      <c r="AT374" s="207"/>
      <c r="AU374" s="207"/>
      <c r="AV374" s="209"/>
      <c r="AW374" s="204"/>
      <c r="AX374" s="200"/>
      <c r="AY374" s="207"/>
      <c r="AZ374" s="207"/>
      <c r="BA374" s="207"/>
      <c r="BB374" s="209"/>
      <c r="BC374" s="204"/>
      <c r="BD374" s="200"/>
      <c r="BE374" s="207"/>
      <c r="BF374" s="207"/>
      <c r="BG374" s="207"/>
      <c r="BH374" s="209"/>
      <c r="BI374" s="204"/>
      <c r="BJ374" s="200"/>
      <c r="BK374" s="207"/>
      <c r="BL374" s="207"/>
      <c r="BM374" s="207"/>
      <c r="BN374" s="209"/>
      <c r="BO374" s="204"/>
      <c r="BP374" s="200"/>
      <c r="BQ374" s="207"/>
      <c r="BR374" s="207"/>
      <c r="BS374" s="207"/>
      <c r="BT374" s="209"/>
      <c r="BU374" s="204"/>
      <c r="BV374" s="210"/>
      <c r="BW374" s="204"/>
      <c r="BX374" s="204"/>
      <c r="BY374" s="204"/>
      <c r="BZ374" s="210"/>
      <c r="CA374" s="204"/>
      <c r="CB374" s="210"/>
      <c r="CC374" s="204"/>
      <c r="CD374" s="204"/>
      <c r="CE374" s="204"/>
      <c r="CF374" s="204"/>
    </row>
    <row r="375" spans="1:84" x14ac:dyDescent="0.5">
      <c r="A375" s="227">
        <v>19066241</v>
      </c>
      <c r="B375" s="22">
        <v>19060502</v>
      </c>
      <c r="C375" s="23" t="s">
        <v>2159</v>
      </c>
      <c r="D375" s="24" t="s">
        <v>1323</v>
      </c>
      <c r="E375" s="884">
        <v>43626</v>
      </c>
      <c r="F375" s="932" t="s">
        <v>1324</v>
      </c>
      <c r="G375" s="933" t="s">
        <v>1366</v>
      </c>
      <c r="H375" s="186">
        <v>43683</v>
      </c>
      <c r="I375" s="27">
        <v>19151</v>
      </c>
      <c r="J375" s="931" t="s">
        <v>869</v>
      </c>
      <c r="K375" s="957">
        <v>43626</v>
      </c>
      <c r="L375" s="22" t="s">
        <v>1546</v>
      </c>
      <c r="M375" s="28" t="s">
        <v>2109</v>
      </c>
      <c r="N375" s="22" t="s">
        <v>1523</v>
      </c>
      <c r="O375" s="29">
        <v>14900</v>
      </c>
      <c r="P375" s="29">
        <f t="shared" ref="P375:P381" si="95">O375*7/100</f>
        <v>1043</v>
      </c>
      <c r="Q375" s="29">
        <f t="shared" ref="Q375:Q381" si="96">O375+P375</f>
        <v>15943</v>
      </c>
      <c r="R375" s="61"/>
      <c r="S375" s="96"/>
      <c r="T375" s="97"/>
      <c r="U375" s="98"/>
      <c r="V375" s="99"/>
      <c r="W375" s="35">
        <f>O375</f>
        <v>14900</v>
      </c>
      <c r="X375" s="36">
        <v>0.54</v>
      </c>
      <c r="Y375" s="36">
        <f>W375*X375/100</f>
        <v>80.460000000000008</v>
      </c>
      <c r="Z375" s="37">
        <v>0.2</v>
      </c>
      <c r="AA375" s="38">
        <f>W375*Z375/100</f>
        <v>29.8</v>
      </c>
      <c r="AB375" s="40">
        <v>19060210</v>
      </c>
      <c r="AC375" s="41">
        <v>14900</v>
      </c>
      <c r="AD375" s="52">
        <f>AC375*7/100</f>
        <v>1043</v>
      </c>
      <c r="AE375" s="52">
        <f>AC375+AD375</f>
        <v>15943</v>
      </c>
      <c r="AF375" s="53">
        <v>43660</v>
      </c>
      <c r="AG375" s="39" t="s">
        <v>869</v>
      </c>
      <c r="AH375" s="39"/>
      <c r="AI375" s="39"/>
      <c r="AJ375" s="21" t="s">
        <v>2593</v>
      </c>
      <c r="AK375" s="869">
        <v>1</v>
      </c>
      <c r="AL375" s="45" t="s">
        <v>883</v>
      </c>
      <c r="AM375" s="46"/>
      <c r="AN375" s="46" t="s">
        <v>869</v>
      </c>
      <c r="AO375" s="47">
        <v>1</v>
      </c>
      <c r="AP375" s="48" t="s">
        <v>636</v>
      </c>
      <c r="AQ375" s="870"/>
      <c r="AR375" s="54"/>
      <c r="AS375" s="870"/>
      <c r="AT375" s="870"/>
      <c r="AU375" s="870"/>
      <c r="AV375" s="54"/>
      <c r="AW375" s="870"/>
      <c r="AX375" s="54"/>
      <c r="AY375" s="870"/>
      <c r="AZ375" s="870"/>
      <c r="BA375" s="870"/>
      <c r="BB375" s="54"/>
      <c r="BC375" s="870"/>
      <c r="BD375" s="54"/>
      <c r="BE375" s="870"/>
      <c r="BF375" s="870"/>
      <c r="BG375" s="870"/>
      <c r="BH375" s="54"/>
      <c r="BI375" s="870"/>
      <c r="BJ375" s="54"/>
      <c r="BK375" s="870"/>
      <c r="BL375" s="870"/>
      <c r="BM375" s="870"/>
      <c r="BN375" s="54"/>
      <c r="BO375" s="870"/>
      <c r="BP375" s="54"/>
      <c r="BQ375" s="870"/>
      <c r="BR375" s="870"/>
      <c r="BS375" s="870"/>
      <c r="BT375" s="54"/>
      <c r="BU375" s="870"/>
      <c r="BV375" s="54"/>
      <c r="BW375" s="870"/>
      <c r="BX375" s="870"/>
      <c r="BY375" s="870"/>
      <c r="BZ375" s="54"/>
      <c r="CA375" s="870"/>
      <c r="CB375" s="54"/>
      <c r="CC375" s="870"/>
      <c r="CD375" s="870"/>
      <c r="CE375" s="870"/>
      <c r="CF375" s="870"/>
    </row>
    <row r="376" spans="1:84" x14ac:dyDescent="0.5">
      <c r="A376" s="227">
        <v>19066240</v>
      </c>
      <c r="B376" s="22">
        <v>19060496</v>
      </c>
      <c r="C376" s="23" t="s">
        <v>2144</v>
      </c>
      <c r="D376" s="24" t="s">
        <v>1323</v>
      </c>
      <c r="E376" s="884">
        <v>43636</v>
      </c>
      <c r="F376" s="932" t="s">
        <v>1324</v>
      </c>
      <c r="G376" s="933" t="s">
        <v>2130</v>
      </c>
      <c r="H376" s="62">
        <v>43636</v>
      </c>
      <c r="I376" s="27">
        <v>19168</v>
      </c>
      <c r="J376" s="931" t="s">
        <v>869</v>
      </c>
      <c r="K376" s="957">
        <v>43637</v>
      </c>
      <c r="L376" s="22" t="s">
        <v>20</v>
      </c>
      <c r="M376" s="28" t="s">
        <v>160</v>
      </c>
      <c r="N376" s="22" t="s">
        <v>51</v>
      </c>
      <c r="O376" s="29">
        <v>100000</v>
      </c>
      <c r="P376" s="29">
        <f t="shared" si="95"/>
        <v>7000</v>
      </c>
      <c r="Q376" s="29">
        <f t="shared" si="96"/>
        <v>107000</v>
      </c>
      <c r="R376" s="61"/>
      <c r="S376" s="96"/>
      <c r="T376" s="97"/>
      <c r="U376" s="98"/>
      <c r="V376" s="99"/>
      <c r="W376" s="100"/>
      <c r="X376" s="99"/>
      <c r="Y376" s="99"/>
      <c r="Z376" s="100"/>
      <c r="AA376" s="101"/>
      <c r="AB376" s="40">
        <v>19060218</v>
      </c>
      <c r="AC376" s="41">
        <v>100000</v>
      </c>
      <c r="AD376" s="52">
        <f>AC376*7/100</f>
        <v>7000</v>
      </c>
      <c r="AE376" s="52">
        <f>AC376+AD376</f>
        <v>107000</v>
      </c>
      <c r="AF376" s="53">
        <v>43670</v>
      </c>
      <c r="AG376" s="39" t="s">
        <v>869</v>
      </c>
      <c r="AH376" s="39"/>
      <c r="AI376" s="39"/>
      <c r="AJ376" s="21" t="s">
        <v>2735</v>
      </c>
      <c r="AK376" s="869">
        <v>1</v>
      </c>
      <c r="AL376" s="45" t="s">
        <v>807</v>
      </c>
      <c r="AM376" s="46"/>
      <c r="AN376" s="46" t="s">
        <v>869</v>
      </c>
      <c r="AO376" s="47">
        <v>1</v>
      </c>
      <c r="AP376" s="48" t="s">
        <v>633</v>
      </c>
      <c r="AQ376" s="869"/>
      <c r="AR376" s="54"/>
      <c r="AS376" s="869"/>
      <c r="AT376" s="869"/>
      <c r="AU376" s="869"/>
      <c r="AV376" s="54"/>
      <c r="AW376" s="869"/>
      <c r="AX376" s="54"/>
      <c r="AY376" s="869"/>
      <c r="AZ376" s="869"/>
      <c r="BA376" s="869"/>
      <c r="BB376" s="54"/>
      <c r="BC376" s="869"/>
      <c r="BD376" s="54"/>
      <c r="BE376" s="869"/>
      <c r="BF376" s="869"/>
      <c r="BG376" s="869"/>
      <c r="BH376" s="54"/>
      <c r="BI376" s="869"/>
      <c r="BJ376" s="54"/>
      <c r="BK376" s="869"/>
      <c r="BL376" s="869"/>
      <c r="BM376" s="869"/>
      <c r="BN376" s="54"/>
      <c r="BO376" s="869"/>
      <c r="BP376" s="54"/>
      <c r="BQ376" s="869"/>
      <c r="BR376" s="869"/>
      <c r="BS376" s="869"/>
      <c r="BT376" s="54"/>
      <c r="BU376" s="869"/>
      <c r="BV376" s="54"/>
      <c r="BW376" s="869"/>
      <c r="BX376" s="869"/>
      <c r="BY376" s="869"/>
      <c r="BZ376" s="54"/>
      <c r="CA376" s="869"/>
      <c r="CB376" s="54"/>
      <c r="CC376" s="869"/>
      <c r="CD376" s="869"/>
      <c r="CE376" s="869"/>
      <c r="CF376" s="869"/>
    </row>
    <row r="377" spans="1:84" x14ac:dyDescent="0.5">
      <c r="A377" s="227">
        <v>19066239</v>
      </c>
      <c r="B377" s="22">
        <v>19060497</v>
      </c>
      <c r="C377" s="23" t="s">
        <v>2145</v>
      </c>
      <c r="D377" s="24" t="s">
        <v>1323</v>
      </c>
      <c r="E377" s="884">
        <v>43629</v>
      </c>
      <c r="F377" s="932" t="s">
        <v>1324</v>
      </c>
      <c r="G377" s="933" t="s">
        <v>2071</v>
      </c>
      <c r="H377" s="62">
        <v>43629</v>
      </c>
      <c r="I377" s="27">
        <v>19155</v>
      </c>
      <c r="J377" s="931" t="s">
        <v>869</v>
      </c>
      <c r="K377" s="957">
        <v>43629</v>
      </c>
      <c r="L377" s="22" t="s">
        <v>20</v>
      </c>
      <c r="M377" s="28" t="s">
        <v>415</v>
      </c>
      <c r="N377" s="22" t="s">
        <v>51</v>
      </c>
      <c r="O377" s="29">
        <v>4360</v>
      </c>
      <c r="P377" s="29">
        <f t="shared" si="95"/>
        <v>305.2</v>
      </c>
      <c r="Q377" s="29">
        <f t="shared" si="96"/>
        <v>4665.2</v>
      </c>
      <c r="R377" s="61"/>
      <c r="S377" s="96"/>
      <c r="T377" s="97"/>
      <c r="U377" s="98"/>
      <c r="V377" s="99"/>
      <c r="W377" s="100"/>
      <c r="X377" s="99"/>
      <c r="Y377" s="99"/>
      <c r="Z377" s="100"/>
      <c r="AA377" s="101"/>
      <c r="AB377" s="40">
        <v>19060209</v>
      </c>
      <c r="AC377" s="41">
        <v>4360</v>
      </c>
      <c r="AD377" s="52">
        <f>AC377*7/100</f>
        <v>305.2</v>
      </c>
      <c r="AE377" s="52">
        <f>AC377+AD377</f>
        <v>4665.2</v>
      </c>
      <c r="AF377" s="53">
        <v>43660</v>
      </c>
      <c r="AG377" s="39" t="s">
        <v>869</v>
      </c>
      <c r="AH377" s="39"/>
      <c r="AI377" s="39"/>
      <c r="AJ377" s="21" t="s">
        <v>2734</v>
      </c>
      <c r="AK377" s="869">
        <v>1</v>
      </c>
      <c r="AL377" s="45" t="s">
        <v>2015</v>
      </c>
      <c r="AM377" s="46"/>
      <c r="AN377" s="46" t="s">
        <v>869</v>
      </c>
      <c r="AO377" s="47">
        <v>1</v>
      </c>
      <c r="AP377" s="48" t="s">
        <v>635</v>
      </c>
      <c r="AQ377" s="869"/>
      <c r="AR377" s="54"/>
      <c r="AS377" s="869"/>
      <c r="AT377" s="869"/>
      <c r="AU377" s="869"/>
      <c r="AV377" s="54"/>
      <c r="AW377" s="869"/>
      <c r="AX377" s="54"/>
      <c r="AY377" s="869"/>
      <c r="AZ377" s="869"/>
      <c r="BA377" s="869"/>
      <c r="BB377" s="54"/>
      <c r="BC377" s="869"/>
      <c r="BD377" s="54"/>
      <c r="BE377" s="869"/>
      <c r="BF377" s="869"/>
      <c r="BG377" s="869"/>
      <c r="BH377" s="54"/>
      <c r="BI377" s="869"/>
      <c r="BJ377" s="54"/>
      <c r="BK377" s="869"/>
      <c r="BL377" s="869"/>
      <c r="BM377" s="869"/>
      <c r="BN377" s="54"/>
      <c r="BO377" s="869"/>
      <c r="BP377" s="54"/>
      <c r="BQ377" s="869"/>
      <c r="BR377" s="869"/>
      <c r="BS377" s="869"/>
      <c r="BT377" s="54"/>
      <c r="BU377" s="869"/>
      <c r="BV377" s="54"/>
      <c r="BW377" s="869"/>
      <c r="BX377" s="869"/>
      <c r="BY377" s="869"/>
      <c r="BZ377" s="54"/>
      <c r="CA377" s="869"/>
      <c r="CB377" s="54"/>
      <c r="CC377" s="869"/>
      <c r="CD377" s="869"/>
      <c r="CE377" s="869"/>
      <c r="CF377" s="869"/>
    </row>
    <row r="378" spans="1:84" s="95" customFormat="1" x14ac:dyDescent="0.5">
      <c r="A378" s="65">
        <v>19066238</v>
      </c>
      <c r="B378" s="66">
        <v>19050456</v>
      </c>
      <c r="C378" s="67" t="s">
        <v>2148</v>
      </c>
      <c r="D378" s="68" t="s">
        <v>1323</v>
      </c>
      <c r="E378" s="905">
        <v>43713</v>
      </c>
      <c r="F378" s="934"/>
      <c r="G378" s="935"/>
      <c r="H378" s="66"/>
      <c r="I378" s="71"/>
      <c r="J378" s="958"/>
      <c r="K378" s="84"/>
      <c r="L378" s="66" t="s">
        <v>165</v>
      </c>
      <c r="M378" s="72" t="s">
        <v>2149</v>
      </c>
      <c r="N378" s="66" t="s">
        <v>1523</v>
      </c>
      <c r="O378" s="73">
        <v>30600</v>
      </c>
      <c r="P378" s="73">
        <f t="shared" si="95"/>
        <v>2142</v>
      </c>
      <c r="Q378" s="73">
        <f t="shared" si="96"/>
        <v>32742</v>
      </c>
      <c r="R378" s="318"/>
      <c r="S378" s="75" t="s">
        <v>1310</v>
      </c>
      <c r="T378" s="76">
        <f>O378</f>
        <v>30600</v>
      </c>
      <c r="U378" s="77">
        <v>5</v>
      </c>
      <c r="V378" s="78">
        <f>T378*U378/100</f>
        <v>1530</v>
      </c>
      <c r="W378" s="79">
        <f>T378-V378</f>
        <v>29070</v>
      </c>
      <c r="X378" s="80">
        <v>0.32</v>
      </c>
      <c r="Y378" s="80">
        <f>W378*X378/100</f>
        <v>93.024000000000001</v>
      </c>
      <c r="Z378" s="81">
        <v>0.2</v>
      </c>
      <c r="AA378" s="82">
        <f>W378*Z378/100</f>
        <v>58.14</v>
      </c>
      <c r="AB378" s="84"/>
      <c r="AC378" s="85"/>
      <c r="AD378" s="86"/>
      <c r="AE378" s="86"/>
      <c r="AF378" s="87"/>
      <c r="AG378" s="83"/>
      <c r="AH378" s="83"/>
      <c r="AI378" s="83"/>
      <c r="AJ378" s="65"/>
      <c r="AK378" s="88">
        <v>1</v>
      </c>
      <c r="AL378" s="89" t="s">
        <v>2150</v>
      </c>
      <c r="AM378" s="90"/>
      <c r="AN378" s="90" t="s">
        <v>869</v>
      </c>
      <c r="AO378" s="91">
        <v>1</v>
      </c>
      <c r="AP378" s="92" t="s">
        <v>634</v>
      </c>
      <c r="AQ378" s="88"/>
      <c r="AR378" s="94"/>
      <c r="AS378" s="88"/>
      <c r="AT378" s="88"/>
      <c r="AU378" s="88"/>
      <c r="AV378" s="94"/>
      <c r="AW378" s="88"/>
      <c r="AX378" s="94"/>
      <c r="AY378" s="88"/>
      <c r="AZ378" s="88"/>
      <c r="BA378" s="88"/>
      <c r="BB378" s="94"/>
      <c r="BC378" s="88"/>
      <c r="BD378" s="94"/>
      <c r="BE378" s="88"/>
      <c r="BF378" s="88"/>
      <c r="BG378" s="88"/>
      <c r="BH378" s="94"/>
      <c r="BI378" s="88"/>
      <c r="BJ378" s="94"/>
      <c r="BK378" s="88"/>
      <c r="BL378" s="88"/>
      <c r="BM378" s="88"/>
      <c r="BN378" s="94"/>
      <c r="BO378" s="88"/>
      <c r="BP378" s="94"/>
      <c r="BQ378" s="88"/>
      <c r="BR378" s="88"/>
      <c r="BS378" s="88"/>
      <c r="BT378" s="94"/>
      <c r="BU378" s="88"/>
      <c r="BV378" s="94"/>
      <c r="BW378" s="88"/>
      <c r="BX378" s="88"/>
      <c r="BY378" s="88"/>
      <c r="BZ378" s="94"/>
      <c r="CA378" s="88"/>
      <c r="CB378" s="94"/>
      <c r="CC378" s="88"/>
      <c r="CD378" s="88"/>
      <c r="CE378" s="88"/>
      <c r="CF378" s="88"/>
    </row>
    <row r="379" spans="1:84" s="95" customFormat="1" x14ac:dyDescent="0.5">
      <c r="A379" s="65">
        <v>19066237</v>
      </c>
      <c r="B379" s="66">
        <v>19050454</v>
      </c>
      <c r="C379" s="67" t="s">
        <v>2151</v>
      </c>
      <c r="D379" s="68" t="s">
        <v>1323</v>
      </c>
      <c r="E379" s="905">
        <v>43697</v>
      </c>
      <c r="F379" s="934"/>
      <c r="G379" s="935"/>
      <c r="H379" s="66"/>
      <c r="I379" s="71"/>
      <c r="J379" s="958"/>
      <c r="K379" s="84"/>
      <c r="L379" s="66" t="s">
        <v>165</v>
      </c>
      <c r="M379" s="72" t="s">
        <v>2152</v>
      </c>
      <c r="N379" s="66" t="s">
        <v>1523</v>
      </c>
      <c r="O379" s="73">
        <v>46800</v>
      </c>
      <c r="P379" s="73">
        <f t="shared" si="95"/>
        <v>3276</v>
      </c>
      <c r="Q379" s="73">
        <f t="shared" si="96"/>
        <v>50076</v>
      </c>
      <c r="R379" s="318"/>
      <c r="S379" s="75" t="s">
        <v>1310</v>
      </c>
      <c r="T379" s="76">
        <f>O379</f>
        <v>46800</v>
      </c>
      <c r="U379" s="77">
        <v>5</v>
      </c>
      <c r="V379" s="78">
        <f>T379*U379/100</f>
        <v>2340</v>
      </c>
      <c r="W379" s="79">
        <f>T379-V379</f>
        <v>44460</v>
      </c>
      <c r="X379" s="80">
        <v>0.32</v>
      </c>
      <c r="Y379" s="80">
        <f>W379*X379/100</f>
        <v>142.27200000000002</v>
      </c>
      <c r="Z379" s="81">
        <v>0.2</v>
      </c>
      <c r="AA379" s="82">
        <f>W379*Z379/100</f>
        <v>88.92</v>
      </c>
      <c r="AB379" s="84"/>
      <c r="AC379" s="85"/>
      <c r="AD379" s="86"/>
      <c r="AE379" s="86"/>
      <c r="AF379" s="87"/>
      <c r="AG379" s="83"/>
      <c r="AH379" s="83"/>
      <c r="AI379" s="83"/>
      <c r="AJ379" s="65"/>
      <c r="AK379" s="88">
        <v>1</v>
      </c>
      <c r="AL379" s="89" t="s">
        <v>2153</v>
      </c>
      <c r="AM379" s="90"/>
      <c r="AN379" s="90" t="s">
        <v>869</v>
      </c>
      <c r="AO379" s="91">
        <v>4</v>
      </c>
      <c r="AP379" s="92" t="s">
        <v>634</v>
      </c>
      <c r="AQ379" s="88"/>
      <c r="AR379" s="94"/>
      <c r="AS379" s="88"/>
      <c r="AT379" s="88"/>
      <c r="AU379" s="88"/>
      <c r="AV379" s="94"/>
      <c r="AW379" s="88"/>
      <c r="AX379" s="94"/>
      <c r="AY379" s="88"/>
      <c r="AZ379" s="88"/>
      <c r="BA379" s="88"/>
      <c r="BB379" s="94"/>
      <c r="BC379" s="88"/>
      <c r="BD379" s="94"/>
      <c r="BE379" s="88"/>
      <c r="BF379" s="88"/>
      <c r="BG379" s="88"/>
      <c r="BH379" s="94"/>
      <c r="BI379" s="88"/>
      <c r="BJ379" s="94"/>
      <c r="BK379" s="88"/>
      <c r="BL379" s="88"/>
      <c r="BM379" s="88"/>
      <c r="BN379" s="94"/>
      <c r="BO379" s="88"/>
      <c r="BP379" s="94"/>
      <c r="BQ379" s="88"/>
      <c r="BR379" s="88"/>
      <c r="BS379" s="88"/>
      <c r="BT379" s="94"/>
      <c r="BU379" s="88"/>
      <c r="BV379" s="94"/>
      <c r="BW379" s="88"/>
      <c r="BX379" s="88"/>
      <c r="BY379" s="88"/>
      <c r="BZ379" s="94"/>
      <c r="CA379" s="88"/>
      <c r="CB379" s="94"/>
      <c r="CC379" s="88"/>
      <c r="CD379" s="88"/>
      <c r="CE379" s="88"/>
      <c r="CF379" s="88"/>
    </row>
    <row r="380" spans="1:84" s="95" customFormat="1" x14ac:dyDescent="0.5">
      <c r="A380" s="65">
        <v>19066236</v>
      </c>
      <c r="B380" s="66">
        <v>19050453</v>
      </c>
      <c r="C380" s="67" t="s">
        <v>2154</v>
      </c>
      <c r="D380" s="68" t="s">
        <v>1323</v>
      </c>
      <c r="E380" s="905">
        <v>43697</v>
      </c>
      <c r="F380" s="934"/>
      <c r="G380" s="935"/>
      <c r="H380" s="66"/>
      <c r="I380" s="71"/>
      <c r="J380" s="958"/>
      <c r="K380" s="84"/>
      <c r="L380" s="66" t="s">
        <v>165</v>
      </c>
      <c r="M380" s="72" t="s">
        <v>2155</v>
      </c>
      <c r="N380" s="66" t="s">
        <v>1523</v>
      </c>
      <c r="O380" s="73">
        <v>43650</v>
      </c>
      <c r="P380" s="73">
        <f t="shared" si="95"/>
        <v>3055.5</v>
      </c>
      <c r="Q380" s="73">
        <f t="shared" si="96"/>
        <v>46705.5</v>
      </c>
      <c r="R380" s="318"/>
      <c r="S380" s="75" t="s">
        <v>1310</v>
      </c>
      <c r="T380" s="76">
        <f>O380</f>
        <v>43650</v>
      </c>
      <c r="U380" s="77">
        <v>5</v>
      </c>
      <c r="V380" s="78">
        <f>T380*U380/100</f>
        <v>2182.5</v>
      </c>
      <c r="W380" s="79">
        <f>T380-V380</f>
        <v>41467.5</v>
      </c>
      <c r="X380" s="80">
        <v>0.32</v>
      </c>
      <c r="Y380" s="80">
        <f>W380*X380/100</f>
        <v>132.696</v>
      </c>
      <c r="Z380" s="81">
        <v>0.2</v>
      </c>
      <c r="AA380" s="82">
        <f>W380*Z380/100</f>
        <v>82.935000000000002</v>
      </c>
      <c r="AB380" s="84"/>
      <c r="AC380" s="85"/>
      <c r="AD380" s="86"/>
      <c r="AE380" s="86"/>
      <c r="AF380" s="87"/>
      <c r="AG380" s="83"/>
      <c r="AH380" s="83"/>
      <c r="AI380" s="83"/>
      <c r="AJ380" s="65"/>
      <c r="AK380" s="88">
        <v>1</v>
      </c>
      <c r="AL380" s="89" t="s">
        <v>2156</v>
      </c>
      <c r="AM380" s="90"/>
      <c r="AN380" s="90" t="s">
        <v>869</v>
      </c>
      <c r="AO380" s="91">
        <v>1</v>
      </c>
      <c r="AP380" s="92" t="s">
        <v>634</v>
      </c>
      <c r="AQ380" s="88">
        <v>2</v>
      </c>
      <c r="AR380" s="84" t="s">
        <v>600</v>
      </c>
      <c r="AS380" s="91"/>
      <c r="AT380" s="91" t="s">
        <v>869</v>
      </c>
      <c r="AU380" s="91">
        <v>1</v>
      </c>
      <c r="AV380" s="93" t="s">
        <v>636</v>
      </c>
      <c r="AW380" s="88">
        <v>3</v>
      </c>
      <c r="AX380" s="84" t="s">
        <v>1157</v>
      </c>
      <c r="AY380" s="91"/>
      <c r="AZ380" s="91" t="s">
        <v>869</v>
      </c>
      <c r="BA380" s="91">
        <v>1</v>
      </c>
      <c r="BB380" s="93" t="s">
        <v>634</v>
      </c>
      <c r="BC380" s="88"/>
      <c r="BD380" s="94"/>
      <c r="BE380" s="88"/>
      <c r="BF380" s="88"/>
      <c r="BG380" s="88"/>
      <c r="BH380" s="94"/>
      <c r="BI380" s="88"/>
      <c r="BJ380" s="94"/>
      <c r="BK380" s="88"/>
      <c r="BL380" s="88"/>
      <c r="BM380" s="88"/>
      <c r="BN380" s="94"/>
      <c r="BO380" s="88"/>
      <c r="BP380" s="94"/>
      <c r="BQ380" s="88"/>
      <c r="BR380" s="88"/>
      <c r="BS380" s="88"/>
      <c r="BT380" s="94"/>
      <c r="BU380" s="88"/>
      <c r="BV380" s="94"/>
      <c r="BW380" s="88"/>
      <c r="BX380" s="88"/>
      <c r="BY380" s="88"/>
      <c r="BZ380" s="94"/>
      <c r="CA380" s="88"/>
      <c r="CB380" s="94"/>
      <c r="CC380" s="88"/>
      <c r="CD380" s="88"/>
      <c r="CE380" s="88"/>
      <c r="CF380" s="88"/>
    </row>
    <row r="381" spans="1:84" s="95" customFormat="1" x14ac:dyDescent="0.5">
      <c r="A381" s="65">
        <v>19066235</v>
      </c>
      <c r="B381" s="66">
        <v>19050455</v>
      </c>
      <c r="C381" s="67" t="s">
        <v>2157</v>
      </c>
      <c r="D381" s="68" t="s">
        <v>1323</v>
      </c>
      <c r="E381" s="905">
        <v>43713</v>
      </c>
      <c r="F381" s="934"/>
      <c r="G381" s="935"/>
      <c r="H381" s="66"/>
      <c r="I381" s="71"/>
      <c r="J381" s="958"/>
      <c r="K381" s="84"/>
      <c r="L381" s="66" t="s">
        <v>165</v>
      </c>
      <c r="M381" s="72" t="s">
        <v>2158</v>
      </c>
      <c r="N381" s="66" t="s">
        <v>1523</v>
      </c>
      <c r="O381" s="73">
        <v>69750</v>
      </c>
      <c r="P381" s="73">
        <f t="shared" si="95"/>
        <v>4882.5</v>
      </c>
      <c r="Q381" s="73">
        <f t="shared" si="96"/>
        <v>74632.5</v>
      </c>
      <c r="R381" s="318"/>
      <c r="S381" s="75" t="s">
        <v>1310</v>
      </c>
      <c r="T381" s="76">
        <f>O381</f>
        <v>69750</v>
      </c>
      <c r="U381" s="77">
        <v>5</v>
      </c>
      <c r="V381" s="78">
        <f>T381*U381/100</f>
        <v>3487.5</v>
      </c>
      <c r="W381" s="79">
        <f>T381-V381</f>
        <v>66262.5</v>
      </c>
      <c r="X381" s="80">
        <v>0.32</v>
      </c>
      <c r="Y381" s="80">
        <f>W381*X381/100</f>
        <v>212.04</v>
      </c>
      <c r="Z381" s="81">
        <v>0.2</v>
      </c>
      <c r="AA381" s="82">
        <f>W381*Z381/100</f>
        <v>132.52500000000001</v>
      </c>
      <c r="AB381" s="84"/>
      <c r="AC381" s="85"/>
      <c r="AD381" s="86"/>
      <c r="AE381" s="86"/>
      <c r="AF381" s="87"/>
      <c r="AG381" s="83"/>
      <c r="AH381" s="83"/>
      <c r="AI381" s="83"/>
      <c r="AJ381" s="65"/>
      <c r="AK381" s="88">
        <v>1</v>
      </c>
      <c r="AL381" s="89" t="s">
        <v>754</v>
      </c>
      <c r="AM381" s="90"/>
      <c r="AN381" s="90" t="s">
        <v>869</v>
      </c>
      <c r="AO381" s="91">
        <v>10</v>
      </c>
      <c r="AP381" s="92" t="s">
        <v>634</v>
      </c>
      <c r="AQ381" s="88"/>
      <c r="AR381" s="94"/>
      <c r="AS381" s="88"/>
      <c r="AT381" s="88"/>
      <c r="AU381" s="88"/>
      <c r="AV381" s="94"/>
      <c r="AW381" s="88"/>
      <c r="AX381" s="94"/>
      <c r="AY381" s="88"/>
      <c r="AZ381" s="88"/>
      <c r="BA381" s="88"/>
      <c r="BB381" s="94"/>
      <c r="BC381" s="88"/>
      <c r="BD381" s="94"/>
      <c r="BE381" s="88"/>
      <c r="BF381" s="88"/>
      <c r="BG381" s="88"/>
      <c r="BH381" s="94"/>
      <c r="BI381" s="88"/>
      <c r="BJ381" s="94"/>
      <c r="BK381" s="88"/>
      <c r="BL381" s="88"/>
      <c r="BM381" s="88"/>
      <c r="BN381" s="94"/>
      <c r="BO381" s="88"/>
      <c r="BP381" s="94"/>
      <c r="BQ381" s="88"/>
      <c r="BR381" s="88"/>
      <c r="BS381" s="88"/>
      <c r="BT381" s="94"/>
      <c r="BU381" s="88"/>
      <c r="BV381" s="94"/>
      <c r="BW381" s="88"/>
      <c r="BX381" s="88"/>
      <c r="BY381" s="88"/>
      <c r="BZ381" s="94"/>
      <c r="CA381" s="88"/>
      <c r="CB381" s="94"/>
      <c r="CC381" s="88"/>
      <c r="CD381" s="88"/>
      <c r="CE381" s="88"/>
      <c r="CF381" s="88"/>
    </row>
    <row r="382" spans="1:84" x14ac:dyDescent="0.5">
      <c r="A382" s="227">
        <v>19056234</v>
      </c>
      <c r="B382" s="22">
        <v>19050486</v>
      </c>
      <c r="C382" s="55"/>
      <c r="D382" s="56"/>
      <c r="E382" s="910"/>
      <c r="F382" s="57"/>
      <c r="G382" s="58"/>
      <c r="H382" s="59"/>
      <c r="I382" s="60"/>
      <c r="J382" s="269"/>
      <c r="K382" s="59"/>
      <c r="L382" s="22" t="s">
        <v>1705</v>
      </c>
      <c r="M382" s="28" t="s">
        <v>2117</v>
      </c>
      <c r="N382" s="22" t="s">
        <v>51</v>
      </c>
      <c r="O382" s="29">
        <v>124400</v>
      </c>
      <c r="P382" s="29">
        <f t="shared" ref="P382:P393" si="97">O382*7/100</f>
        <v>8708</v>
      </c>
      <c r="Q382" s="29">
        <f t="shared" ref="Q382:Q393" si="98">O382+P382</f>
        <v>133108</v>
      </c>
      <c r="R382" s="61"/>
      <c r="S382" s="96"/>
      <c r="T382" s="97"/>
      <c r="U382" s="98"/>
      <c r="V382" s="99"/>
      <c r="W382" s="100"/>
      <c r="X382" s="99"/>
      <c r="Y382" s="99"/>
      <c r="Z382" s="100"/>
      <c r="AA382" s="101"/>
      <c r="AB382" s="40">
        <v>19070232</v>
      </c>
      <c r="AC382" s="41">
        <v>124400</v>
      </c>
      <c r="AD382" s="52">
        <f>AC382*7/100</f>
        <v>8708</v>
      </c>
      <c r="AE382" s="52">
        <f>AC382+AD382</f>
        <v>133108</v>
      </c>
      <c r="AF382" s="53">
        <v>43677</v>
      </c>
      <c r="AG382" s="39" t="s">
        <v>869</v>
      </c>
      <c r="AH382" s="39"/>
      <c r="AI382" s="39"/>
      <c r="AJ382" s="21" t="s">
        <v>2710</v>
      </c>
      <c r="AK382" s="864">
        <v>1</v>
      </c>
      <c r="AL382" s="45" t="s">
        <v>404</v>
      </c>
      <c r="AM382" s="46"/>
      <c r="AN382" s="46"/>
      <c r="AO382" s="47">
        <v>1</v>
      </c>
      <c r="AP382" s="102"/>
      <c r="AQ382" s="866"/>
      <c r="AR382" s="54"/>
      <c r="AS382" s="866"/>
      <c r="AT382" s="866"/>
      <c r="AU382" s="866"/>
      <c r="AV382" s="54"/>
      <c r="AW382" s="866"/>
      <c r="AX382" s="54"/>
      <c r="AY382" s="866"/>
      <c r="AZ382" s="866"/>
      <c r="BA382" s="866"/>
      <c r="BB382" s="54"/>
      <c r="BC382" s="866"/>
      <c r="BD382" s="54"/>
      <c r="BE382" s="866"/>
      <c r="BF382" s="866"/>
      <c r="BG382" s="866"/>
      <c r="BH382" s="54"/>
      <c r="BI382" s="866"/>
      <c r="BJ382" s="54"/>
      <c r="BK382" s="866"/>
      <c r="BL382" s="866"/>
      <c r="BM382" s="866"/>
      <c r="BN382" s="54"/>
      <c r="BO382" s="866"/>
      <c r="BP382" s="54"/>
      <c r="BQ382" s="866"/>
      <c r="BR382" s="866"/>
      <c r="BS382" s="866"/>
      <c r="BT382" s="54"/>
      <c r="BU382" s="866"/>
      <c r="BV382" s="54"/>
      <c r="BW382" s="866"/>
      <c r="BX382" s="866"/>
      <c r="BY382" s="866"/>
      <c r="BZ382" s="54"/>
      <c r="CA382" s="866"/>
      <c r="CB382" s="54"/>
      <c r="CC382" s="866"/>
      <c r="CD382" s="866"/>
      <c r="CE382" s="866"/>
      <c r="CF382" s="866"/>
    </row>
    <row r="383" spans="1:84" x14ac:dyDescent="0.5">
      <c r="A383" s="259">
        <v>19056233</v>
      </c>
      <c r="B383" s="104" t="s">
        <v>2121</v>
      </c>
      <c r="C383" s="105" t="s">
        <v>2118</v>
      </c>
      <c r="D383" s="106" t="s">
        <v>1323</v>
      </c>
      <c r="E383" s="302">
        <v>43661</v>
      </c>
      <c r="F383" s="936" t="s">
        <v>1324</v>
      </c>
      <c r="G383" s="937" t="s">
        <v>2900</v>
      </c>
      <c r="H383" s="211">
        <v>43762</v>
      </c>
      <c r="I383" s="164">
        <v>19337</v>
      </c>
      <c r="J383" s="960" t="s">
        <v>869</v>
      </c>
      <c r="K383" s="965">
        <v>43763</v>
      </c>
      <c r="L383" s="104" t="s">
        <v>2119</v>
      </c>
      <c r="M383" s="110" t="s">
        <v>2120</v>
      </c>
      <c r="N383" s="104" t="s">
        <v>52</v>
      </c>
      <c r="O383" s="111">
        <v>260260</v>
      </c>
      <c r="P383" s="111">
        <f t="shared" si="97"/>
        <v>18218.2</v>
      </c>
      <c r="Q383" s="111">
        <f t="shared" si="98"/>
        <v>278478.2</v>
      </c>
      <c r="R383" s="311">
        <v>21000</v>
      </c>
      <c r="S383" s="113" t="s">
        <v>2052</v>
      </c>
      <c r="T383" s="114">
        <f>O383-R383</f>
        <v>239260</v>
      </c>
      <c r="U383" s="115">
        <v>2</v>
      </c>
      <c r="V383" s="116">
        <f>T383*U383/100</f>
        <v>4785.2</v>
      </c>
      <c r="W383" s="117">
        <f>T383-V383</f>
        <v>234474.8</v>
      </c>
      <c r="X383" s="118">
        <v>0.24</v>
      </c>
      <c r="Y383" s="118">
        <f>W383*X383/100</f>
        <v>562.73951999999997</v>
      </c>
      <c r="Z383" s="119">
        <v>0.2</v>
      </c>
      <c r="AA383" s="120">
        <f>W383*Z383/100</f>
        <v>468.94959999999998</v>
      </c>
      <c r="AB383" s="123">
        <v>19100442</v>
      </c>
      <c r="AC383" s="124">
        <v>108900</v>
      </c>
      <c r="AD383" s="125">
        <f>AC383*7/100</f>
        <v>7623</v>
      </c>
      <c r="AE383" s="125">
        <f>AC383+AD383</f>
        <v>116523</v>
      </c>
      <c r="AF383" s="126">
        <v>43828</v>
      </c>
      <c r="AG383" s="127" t="s">
        <v>869</v>
      </c>
      <c r="AH383" s="127"/>
      <c r="AI383" s="127"/>
      <c r="AJ383" s="103" t="s">
        <v>3463</v>
      </c>
      <c r="AK383" s="128">
        <v>1</v>
      </c>
      <c r="AL383" s="129" t="s">
        <v>2122</v>
      </c>
      <c r="AM383" s="130"/>
      <c r="AN383" s="130" t="s">
        <v>869</v>
      </c>
      <c r="AO383" s="131">
        <v>5</v>
      </c>
      <c r="AP383" s="132" t="s">
        <v>634</v>
      </c>
      <c r="AQ383" s="777">
        <v>2</v>
      </c>
      <c r="AR383" s="782" t="s">
        <v>607</v>
      </c>
      <c r="AS383" s="780"/>
      <c r="AT383" s="780" t="s">
        <v>869</v>
      </c>
      <c r="AU383" s="780">
        <v>1</v>
      </c>
      <c r="AV383" s="783" t="s">
        <v>636</v>
      </c>
      <c r="AW383" s="128"/>
      <c r="AX383" s="133"/>
      <c r="AY383" s="128"/>
      <c r="AZ383" s="128"/>
      <c r="BA383" s="128"/>
      <c r="BB383" s="133"/>
      <c r="BC383" s="128"/>
      <c r="BD383" s="133"/>
      <c r="BE383" s="128"/>
      <c r="BF383" s="128"/>
      <c r="BG383" s="128"/>
      <c r="BH383" s="133"/>
      <c r="BI383" s="128"/>
      <c r="BJ383" s="133"/>
      <c r="BK383" s="128"/>
      <c r="BL383" s="128"/>
      <c r="BM383" s="128"/>
      <c r="BN383" s="133"/>
      <c r="BO383" s="128"/>
      <c r="BP383" s="133"/>
      <c r="BQ383" s="128"/>
      <c r="BR383" s="128"/>
      <c r="BS383" s="128"/>
      <c r="BT383" s="133"/>
      <c r="BU383" s="128"/>
      <c r="BV383" s="133"/>
      <c r="BW383" s="128"/>
      <c r="BX383" s="128"/>
      <c r="BY383" s="128"/>
      <c r="BZ383" s="133"/>
      <c r="CA383" s="128"/>
      <c r="CB383" s="133"/>
      <c r="CC383" s="128"/>
      <c r="CD383" s="128"/>
      <c r="CE383" s="128"/>
      <c r="CF383" s="128"/>
    </row>
    <row r="384" spans="1:84" x14ac:dyDescent="0.5">
      <c r="A384" s="268"/>
      <c r="B384" s="181"/>
      <c r="C384" s="182"/>
      <c r="D384" s="183"/>
      <c r="E384" s="749"/>
      <c r="F384" s="938"/>
      <c r="G384" s="939"/>
      <c r="H384" s="186">
        <v>43762</v>
      </c>
      <c r="I384" s="187">
        <v>19338</v>
      </c>
      <c r="J384" s="961"/>
      <c r="K384" s="200"/>
      <c r="L384" s="180" t="s">
        <v>3587</v>
      </c>
      <c r="M384" s="188"/>
      <c r="N384" s="181"/>
      <c r="O384" s="189"/>
      <c r="P384" s="189"/>
      <c r="Q384" s="189"/>
      <c r="R384" s="190"/>
      <c r="S384" s="215"/>
      <c r="T384" s="216"/>
      <c r="U384" s="217"/>
      <c r="V384" s="218"/>
      <c r="W384" s="195"/>
      <c r="X384" s="196"/>
      <c r="Y384" s="196"/>
      <c r="Z384" s="197"/>
      <c r="AA384" s="198"/>
      <c r="AB384" s="200"/>
      <c r="AC384" s="201"/>
      <c r="AD384" s="240"/>
      <c r="AE384" s="240"/>
      <c r="AF384" s="241"/>
      <c r="AG384" s="199"/>
      <c r="AH384" s="199"/>
      <c r="AI384" s="199"/>
      <c r="AJ384" s="180"/>
      <c r="AK384" s="204"/>
      <c r="AL384" s="205"/>
      <c r="AM384" s="206"/>
      <c r="AN384" s="206"/>
      <c r="AO384" s="207"/>
      <c r="AP384" s="208"/>
      <c r="AQ384" s="204"/>
      <c r="AR384" s="200"/>
      <c r="AS384" s="207"/>
      <c r="AT384" s="207"/>
      <c r="AU384" s="207"/>
      <c r="AV384" s="209"/>
      <c r="AW384" s="204"/>
      <c r="AX384" s="210"/>
      <c r="AY384" s="204"/>
      <c r="AZ384" s="204"/>
      <c r="BA384" s="204"/>
      <c r="BB384" s="210"/>
      <c r="BC384" s="204"/>
      <c r="BD384" s="210"/>
      <c r="BE384" s="204"/>
      <c r="BF384" s="204"/>
      <c r="BG384" s="204"/>
      <c r="BH384" s="210"/>
      <c r="BI384" s="204"/>
      <c r="BJ384" s="210"/>
      <c r="BK384" s="204"/>
      <c r="BL384" s="204"/>
      <c r="BM384" s="204"/>
      <c r="BN384" s="210"/>
      <c r="BO384" s="204"/>
      <c r="BP384" s="210"/>
      <c r="BQ384" s="204"/>
      <c r="BR384" s="204"/>
      <c r="BS384" s="204"/>
      <c r="BT384" s="210"/>
      <c r="BU384" s="204"/>
      <c r="BV384" s="210"/>
      <c r="BW384" s="204"/>
      <c r="BX384" s="204"/>
      <c r="BY384" s="204"/>
      <c r="BZ384" s="210"/>
      <c r="CA384" s="204"/>
      <c r="CB384" s="210"/>
      <c r="CC384" s="204"/>
      <c r="CD384" s="204"/>
      <c r="CE384" s="204"/>
      <c r="CF384" s="204"/>
    </row>
    <row r="385" spans="1:84" x14ac:dyDescent="0.5">
      <c r="A385" s="259">
        <v>19056232</v>
      </c>
      <c r="B385" s="104" t="s">
        <v>2123</v>
      </c>
      <c r="C385" s="105" t="s">
        <v>2124</v>
      </c>
      <c r="D385" s="106" t="s">
        <v>1323</v>
      </c>
      <c r="E385" s="302">
        <v>43663</v>
      </c>
      <c r="F385" s="936" t="s">
        <v>1324</v>
      </c>
      <c r="G385" s="937" t="s">
        <v>2984</v>
      </c>
      <c r="H385" s="211">
        <v>43775</v>
      </c>
      <c r="I385" s="164">
        <v>19353</v>
      </c>
      <c r="J385" s="960" t="s">
        <v>869</v>
      </c>
      <c r="K385" s="965">
        <v>43776</v>
      </c>
      <c r="L385" s="104" t="s">
        <v>2119</v>
      </c>
      <c r="M385" s="110" t="s">
        <v>2125</v>
      </c>
      <c r="N385" s="104" t="s">
        <v>52</v>
      </c>
      <c r="O385" s="111">
        <v>123508</v>
      </c>
      <c r="P385" s="111">
        <f t="shared" si="97"/>
        <v>8645.56</v>
      </c>
      <c r="Q385" s="111">
        <f t="shared" si="98"/>
        <v>132153.56</v>
      </c>
      <c r="R385" s="311">
        <v>14000</v>
      </c>
      <c r="S385" s="113" t="s">
        <v>2052</v>
      </c>
      <c r="T385" s="114">
        <f>O385-R385</f>
        <v>109508</v>
      </c>
      <c r="U385" s="115">
        <v>2</v>
      </c>
      <c r="V385" s="116">
        <f>T385*U385/100</f>
        <v>2190.16</v>
      </c>
      <c r="W385" s="117">
        <f>T385-V385</f>
        <v>107317.84</v>
      </c>
      <c r="X385" s="118">
        <v>0.2</v>
      </c>
      <c r="Y385" s="118">
        <f>W385*X385/100</f>
        <v>214.63567999999998</v>
      </c>
      <c r="Z385" s="119">
        <v>0.2</v>
      </c>
      <c r="AA385" s="120">
        <f>W385*Z385/100</f>
        <v>214.63567999999998</v>
      </c>
      <c r="AB385" s="123">
        <v>19110454</v>
      </c>
      <c r="AC385" s="124">
        <v>123508</v>
      </c>
      <c r="AD385" s="260">
        <f>AC385*7/100</f>
        <v>8645.56</v>
      </c>
      <c r="AE385" s="261">
        <f>AC385+AD385</f>
        <v>132153.56</v>
      </c>
      <c r="AF385" s="126">
        <v>43840</v>
      </c>
      <c r="AG385" s="127" t="s">
        <v>869</v>
      </c>
      <c r="AH385" s="127"/>
      <c r="AI385" s="127"/>
      <c r="AJ385" s="103" t="s">
        <v>3464</v>
      </c>
      <c r="AK385" s="128">
        <v>1</v>
      </c>
      <c r="AL385" s="129" t="s">
        <v>2126</v>
      </c>
      <c r="AM385" s="130"/>
      <c r="AN385" s="130" t="s">
        <v>869</v>
      </c>
      <c r="AO385" s="131">
        <v>1</v>
      </c>
      <c r="AP385" s="132" t="s">
        <v>634</v>
      </c>
      <c r="AQ385" s="128">
        <v>2</v>
      </c>
      <c r="AR385" s="123" t="s">
        <v>1607</v>
      </c>
      <c r="AS385" s="131"/>
      <c r="AT385" s="131" t="s">
        <v>869</v>
      </c>
      <c r="AU385" s="131">
        <v>1</v>
      </c>
      <c r="AV385" s="169" t="s">
        <v>636</v>
      </c>
      <c r="AW385" s="128"/>
      <c r="AX385" s="133"/>
      <c r="AY385" s="128"/>
      <c r="AZ385" s="128"/>
      <c r="BA385" s="128"/>
      <c r="BB385" s="133"/>
      <c r="BC385" s="128"/>
      <c r="BD385" s="133"/>
      <c r="BE385" s="128"/>
      <c r="BF385" s="128"/>
      <c r="BG385" s="128"/>
      <c r="BH385" s="133"/>
      <c r="BI385" s="128"/>
      <c r="BJ385" s="133"/>
      <c r="BK385" s="128"/>
      <c r="BL385" s="128"/>
      <c r="BM385" s="128"/>
      <c r="BN385" s="133"/>
      <c r="BO385" s="128"/>
      <c r="BP385" s="133"/>
      <c r="BQ385" s="128"/>
      <c r="BR385" s="128"/>
      <c r="BS385" s="128"/>
      <c r="BT385" s="133"/>
      <c r="BU385" s="128"/>
      <c r="BV385" s="133"/>
      <c r="BW385" s="128"/>
      <c r="BX385" s="128"/>
      <c r="BY385" s="128"/>
      <c r="BZ385" s="133"/>
      <c r="CA385" s="128"/>
      <c r="CB385" s="133"/>
      <c r="CC385" s="128"/>
      <c r="CD385" s="128"/>
      <c r="CE385" s="128"/>
      <c r="CF385" s="128"/>
    </row>
    <row r="386" spans="1:84" x14ac:dyDescent="0.5">
      <c r="A386" s="268"/>
      <c r="B386" s="181"/>
      <c r="C386" s="182"/>
      <c r="D386" s="183"/>
      <c r="E386" s="749"/>
      <c r="F386" s="938"/>
      <c r="G386" s="939"/>
      <c r="H386" s="186">
        <v>43775</v>
      </c>
      <c r="I386" s="187">
        <v>19354</v>
      </c>
      <c r="J386" s="961"/>
      <c r="K386" s="966"/>
      <c r="L386" s="181"/>
      <c r="M386" s="188"/>
      <c r="N386" s="181"/>
      <c r="O386" s="189"/>
      <c r="P386" s="189"/>
      <c r="Q386" s="189"/>
      <c r="R386" s="190"/>
      <c r="S386" s="215"/>
      <c r="T386" s="216"/>
      <c r="U386" s="217"/>
      <c r="V386" s="218"/>
      <c r="W386" s="195"/>
      <c r="X386" s="196"/>
      <c r="Y386" s="196"/>
      <c r="Z386" s="197"/>
      <c r="AA386" s="198"/>
      <c r="AB386" s="200"/>
      <c r="AC386" s="201"/>
      <c r="AD386" s="237"/>
      <c r="AE386" s="238"/>
      <c r="AF386" s="203"/>
      <c r="AG386" s="199"/>
      <c r="AH386" s="199"/>
      <c r="AI386" s="199"/>
      <c r="AJ386" s="180"/>
      <c r="AK386" s="204"/>
      <c r="AL386" s="205"/>
      <c r="AM386" s="206"/>
      <c r="AN386" s="206"/>
      <c r="AO386" s="207"/>
      <c r="AP386" s="208"/>
      <c r="AQ386" s="204"/>
      <c r="AR386" s="200"/>
      <c r="AS386" s="207"/>
      <c r="AT386" s="207"/>
      <c r="AU386" s="207"/>
      <c r="AV386" s="209"/>
      <c r="AW386" s="204"/>
      <c r="AX386" s="210"/>
      <c r="AY386" s="204"/>
      <c r="AZ386" s="204"/>
      <c r="BA386" s="204"/>
      <c r="BB386" s="210"/>
      <c r="BC386" s="204"/>
      <c r="BD386" s="210"/>
      <c r="BE386" s="204"/>
      <c r="BF386" s="204"/>
      <c r="BG386" s="204"/>
      <c r="BH386" s="210"/>
      <c r="BI386" s="204"/>
      <c r="BJ386" s="210"/>
      <c r="BK386" s="204"/>
      <c r="BL386" s="204"/>
      <c r="BM386" s="204"/>
      <c r="BN386" s="210"/>
      <c r="BO386" s="204"/>
      <c r="BP386" s="210"/>
      <c r="BQ386" s="204"/>
      <c r="BR386" s="204"/>
      <c r="BS386" s="204"/>
      <c r="BT386" s="210"/>
      <c r="BU386" s="204"/>
      <c r="BV386" s="210"/>
      <c r="BW386" s="204"/>
      <c r="BX386" s="204"/>
      <c r="BY386" s="204"/>
      <c r="BZ386" s="210"/>
      <c r="CA386" s="204"/>
      <c r="CB386" s="210"/>
      <c r="CC386" s="204"/>
      <c r="CD386" s="204"/>
      <c r="CE386" s="204"/>
      <c r="CF386" s="204"/>
    </row>
    <row r="387" spans="1:84" x14ac:dyDescent="0.5">
      <c r="A387" s="259">
        <v>19056231</v>
      </c>
      <c r="B387" s="104" t="s">
        <v>2127</v>
      </c>
      <c r="C387" s="105" t="s">
        <v>2128</v>
      </c>
      <c r="D387" s="106" t="s">
        <v>1323</v>
      </c>
      <c r="E387" s="302">
        <v>43661</v>
      </c>
      <c r="F387" s="936" t="s">
        <v>3368</v>
      </c>
      <c r="G387" s="937" t="s">
        <v>1418</v>
      </c>
      <c r="H387" s="211">
        <v>43896</v>
      </c>
      <c r="I387" s="164">
        <v>63062</v>
      </c>
      <c r="J387" s="960" t="s">
        <v>869</v>
      </c>
      <c r="K387" s="965">
        <v>43897</v>
      </c>
      <c r="L387" s="104" t="s">
        <v>260</v>
      </c>
      <c r="M387" s="110" t="s">
        <v>2129</v>
      </c>
      <c r="N387" s="104" t="s">
        <v>52</v>
      </c>
      <c r="O387" s="111">
        <v>133644.85</v>
      </c>
      <c r="P387" s="111">
        <f t="shared" si="97"/>
        <v>9355.1395000000011</v>
      </c>
      <c r="Q387" s="111">
        <f t="shared" si="98"/>
        <v>142999.9895</v>
      </c>
      <c r="R387" s="212"/>
      <c r="S387" s="113" t="s">
        <v>2696</v>
      </c>
      <c r="T387" s="114">
        <f>O387</f>
        <v>133644.85</v>
      </c>
      <c r="U387" s="115">
        <v>5</v>
      </c>
      <c r="V387" s="116">
        <f>T387*U387/100</f>
        <v>6682.2425000000003</v>
      </c>
      <c r="W387" s="117">
        <f>T387-V387</f>
        <v>126962.60750000001</v>
      </c>
      <c r="X387" s="118">
        <v>0.26</v>
      </c>
      <c r="Y387" s="118">
        <f>W387*X387/100</f>
        <v>330.10277950000005</v>
      </c>
      <c r="Z387" s="119">
        <v>0.2</v>
      </c>
      <c r="AA387" s="120">
        <f>W387*Z387/100</f>
        <v>253.92521500000004</v>
      </c>
      <c r="AB387" s="123">
        <v>20030072</v>
      </c>
      <c r="AC387" s="124">
        <v>133644.85</v>
      </c>
      <c r="AD387" s="260">
        <f>AC387*7/100</f>
        <v>9355.1395000000011</v>
      </c>
      <c r="AE387" s="261">
        <f>AC387+AD387</f>
        <v>142999.9895</v>
      </c>
      <c r="AF387" s="126">
        <v>43943</v>
      </c>
      <c r="AG387" s="127" t="s">
        <v>869</v>
      </c>
      <c r="AH387" s="127"/>
      <c r="AI387" s="127"/>
      <c r="AJ387" s="103" t="s">
        <v>3786</v>
      </c>
      <c r="AK387" s="128">
        <v>1</v>
      </c>
      <c r="AL387" s="129" t="s">
        <v>1250</v>
      </c>
      <c r="AM387" s="130"/>
      <c r="AN387" s="130" t="s">
        <v>869</v>
      </c>
      <c r="AO387" s="131">
        <v>5</v>
      </c>
      <c r="AP387" s="132" t="s">
        <v>634</v>
      </c>
      <c r="AQ387" s="128"/>
      <c r="AR387" s="133"/>
      <c r="AS387" s="128"/>
      <c r="AT387" s="128"/>
      <c r="AU387" s="128"/>
      <c r="AV387" s="133"/>
      <c r="AW387" s="128"/>
      <c r="AX387" s="133"/>
      <c r="AY387" s="128"/>
      <c r="AZ387" s="128"/>
      <c r="BA387" s="128"/>
      <c r="BB387" s="133"/>
      <c r="BC387" s="128"/>
      <c r="BD387" s="133"/>
      <c r="BE387" s="128"/>
      <c r="BF387" s="128"/>
      <c r="BG387" s="128"/>
      <c r="BH387" s="133"/>
      <c r="BI387" s="128"/>
      <c r="BJ387" s="133"/>
      <c r="BK387" s="128"/>
      <c r="BL387" s="128"/>
      <c r="BM387" s="128"/>
      <c r="BN387" s="133"/>
      <c r="BO387" s="128"/>
      <c r="BP387" s="133"/>
      <c r="BQ387" s="128"/>
      <c r="BR387" s="128"/>
      <c r="BS387" s="128"/>
      <c r="BT387" s="133"/>
      <c r="BU387" s="128"/>
      <c r="BV387" s="133"/>
      <c r="BW387" s="128"/>
      <c r="BX387" s="128"/>
      <c r="BY387" s="128"/>
      <c r="BZ387" s="133"/>
      <c r="CA387" s="128"/>
      <c r="CB387" s="133"/>
      <c r="CC387" s="128"/>
      <c r="CD387" s="128"/>
      <c r="CE387" s="128"/>
      <c r="CF387" s="128"/>
    </row>
    <row r="388" spans="1:84" x14ac:dyDescent="0.5">
      <c r="A388" s="268"/>
      <c r="B388" s="181"/>
      <c r="C388" s="182"/>
      <c r="D388" s="183"/>
      <c r="E388" s="749"/>
      <c r="F388" s="938"/>
      <c r="G388" s="939"/>
      <c r="H388" s="186">
        <v>43943</v>
      </c>
      <c r="I388" s="187">
        <v>63101</v>
      </c>
      <c r="J388" s="961"/>
      <c r="K388" s="966"/>
      <c r="L388" s="180" t="s">
        <v>3776</v>
      </c>
      <c r="M388" s="188"/>
      <c r="N388" s="181"/>
      <c r="O388" s="189"/>
      <c r="P388" s="189"/>
      <c r="Q388" s="189"/>
      <c r="R388" s="214"/>
      <c r="S388" s="215"/>
      <c r="T388" s="216"/>
      <c r="U388" s="217"/>
      <c r="V388" s="218"/>
      <c r="W388" s="195"/>
      <c r="X388" s="196"/>
      <c r="Y388" s="196"/>
      <c r="Z388" s="197"/>
      <c r="AA388" s="198"/>
      <c r="AB388" s="200"/>
      <c r="AC388" s="201"/>
      <c r="AD388" s="237"/>
      <c r="AE388" s="238"/>
      <c r="AF388" s="203"/>
      <c r="AG388" s="199"/>
      <c r="AH388" s="199"/>
      <c r="AI388" s="199"/>
      <c r="AJ388" s="180"/>
      <c r="AK388" s="204"/>
      <c r="AL388" s="205"/>
      <c r="AM388" s="206"/>
      <c r="AN388" s="206"/>
      <c r="AO388" s="207"/>
      <c r="AP388" s="208"/>
      <c r="AQ388" s="204"/>
      <c r="AR388" s="210"/>
      <c r="AS388" s="204"/>
      <c r="AT388" s="204"/>
      <c r="AU388" s="204"/>
      <c r="AV388" s="210"/>
      <c r="AW388" s="204"/>
      <c r="AX388" s="210"/>
      <c r="AY388" s="204"/>
      <c r="AZ388" s="204"/>
      <c r="BA388" s="204"/>
      <c r="BB388" s="210"/>
      <c r="BC388" s="204"/>
      <c r="BD388" s="210"/>
      <c r="BE388" s="204"/>
      <c r="BF388" s="204"/>
      <c r="BG388" s="204"/>
      <c r="BH388" s="210"/>
      <c r="BI388" s="204"/>
      <c r="BJ388" s="210"/>
      <c r="BK388" s="204"/>
      <c r="BL388" s="204"/>
      <c r="BM388" s="204"/>
      <c r="BN388" s="210"/>
      <c r="BO388" s="204"/>
      <c r="BP388" s="210"/>
      <c r="BQ388" s="204"/>
      <c r="BR388" s="204"/>
      <c r="BS388" s="204"/>
      <c r="BT388" s="210"/>
      <c r="BU388" s="204"/>
      <c r="BV388" s="210"/>
      <c r="BW388" s="204"/>
      <c r="BX388" s="204"/>
      <c r="BY388" s="204"/>
      <c r="BZ388" s="210"/>
      <c r="CA388" s="204"/>
      <c r="CB388" s="210"/>
      <c r="CC388" s="204"/>
      <c r="CD388" s="204"/>
      <c r="CE388" s="204"/>
      <c r="CF388" s="204"/>
    </row>
    <row r="389" spans="1:84" x14ac:dyDescent="0.5">
      <c r="A389" s="227">
        <v>19056230</v>
      </c>
      <c r="B389" s="22">
        <v>19050447</v>
      </c>
      <c r="C389" s="23" t="s">
        <v>2130</v>
      </c>
      <c r="D389" s="24" t="s">
        <v>1323</v>
      </c>
      <c r="E389" s="884">
        <v>43619</v>
      </c>
      <c r="F389" s="932" t="s">
        <v>1324</v>
      </c>
      <c r="G389" s="933" t="s">
        <v>1364</v>
      </c>
      <c r="H389" s="62">
        <v>43623</v>
      </c>
      <c r="I389" s="27">
        <v>19150</v>
      </c>
      <c r="J389" s="931" t="s">
        <v>869</v>
      </c>
      <c r="K389" s="957">
        <v>43623</v>
      </c>
      <c r="L389" s="22" t="s">
        <v>23</v>
      </c>
      <c r="M389" s="28" t="s">
        <v>96</v>
      </c>
      <c r="N389" s="22" t="s">
        <v>51</v>
      </c>
      <c r="O389" s="29">
        <v>113000</v>
      </c>
      <c r="P389" s="29">
        <f t="shared" si="97"/>
        <v>7910</v>
      </c>
      <c r="Q389" s="29">
        <f t="shared" si="98"/>
        <v>120910</v>
      </c>
      <c r="R389" s="61"/>
      <c r="S389" s="96"/>
      <c r="T389" s="97"/>
      <c r="U389" s="98"/>
      <c r="V389" s="99"/>
      <c r="W389" s="100"/>
      <c r="X389" s="99"/>
      <c r="Y389" s="99"/>
      <c r="Z389" s="100"/>
      <c r="AA389" s="101"/>
      <c r="AB389" s="40">
        <v>19060195</v>
      </c>
      <c r="AC389" s="41">
        <v>113000</v>
      </c>
      <c r="AD389" s="63">
        <f>AC389*7/100</f>
        <v>7910</v>
      </c>
      <c r="AE389" s="64">
        <f>AC389+AD389</f>
        <v>120910</v>
      </c>
      <c r="AF389" s="53">
        <v>43656</v>
      </c>
      <c r="AG389" s="39" t="s">
        <v>869</v>
      </c>
      <c r="AH389" s="39"/>
      <c r="AI389" s="39"/>
      <c r="AJ389" s="21" t="s">
        <v>2750</v>
      </c>
      <c r="AK389" s="863">
        <v>1</v>
      </c>
      <c r="AL389" s="45" t="s">
        <v>2131</v>
      </c>
      <c r="AM389" s="46" t="s">
        <v>869</v>
      </c>
      <c r="AN389" s="46"/>
      <c r="AO389" s="47">
        <v>1</v>
      </c>
      <c r="AP389" s="48" t="s">
        <v>633</v>
      </c>
      <c r="AQ389" s="863">
        <v>2</v>
      </c>
      <c r="AR389" s="40" t="s">
        <v>2132</v>
      </c>
      <c r="AS389" s="47" t="s">
        <v>869</v>
      </c>
      <c r="AT389" s="47"/>
      <c r="AU389" s="47">
        <v>1</v>
      </c>
      <c r="AV389" s="49" t="s">
        <v>633</v>
      </c>
      <c r="AW389" s="866"/>
      <c r="AX389" s="54"/>
      <c r="AY389" s="866"/>
      <c r="AZ389" s="866"/>
      <c r="BA389" s="866"/>
      <c r="BB389" s="54"/>
      <c r="BC389" s="866"/>
      <c r="BD389" s="54"/>
      <c r="BE389" s="866"/>
      <c r="BF389" s="866"/>
      <c r="BG389" s="866"/>
      <c r="BH389" s="54"/>
      <c r="BI389" s="866"/>
      <c r="BJ389" s="54"/>
      <c r="BK389" s="866"/>
      <c r="BL389" s="866"/>
      <c r="BM389" s="866"/>
      <c r="BN389" s="54"/>
      <c r="BO389" s="866"/>
      <c r="BP389" s="54"/>
      <c r="BQ389" s="866"/>
      <c r="BR389" s="866"/>
      <c r="BS389" s="866"/>
      <c r="BT389" s="54"/>
      <c r="BU389" s="866"/>
      <c r="BV389" s="54"/>
      <c r="BW389" s="866"/>
      <c r="BX389" s="866"/>
      <c r="BY389" s="866"/>
      <c r="BZ389" s="54"/>
      <c r="CA389" s="866"/>
      <c r="CB389" s="54"/>
      <c r="CC389" s="866"/>
      <c r="CD389" s="866"/>
      <c r="CE389" s="866"/>
      <c r="CF389" s="866"/>
    </row>
    <row r="390" spans="1:84" x14ac:dyDescent="0.5">
      <c r="A390" s="259">
        <v>19056229</v>
      </c>
      <c r="B390" s="104">
        <v>19050439</v>
      </c>
      <c r="C390" s="105" t="s">
        <v>2133</v>
      </c>
      <c r="D390" s="106" t="s">
        <v>1323</v>
      </c>
      <c r="E390" s="302">
        <v>43799</v>
      </c>
      <c r="F390" s="936" t="s">
        <v>3368</v>
      </c>
      <c r="G390" s="937" t="s">
        <v>1371</v>
      </c>
      <c r="H390" s="122">
        <v>43987</v>
      </c>
      <c r="I390" s="109">
        <v>63139</v>
      </c>
      <c r="J390" s="960" t="s">
        <v>869</v>
      </c>
      <c r="K390" s="965">
        <v>43990</v>
      </c>
      <c r="L390" s="104" t="s">
        <v>1562</v>
      </c>
      <c r="M390" s="110" t="s">
        <v>2134</v>
      </c>
      <c r="N390" s="104" t="s">
        <v>1523</v>
      </c>
      <c r="O390" s="111">
        <v>28070.84</v>
      </c>
      <c r="P390" s="111">
        <f t="shared" si="97"/>
        <v>1964.9588000000001</v>
      </c>
      <c r="Q390" s="111">
        <f t="shared" si="98"/>
        <v>30035.7988</v>
      </c>
      <c r="R390" s="212"/>
      <c r="S390" s="113" t="s">
        <v>1569</v>
      </c>
      <c r="T390" s="114">
        <f>O390</f>
        <v>28070.84</v>
      </c>
      <c r="U390" s="115">
        <v>5</v>
      </c>
      <c r="V390" s="116">
        <f>T390*U390/100</f>
        <v>1403.5420000000001</v>
      </c>
      <c r="W390" s="117">
        <f>T390-V390</f>
        <v>26667.297999999999</v>
      </c>
      <c r="X390" s="118">
        <v>0.4</v>
      </c>
      <c r="Y390" s="118">
        <f>W390*X390/100</f>
        <v>106.66919200000001</v>
      </c>
      <c r="Z390" s="119">
        <v>0.2</v>
      </c>
      <c r="AA390" s="120">
        <f>W390*Z390/100</f>
        <v>53.334596000000005</v>
      </c>
      <c r="AB390" s="229">
        <v>20050132</v>
      </c>
      <c r="AC390" s="230">
        <v>8421.25</v>
      </c>
      <c r="AD390" s="220">
        <f>AC390*7/100</f>
        <v>589.48749999999995</v>
      </c>
      <c r="AE390" s="220">
        <f>AC390+AD390</f>
        <v>9010.7374999999993</v>
      </c>
      <c r="AF390" s="221">
        <v>43971</v>
      </c>
      <c r="AG390" s="121" t="s">
        <v>869</v>
      </c>
      <c r="AH390" s="121"/>
      <c r="AI390" s="121"/>
      <c r="AJ390" s="979" t="s">
        <v>4016</v>
      </c>
      <c r="AK390" s="128">
        <v>1</v>
      </c>
      <c r="AL390" s="129" t="s">
        <v>2135</v>
      </c>
      <c r="AM390" s="130"/>
      <c r="AN390" s="130" t="s">
        <v>869</v>
      </c>
      <c r="AO390" s="131">
        <v>1</v>
      </c>
      <c r="AP390" s="132" t="s">
        <v>634</v>
      </c>
      <c r="AQ390" s="128"/>
      <c r="AR390" s="133"/>
      <c r="AS390" s="128"/>
      <c r="AT390" s="128"/>
      <c r="AU390" s="128"/>
      <c r="AV390" s="133"/>
      <c r="AW390" s="128"/>
      <c r="AX390" s="133"/>
      <c r="AY390" s="128"/>
      <c r="AZ390" s="128"/>
      <c r="BA390" s="128"/>
      <c r="BB390" s="133"/>
      <c r="BC390" s="128"/>
      <c r="BD390" s="133"/>
      <c r="BE390" s="128"/>
      <c r="BF390" s="128"/>
      <c r="BG390" s="128"/>
      <c r="BH390" s="133"/>
      <c r="BI390" s="128"/>
      <c r="BJ390" s="133"/>
      <c r="BK390" s="128"/>
      <c r="BL390" s="128"/>
      <c r="BM390" s="128"/>
      <c r="BN390" s="133"/>
      <c r="BO390" s="128"/>
      <c r="BP390" s="133"/>
      <c r="BQ390" s="128"/>
      <c r="BR390" s="128"/>
      <c r="BS390" s="128"/>
      <c r="BT390" s="133"/>
      <c r="BU390" s="128"/>
      <c r="BV390" s="133"/>
      <c r="BW390" s="128"/>
      <c r="BX390" s="128"/>
      <c r="BY390" s="128"/>
      <c r="BZ390" s="133"/>
      <c r="CA390" s="128"/>
      <c r="CB390" s="133"/>
      <c r="CC390" s="128"/>
      <c r="CD390" s="128"/>
      <c r="CE390" s="128"/>
      <c r="CF390" s="128"/>
    </row>
    <row r="391" spans="1:84" x14ac:dyDescent="0.5">
      <c r="A391" s="268"/>
      <c r="B391" s="181"/>
      <c r="C391" s="182"/>
      <c r="D391" s="183"/>
      <c r="E391" s="749"/>
      <c r="F391" s="938"/>
      <c r="G391" s="939"/>
      <c r="H391" s="181"/>
      <c r="I391" s="187"/>
      <c r="J391" s="961"/>
      <c r="K391" s="966"/>
      <c r="L391" s="181"/>
      <c r="M391" s="188"/>
      <c r="N391" s="181"/>
      <c r="O391" s="189"/>
      <c r="P391" s="189"/>
      <c r="Q391" s="189"/>
      <c r="R391" s="214"/>
      <c r="S391" s="215"/>
      <c r="T391" s="216"/>
      <c r="U391" s="217"/>
      <c r="V391" s="218"/>
      <c r="W391" s="195"/>
      <c r="X391" s="196"/>
      <c r="Y391" s="196"/>
      <c r="Z391" s="197"/>
      <c r="AA391" s="198"/>
      <c r="AB391" s="200">
        <v>20060143</v>
      </c>
      <c r="AC391" s="201">
        <v>19649.59</v>
      </c>
      <c r="AD391" s="202">
        <f>AC391*7/100</f>
        <v>1375.4713000000002</v>
      </c>
      <c r="AE391" s="202">
        <f>AC391+AD391</f>
        <v>21025.061300000001</v>
      </c>
      <c r="AF391" s="203">
        <v>43983</v>
      </c>
      <c r="AG391" s="199" t="s">
        <v>869</v>
      </c>
      <c r="AH391" s="199"/>
      <c r="AI391" s="199"/>
      <c r="AJ391" s="843" t="s">
        <v>4003</v>
      </c>
      <c r="AK391" s="204"/>
      <c r="AL391" s="205"/>
      <c r="AM391" s="206"/>
      <c r="AN391" s="206"/>
      <c r="AO391" s="207"/>
      <c r="AP391" s="208"/>
      <c r="AQ391" s="204"/>
      <c r="AR391" s="210"/>
      <c r="AS391" s="204"/>
      <c r="AT391" s="204"/>
      <c r="AU391" s="204"/>
      <c r="AV391" s="210"/>
      <c r="AW391" s="204"/>
      <c r="AX391" s="210"/>
      <c r="AY391" s="204"/>
      <c r="AZ391" s="204"/>
      <c r="BA391" s="204"/>
      <c r="BB391" s="210"/>
      <c r="BC391" s="204"/>
      <c r="BD391" s="210"/>
      <c r="BE391" s="204"/>
      <c r="BF391" s="204"/>
      <c r="BG391" s="204"/>
      <c r="BH391" s="210"/>
      <c r="BI391" s="204"/>
      <c r="BJ391" s="210"/>
      <c r="BK391" s="204"/>
      <c r="BL391" s="204"/>
      <c r="BM391" s="204"/>
      <c r="BN391" s="210"/>
      <c r="BO391" s="204"/>
      <c r="BP391" s="210"/>
      <c r="BQ391" s="204"/>
      <c r="BR391" s="204"/>
      <c r="BS391" s="204"/>
      <c r="BT391" s="210"/>
      <c r="BU391" s="204"/>
      <c r="BV391" s="210"/>
      <c r="BW391" s="204"/>
      <c r="BX391" s="204"/>
      <c r="BY391" s="204"/>
      <c r="BZ391" s="210"/>
      <c r="CA391" s="204"/>
      <c r="CB391" s="210"/>
      <c r="CC391" s="204"/>
      <c r="CD391" s="204"/>
      <c r="CE391" s="204"/>
      <c r="CF391" s="204"/>
    </row>
    <row r="392" spans="1:84" x14ac:dyDescent="0.5">
      <c r="A392" s="21">
        <v>19056228</v>
      </c>
      <c r="B392" s="22">
        <v>19050438</v>
      </c>
      <c r="C392" s="23" t="s">
        <v>2136</v>
      </c>
      <c r="D392" s="24" t="s">
        <v>1323</v>
      </c>
      <c r="E392" s="884">
        <v>43829</v>
      </c>
      <c r="F392" s="932"/>
      <c r="G392" s="933"/>
      <c r="H392" s="22"/>
      <c r="I392" s="27"/>
      <c r="J392" s="931"/>
      <c r="K392" s="40"/>
      <c r="L392" s="22" t="s">
        <v>1562</v>
      </c>
      <c r="M392" s="28" t="s">
        <v>2137</v>
      </c>
      <c r="N392" s="22" t="s">
        <v>1523</v>
      </c>
      <c r="O392" s="29">
        <v>104733.28</v>
      </c>
      <c r="P392" s="29">
        <f t="shared" si="97"/>
        <v>7331.3296</v>
      </c>
      <c r="Q392" s="29">
        <f t="shared" si="98"/>
        <v>112064.6096</v>
      </c>
      <c r="R392" s="61"/>
      <c r="S392" s="31" t="s">
        <v>1569</v>
      </c>
      <c r="T392" s="32">
        <f>O392</f>
        <v>104733.28</v>
      </c>
      <c r="U392" s="33">
        <v>5</v>
      </c>
      <c r="V392" s="34">
        <f>T392*U392/100</f>
        <v>5236.6640000000007</v>
      </c>
      <c r="W392" s="35">
        <f>T392-V392</f>
        <v>99496.615999999995</v>
      </c>
      <c r="X392" s="36">
        <v>0.4</v>
      </c>
      <c r="Y392" s="36">
        <f>W392*X392/100</f>
        <v>397.98646399999996</v>
      </c>
      <c r="Z392" s="37">
        <v>0.2</v>
      </c>
      <c r="AA392" s="38">
        <f>W392*Z392/100</f>
        <v>198.99323199999998</v>
      </c>
      <c r="AB392" s="40"/>
      <c r="AC392" s="41"/>
      <c r="AD392" s="42"/>
      <c r="AE392" s="42"/>
      <c r="AF392" s="43"/>
      <c r="AG392" s="39"/>
      <c r="AH392" s="39"/>
      <c r="AI392" s="39"/>
      <c r="AJ392" s="21"/>
      <c r="AK392" s="855">
        <v>1</v>
      </c>
      <c r="AL392" s="45" t="s">
        <v>2138</v>
      </c>
      <c r="AM392" s="46"/>
      <c r="AN392" s="46" t="s">
        <v>869</v>
      </c>
      <c r="AO392" s="47">
        <v>1</v>
      </c>
      <c r="AP392" s="48" t="s">
        <v>634</v>
      </c>
      <c r="AQ392" s="866"/>
      <c r="AR392" s="54"/>
      <c r="AS392" s="866"/>
      <c r="AT392" s="866"/>
      <c r="AU392" s="866"/>
      <c r="AV392" s="54"/>
      <c r="AW392" s="866"/>
      <c r="AX392" s="54"/>
      <c r="AY392" s="866"/>
      <c r="AZ392" s="866"/>
      <c r="BA392" s="866"/>
      <c r="BB392" s="54"/>
      <c r="BC392" s="866"/>
      <c r="BD392" s="54"/>
      <c r="BE392" s="866"/>
      <c r="BF392" s="866"/>
      <c r="BG392" s="866"/>
      <c r="BH392" s="54"/>
      <c r="BI392" s="866"/>
      <c r="BJ392" s="54"/>
      <c r="BK392" s="866"/>
      <c r="BL392" s="866"/>
      <c r="BM392" s="866"/>
      <c r="BN392" s="54"/>
      <c r="BO392" s="866"/>
      <c r="BP392" s="54"/>
      <c r="BQ392" s="866"/>
      <c r="BR392" s="866"/>
      <c r="BS392" s="866"/>
      <c r="BT392" s="54"/>
      <c r="BU392" s="866"/>
      <c r="BV392" s="54"/>
      <c r="BW392" s="866"/>
      <c r="BX392" s="866"/>
      <c r="BY392" s="866"/>
      <c r="BZ392" s="54"/>
      <c r="CA392" s="866"/>
      <c r="CB392" s="54"/>
      <c r="CC392" s="866"/>
      <c r="CD392" s="866"/>
      <c r="CE392" s="866"/>
      <c r="CF392" s="866"/>
    </row>
    <row r="393" spans="1:84" x14ac:dyDescent="0.5">
      <c r="A393" s="21">
        <v>19056227</v>
      </c>
      <c r="B393" s="22">
        <v>19050437</v>
      </c>
      <c r="C393" s="23" t="s">
        <v>2139</v>
      </c>
      <c r="D393" s="24" t="s">
        <v>1323</v>
      </c>
      <c r="E393" s="884">
        <v>43799</v>
      </c>
      <c r="F393" s="932"/>
      <c r="G393" s="933"/>
      <c r="H393" s="22"/>
      <c r="I393" s="27"/>
      <c r="J393" s="931"/>
      <c r="K393" s="40"/>
      <c r="L393" s="22" t="s">
        <v>1562</v>
      </c>
      <c r="M393" s="28" t="s">
        <v>2140</v>
      </c>
      <c r="N393" s="22" t="s">
        <v>1523</v>
      </c>
      <c r="O393" s="29">
        <v>28070.84</v>
      </c>
      <c r="P393" s="29">
        <f t="shared" si="97"/>
        <v>1964.9588000000001</v>
      </c>
      <c r="Q393" s="29">
        <f t="shared" si="98"/>
        <v>30035.7988</v>
      </c>
      <c r="R393" s="61"/>
      <c r="S393" s="31" t="s">
        <v>1569</v>
      </c>
      <c r="T393" s="32">
        <f>O393</f>
        <v>28070.84</v>
      </c>
      <c r="U393" s="33">
        <v>5</v>
      </c>
      <c r="V393" s="34">
        <f>T393*U393/100</f>
        <v>1403.5420000000001</v>
      </c>
      <c r="W393" s="35">
        <f>T393-V393</f>
        <v>26667.297999999999</v>
      </c>
      <c r="X393" s="36">
        <v>0.4</v>
      </c>
      <c r="Y393" s="36">
        <f>W393*X393/100</f>
        <v>106.66919200000001</v>
      </c>
      <c r="Z393" s="37">
        <v>0.2</v>
      </c>
      <c r="AA393" s="38">
        <f>W393*Z393/100</f>
        <v>53.334596000000005</v>
      </c>
      <c r="AB393" s="40"/>
      <c r="AC393" s="41"/>
      <c r="AD393" s="42"/>
      <c r="AE393" s="42"/>
      <c r="AF393" s="43"/>
      <c r="AG393" s="39"/>
      <c r="AH393" s="39"/>
      <c r="AI393" s="39"/>
      <c r="AJ393" s="21"/>
      <c r="AK393" s="855">
        <v>1</v>
      </c>
      <c r="AL393" s="45" t="s">
        <v>2135</v>
      </c>
      <c r="AM393" s="46"/>
      <c r="AN393" s="46" t="s">
        <v>869</v>
      </c>
      <c r="AO393" s="47">
        <v>1</v>
      </c>
      <c r="AP393" s="48" t="s">
        <v>634</v>
      </c>
      <c r="AQ393" s="866"/>
      <c r="AR393" s="54"/>
      <c r="AS393" s="866"/>
      <c r="AT393" s="866"/>
      <c r="AU393" s="866"/>
      <c r="AV393" s="54"/>
      <c r="AW393" s="866"/>
      <c r="AX393" s="54"/>
      <c r="AY393" s="866"/>
      <c r="AZ393" s="866"/>
      <c r="BA393" s="866"/>
      <c r="BB393" s="54"/>
      <c r="BC393" s="866"/>
      <c r="BD393" s="54"/>
      <c r="BE393" s="866"/>
      <c r="BF393" s="866"/>
      <c r="BG393" s="866"/>
      <c r="BH393" s="54"/>
      <c r="BI393" s="866"/>
      <c r="BJ393" s="54"/>
      <c r="BK393" s="866"/>
      <c r="BL393" s="866"/>
      <c r="BM393" s="866"/>
      <c r="BN393" s="54"/>
      <c r="BO393" s="866"/>
      <c r="BP393" s="54"/>
      <c r="BQ393" s="866"/>
      <c r="BR393" s="866"/>
      <c r="BS393" s="866"/>
      <c r="BT393" s="54"/>
      <c r="BU393" s="866"/>
      <c r="BV393" s="54"/>
      <c r="BW393" s="866"/>
      <c r="BX393" s="866"/>
      <c r="BY393" s="866"/>
      <c r="BZ393" s="54"/>
      <c r="CA393" s="866"/>
      <c r="CB393" s="54"/>
      <c r="CC393" s="866"/>
      <c r="CD393" s="866"/>
      <c r="CE393" s="866"/>
      <c r="CF393" s="866"/>
    </row>
    <row r="394" spans="1:84" x14ac:dyDescent="0.5">
      <c r="A394" s="227" t="s">
        <v>2114</v>
      </c>
      <c r="B394" s="22">
        <v>19050445</v>
      </c>
      <c r="C394" s="23" t="s">
        <v>2115</v>
      </c>
      <c r="D394" s="24" t="s">
        <v>1323</v>
      </c>
      <c r="E394" s="884">
        <v>43619</v>
      </c>
      <c r="F394" s="932" t="s">
        <v>1324</v>
      </c>
      <c r="G394" s="933" t="s">
        <v>1370</v>
      </c>
      <c r="H394" s="62">
        <v>43619</v>
      </c>
      <c r="I394" s="27">
        <v>19143</v>
      </c>
      <c r="J394" s="931" t="s">
        <v>869</v>
      </c>
      <c r="K394" s="957">
        <v>43620</v>
      </c>
      <c r="L394" s="22" t="s">
        <v>2116</v>
      </c>
      <c r="M394" s="28" t="s">
        <v>415</v>
      </c>
      <c r="N394" s="22" t="s">
        <v>51</v>
      </c>
      <c r="O394" s="29">
        <v>6400</v>
      </c>
      <c r="P394" s="29" t="s">
        <v>402</v>
      </c>
      <c r="Q394" s="29">
        <f>O394</f>
        <v>6400</v>
      </c>
      <c r="R394" s="61"/>
      <c r="S394" s="96"/>
      <c r="T394" s="97"/>
      <c r="U394" s="98"/>
      <c r="V394" s="99"/>
      <c r="W394" s="100"/>
      <c r="X394" s="99"/>
      <c r="Y394" s="99"/>
      <c r="Z394" s="100"/>
      <c r="AA394" s="101"/>
      <c r="AB394" s="59"/>
      <c r="AC394" s="867"/>
      <c r="AD394" s="96"/>
      <c r="AE394" s="96"/>
      <c r="AF394" s="868"/>
      <c r="AG394" s="39" t="s">
        <v>869</v>
      </c>
      <c r="AH394" s="39"/>
      <c r="AI394" s="39"/>
      <c r="AJ394" s="21"/>
      <c r="AK394" s="865">
        <v>1</v>
      </c>
      <c r="AL394" s="45" t="s">
        <v>728</v>
      </c>
      <c r="AM394" s="46" t="s">
        <v>869</v>
      </c>
      <c r="AN394" s="46"/>
      <c r="AO394" s="47">
        <v>1</v>
      </c>
      <c r="AP394" s="48" t="s">
        <v>636</v>
      </c>
      <c r="AQ394" s="865"/>
      <c r="AR394" s="54"/>
      <c r="AS394" s="865"/>
      <c r="AT394" s="865"/>
      <c r="AU394" s="865"/>
      <c r="AV394" s="54"/>
      <c r="AW394" s="865"/>
      <c r="AX394" s="54"/>
      <c r="AY394" s="865"/>
      <c r="AZ394" s="865"/>
      <c r="BA394" s="865"/>
      <c r="BB394" s="54"/>
      <c r="BC394" s="865"/>
      <c r="BD394" s="54"/>
      <c r="BE394" s="865"/>
      <c r="BF394" s="865"/>
      <c r="BG394" s="865"/>
      <c r="BH394" s="54"/>
      <c r="BI394" s="865"/>
      <c r="BJ394" s="54"/>
      <c r="BK394" s="865"/>
      <c r="BL394" s="865"/>
      <c r="BM394" s="865"/>
      <c r="BN394" s="54"/>
      <c r="BO394" s="865"/>
      <c r="BP394" s="54"/>
      <c r="BQ394" s="865"/>
      <c r="BR394" s="865"/>
      <c r="BS394" s="865"/>
      <c r="BT394" s="54"/>
      <c r="BU394" s="865"/>
      <c r="BV394" s="54"/>
      <c r="BW394" s="865"/>
      <c r="BX394" s="865"/>
      <c r="BY394" s="865"/>
      <c r="BZ394" s="54"/>
      <c r="CA394" s="865"/>
      <c r="CB394" s="54"/>
      <c r="CC394" s="865"/>
      <c r="CD394" s="865"/>
      <c r="CE394" s="865"/>
      <c r="CF394" s="865"/>
    </row>
    <row r="395" spans="1:84" x14ac:dyDescent="0.5">
      <c r="A395" s="227">
        <v>19056226</v>
      </c>
      <c r="B395" s="22">
        <v>19050429</v>
      </c>
      <c r="C395" s="55"/>
      <c r="D395" s="56"/>
      <c r="E395" s="910"/>
      <c r="F395" s="57"/>
      <c r="G395" s="58"/>
      <c r="H395" s="59"/>
      <c r="I395" s="60"/>
      <c r="J395" s="269"/>
      <c r="K395" s="59"/>
      <c r="L395" s="22" t="s">
        <v>2111</v>
      </c>
      <c r="M395" s="28" t="s">
        <v>174</v>
      </c>
      <c r="N395" s="22" t="s">
        <v>51</v>
      </c>
      <c r="O395" s="29">
        <v>10000</v>
      </c>
      <c r="P395" s="29">
        <f>O395*7/100</f>
        <v>700</v>
      </c>
      <c r="Q395" s="29">
        <f>O395+P395</f>
        <v>10700</v>
      </c>
      <c r="R395" s="61"/>
      <c r="S395" s="96"/>
      <c r="T395" s="97"/>
      <c r="U395" s="98"/>
      <c r="V395" s="99"/>
      <c r="W395" s="100"/>
      <c r="X395" s="99"/>
      <c r="Y395" s="99"/>
      <c r="Z395" s="100"/>
      <c r="AA395" s="101"/>
      <c r="AB395" s="40">
        <v>19100397</v>
      </c>
      <c r="AC395" s="41">
        <v>10000</v>
      </c>
      <c r="AD395" s="63">
        <f>AC395*7/100</f>
        <v>700</v>
      </c>
      <c r="AE395" s="64">
        <f>AC395+AD395</f>
        <v>10700</v>
      </c>
      <c r="AF395" s="53">
        <v>43784</v>
      </c>
      <c r="AG395" s="39" t="s">
        <v>869</v>
      </c>
      <c r="AH395" s="39"/>
      <c r="AI395" s="39"/>
      <c r="AJ395" s="21" t="s">
        <v>3316</v>
      </c>
      <c r="AK395" s="855">
        <v>1</v>
      </c>
      <c r="AL395" s="45" t="s">
        <v>2112</v>
      </c>
      <c r="AM395" s="46"/>
      <c r="AN395" s="46"/>
      <c r="AO395" s="47">
        <v>1</v>
      </c>
      <c r="AP395" s="48" t="s">
        <v>628</v>
      </c>
      <c r="AQ395" s="855">
        <v>2</v>
      </c>
      <c r="AR395" s="40" t="s">
        <v>2113</v>
      </c>
      <c r="AS395" s="47"/>
      <c r="AT395" s="47"/>
      <c r="AU395" s="47">
        <v>1</v>
      </c>
      <c r="AV395" s="49" t="s">
        <v>628</v>
      </c>
      <c r="AW395" s="864"/>
      <c r="AX395" s="54"/>
      <c r="AY395" s="864"/>
      <c r="AZ395" s="864"/>
      <c r="BA395" s="864"/>
      <c r="BB395" s="54"/>
      <c r="BC395" s="864"/>
      <c r="BD395" s="54"/>
      <c r="BE395" s="864"/>
      <c r="BF395" s="864"/>
      <c r="BG395" s="864"/>
      <c r="BH395" s="54"/>
      <c r="BI395" s="864"/>
      <c r="BJ395" s="54"/>
      <c r="BK395" s="864"/>
      <c r="BL395" s="864"/>
      <c r="BM395" s="864"/>
      <c r="BN395" s="54"/>
      <c r="BO395" s="864"/>
      <c r="BP395" s="54"/>
      <c r="BQ395" s="864"/>
      <c r="BR395" s="864"/>
      <c r="BS395" s="864"/>
      <c r="BT395" s="54"/>
      <c r="BU395" s="864"/>
      <c r="BV395" s="54"/>
      <c r="BW395" s="864"/>
      <c r="BX395" s="864"/>
      <c r="BY395" s="864"/>
      <c r="BZ395" s="54"/>
      <c r="CA395" s="864"/>
      <c r="CB395" s="54"/>
      <c r="CC395" s="864"/>
      <c r="CD395" s="864"/>
      <c r="CE395" s="864"/>
      <c r="CF395" s="864"/>
    </row>
    <row r="396" spans="1:84" s="95" customFormat="1" x14ac:dyDescent="0.5">
      <c r="A396" s="65">
        <v>19056225</v>
      </c>
      <c r="B396" s="326">
        <v>19050436</v>
      </c>
      <c r="C396" s="67" t="s">
        <v>2108</v>
      </c>
      <c r="D396" s="68" t="s">
        <v>1323</v>
      </c>
      <c r="E396" s="905">
        <v>43614</v>
      </c>
      <c r="F396" s="934" t="s">
        <v>1324</v>
      </c>
      <c r="G396" s="935" t="s">
        <v>1371</v>
      </c>
      <c r="H396" s="634">
        <v>43613</v>
      </c>
      <c r="I396" s="71">
        <v>19142</v>
      </c>
      <c r="J396" s="958" t="s">
        <v>869</v>
      </c>
      <c r="K396" s="959">
        <v>43614</v>
      </c>
      <c r="L396" s="66" t="s">
        <v>1546</v>
      </c>
      <c r="M396" s="72" t="s">
        <v>2109</v>
      </c>
      <c r="N396" s="66" t="s">
        <v>1523</v>
      </c>
      <c r="O396" s="73">
        <v>13062.5</v>
      </c>
      <c r="P396" s="73">
        <f>O396*7/100</f>
        <v>914.375</v>
      </c>
      <c r="Q396" s="73">
        <f>O396+P396</f>
        <v>13976.875</v>
      </c>
      <c r="R396" s="318"/>
      <c r="S396" s="319"/>
      <c r="T396" s="320"/>
      <c r="U396" s="321"/>
      <c r="V396" s="322"/>
      <c r="W396" s="79">
        <f>O396</f>
        <v>13062.5</v>
      </c>
      <c r="X396" s="80">
        <v>0.44</v>
      </c>
      <c r="Y396" s="80">
        <f t="shared" ref="Y396:Y408" si="99">W396*X396/100</f>
        <v>57.475000000000001</v>
      </c>
      <c r="Z396" s="81">
        <v>0.2</v>
      </c>
      <c r="AA396" s="82">
        <f t="shared" ref="AA396:AA408" si="100">W396*Z396/100</f>
        <v>26.125</v>
      </c>
      <c r="AB396" s="84">
        <v>19060191</v>
      </c>
      <c r="AC396" s="85">
        <v>13062.5</v>
      </c>
      <c r="AD396" s="908">
        <f>AC396*7/100</f>
        <v>914.375</v>
      </c>
      <c r="AE396" s="908">
        <f>AC396+AD396</f>
        <v>13976.875</v>
      </c>
      <c r="AF396" s="909">
        <v>43653</v>
      </c>
      <c r="AG396" s="83"/>
      <c r="AH396" s="83"/>
      <c r="AI396" s="83" t="s">
        <v>869</v>
      </c>
      <c r="AJ396" s="65" t="s">
        <v>2143</v>
      </c>
      <c r="AK396" s="88"/>
      <c r="AL396" s="89"/>
      <c r="AM396" s="90"/>
      <c r="AN396" s="90"/>
      <c r="AO396" s="91"/>
      <c r="AP396" s="92"/>
      <c r="AQ396" s="88"/>
      <c r="AR396" s="84"/>
      <c r="AS396" s="91"/>
      <c r="AT396" s="91"/>
      <c r="AU396" s="91"/>
      <c r="AV396" s="93"/>
      <c r="AW396" s="88"/>
      <c r="AX396" s="84"/>
      <c r="AY396" s="91"/>
      <c r="AZ396" s="91"/>
      <c r="BA396" s="91"/>
      <c r="BB396" s="93"/>
      <c r="BC396" s="88"/>
      <c r="BD396" s="84"/>
      <c r="BE396" s="91"/>
      <c r="BF396" s="91"/>
      <c r="BG396" s="91"/>
      <c r="BH396" s="93"/>
      <c r="BI396" s="88"/>
      <c r="BJ396" s="84"/>
      <c r="BK396" s="91"/>
      <c r="BL396" s="91"/>
      <c r="BM396" s="91"/>
      <c r="BN396" s="93"/>
      <c r="BO396" s="88"/>
      <c r="BP396" s="84"/>
      <c r="BQ396" s="91"/>
      <c r="BR396" s="91"/>
      <c r="BS396" s="91"/>
      <c r="BT396" s="93"/>
      <c r="BU396" s="88"/>
      <c r="BV396" s="84"/>
      <c r="BW396" s="91"/>
      <c r="BX396" s="91"/>
      <c r="BY396" s="91"/>
      <c r="BZ396" s="93"/>
      <c r="CA396" s="88"/>
      <c r="CB396" s="84"/>
      <c r="CC396" s="91"/>
      <c r="CD396" s="91"/>
      <c r="CE396" s="91"/>
      <c r="CF396" s="616"/>
    </row>
    <row r="397" spans="1:84" x14ac:dyDescent="0.5">
      <c r="A397" s="259">
        <v>19056224</v>
      </c>
      <c r="B397" s="104">
        <v>19050435</v>
      </c>
      <c r="C397" s="105" t="s">
        <v>2071</v>
      </c>
      <c r="D397" s="106" t="s">
        <v>1323</v>
      </c>
      <c r="E397" s="302">
        <v>43621</v>
      </c>
      <c r="F397" s="936" t="s">
        <v>1324</v>
      </c>
      <c r="G397" s="937" t="s">
        <v>2139</v>
      </c>
      <c r="H397" s="211">
        <v>43630</v>
      </c>
      <c r="I397" s="164">
        <v>19157</v>
      </c>
      <c r="J397" s="960" t="s">
        <v>869</v>
      </c>
      <c r="K397" s="962">
        <v>43631</v>
      </c>
      <c r="L397" s="104" t="s">
        <v>2072</v>
      </c>
      <c r="M397" s="110" t="s">
        <v>2073</v>
      </c>
      <c r="N397" s="104" t="s">
        <v>1700</v>
      </c>
      <c r="O397" s="111">
        <v>2368889</v>
      </c>
      <c r="P397" s="111">
        <f t="shared" ref="P397:P413" si="101">O397*7/100</f>
        <v>165822.23000000001</v>
      </c>
      <c r="Q397" s="111">
        <f t="shared" ref="Q397:Q413" si="102">O397+P397</f>
        <v>2534711.23</v>
      </c>
      <c r="R397" s="212"/>
      <c r="S397" s="113" t="s">
        <v>2090</v>
      </c>
      <c r="T397" s="114">
        <f>O397</f>
        <v>2368889</v>
      </c>
      <c r="U397" s="115">
        <v>5</v>
      </c>
      <c r="V397" s="116">
        <f>T397*U397/100</f>
        <v>118444.45</v>
      </c>
      <c r="W397" s="117">
        <f>T397-V397</f>
        <v>2250444.5499999998</v>
      </c>
      <c r="X397" s="118">
        <v>0.34</v>
      </c>
      <c r="Y397" s="118">
        <f t="shared" si="99"/>
        <v>7651.5114700000004</v>
      </c>
      <c r="Z397" s="119">
        <v>0.2</v>
      </c>
      <c r="AA397" s="120">
        <f t="shared" si="100"/>
        <v>4500.8890999999994</v>
      </c>
      <c r="AB397" s="123">
        <v>19070231</v>
      </c>
      <c r="AC397" s="124">
        <v>2368889</v>
      </c>
      <c r="AD397" s="125">
        <f>AC397*7/100</f>
        <v>165822.23000000001</v>
      </c>
      <c r="AE397" s="125">
        <f>AC397+AD397</f>
        <v>2534711.23</v>
      </c>
      <c r="AF397" s="126">
        <v>43677</v>
      </c>
      <c r="AG397" s="127" t="s">
        <v>869</v>
      </c>
      <c r="AH397" s="127"/>
      <c r="AI397" s="127"/>
      <c r="AJ397" s="103" t="s">
        <v>2710</v>
      </c>
      <c r="AK397" s="128">
        <v>1</v>
      </c>
      <c r="AL397" s="129" t="s">
        <v>2074</v>
      </c>
      <c r="AM397" s="130" t="s">
        <v>869</v>
      </c>
      <c r="AN397" s="130"/>
      <c r="AO397" s="131">
        <v>1</v>
      </c>
      <c r="AP397" s="132" t="s">
        <v>1882</v>
      </c>
      <c r="AQ397" s="128">
        <v>2</v>
      </c>
      <c r="AR397" s="123" t="s">
        <v>1230</v>
      </c>
      <c r="AS397" s="131" t="s">
        <v>869</v>
      </c>
      <c r="AT397" s="131"/>
      <c r="AU397" s="131">
        <v>1</v>
      </c>
      <c r="AV397" s="169" t="s">
        <v>636</v>
      </c>
      <c r="AW397" s="128">
        <v>3</v>
      </c>
      <c r="AX397" s="123" t="s">
        <v>2075</v>
      </c>
      <c r="AY397" s="131" t="s">
        <v>869</v>
      </c>
      <c r="AZ397" s="131"/>
      <c r="BA397" s="131">
        <v>2</v>
      </c>
      <c r="BB397" s="169" t="s">
        <v>636</v>
      </c>
      <c r="BC397" s="128">
        <v>4</v>
      </c>
      <c r="BD397" s="123" t="s">
        <v>2076</v>
      </c>
      <c r="BE397" s="131"/>
      <c r="BF397" s="131" t="s">
        <v>869</v>
      </c>
      <c r="BG397" s="131">
        <v>1</v>
      </c>
      <c r="BH397" s="169" t="s">
        <v>634</v>
      </c>
      <c r="BI397" s="128"/>
      <c r="BJ397" s="133"/>
      <c r="BK397" s="128"/>
      <c r="BL397" s="128"/>
      <c r="BM397" s="128"/>
      <c r="BN397" s="133"/>
      <c r="BO397" s="128"/>
      <c r="BP397" s="133"/>
      <c r="BQ397" s="128"/>
      <c r="BR397" s="128"/>
      <c r="BS397" s="128"/>
      <c r="BT397" s="133"/>
      <c r="BU397" s="128"/>
      <c r="BV397" s="133"/>
      <c r="BW397" s="128"/>
      <c r="BX397" s="128"/>
      <c r="BY397" s="128"/>
      <c r="BZ397" s="133"/>
      <c r="CA397" s="128"/>
      <c r="CB397" s="133"/>
      <c r="CC397" s="128"/>
      <c r="CD397" s="128"/>
      <c r="CE397" s="128"/>
      <c r="CF397" s="128"/>
    </row>
    <row r="398" spans="1:84" x14ac:dyDescent="0.5">
      <c r="A398" s="262">
        <v>19056224</v>
      </c>
      <c r="B398" s="135"/>
      <c r="C398" s="136"/>
      <c r="D398" s="137"/>
      <c r="E398" s="906"/>
      <c r="F398" s="940"/>
      <c r="G398" s="941"/>
      <c r="H398" s="170">
        <v>43634</v>
      </c>
      <c r="I398" s="251">
        <v>19159</v>
      </c>
      <c r="J398" s="963"/>
      <c r="K398" s="964">
        <v>43636</v>
      </c>
      <c r="L398" s="135" t="s">
        <v>2072</v>
      </c>
      <c r="M398" s="141" t="s">
        <v>2073</v>
      </c>
      <c r="N398" s="135"/>
      <c r="O398" s="142"/>
      <c r="P398" s="142"/>
      <c r="Q398" s="142"/>
      <c r="R398" s="213"/>
      <c r="S398" s="144"/>
      <c r="T398" s="145"/>
      <c r="U398" s="146"/>
      <c r="V398" s="147"/>
      <c r="W398" s="148"/>
      <c r="X398" s="149"/>
      <c r="Y398" s="149"/>
      <c r="Z398" s="150"/>
      <c r="AA398" s="151"/>
      <c r="AB398" s="154"/>
      <c r="AC398" s="155"/>
      <c r="AD398" s="255"/>
      <c r="AE398" s="255"/>
      <c r="AF398" s="256"/>
      <c r="AG398" s="152"/>
      <c r="AH398" s="152"/>
      <c r="AI398" s="152"/>
      <c r="AJ398" s="134"/>
      <c r="AK398" s="158"/>
      <c r="AL398" s="159"/>
      <c r="AM398" s="160"/>
      <c r="AN398" s="160"/>
      <c r="AO398" s="161"/>
      <c r="AP398" s="162"/>
      <c r="AQ398" s="158"/>
      <c r="AR398" s="154"/>
      <c r="AS398" s="161"/>
      <c r="AT398" s="161"/>
      <c r="AU398" s="161"/>
      <c r="AV398" s="177"/>
      <c r="AW398" s="158"/>
      <c r="AX398" s="154"/>
      <c r="AY398" s="161"/>
      <c r="AZ398" s="161"/>
      <c r="BA398" s="161"/>
      <c r="BB398" s="177"/>
      <c r="BC398" s="158"/>
      <c r="BD398" s="154"/>
      <c r="BE398" s="161"/>
      <c r="BF398" s="161"/>
      <c r="BG398" s="161"/>
      <c r="BH398" s="177"/>
      <c r="BI398" s="158"/>
      <c r="BJ398" s="163"/>
      <c r="BK398" s="158"/>
      <c r="BL398" s="158"/>
      <c r="BM398" s="158"/>
      <c r="BN398" s="163"/>
      <c r="BO398" s="158"/>
      <c r="BP398" s="163"/>
      <c r="BQ398" s="158"/>
      <c r="BR398" s="158"/>
      <c r="BS398" s="158"/>
      <c r="BT398" s="163"/>
      <c r="BU398" s="158"/>
      <c r="BV398" s="163"/>
      <c r="BW398" s="158"/>
      <c r="BX398" s="158"/>
      <c r="BY398" s="158"/>
      <c r="BZ398" s="163"/>
      <c r="CA398" s="158"/>
      <c r="CB398" s="163"/>
      <c r="CC398" s="158"/>
      <c r="CD398" s="158"/>
      <c r="CE398" s="158"/>
      <c r="CF398" s="158"/>
    </row>
    <row r="399" spans="1:84" x14ac:dyDescent="0.5">
      <c r="A399" s="262"/>
      <c r="B399" s="135"/>
      <c r="C399" s="136"/>
      <c r="D399" s="137"/>
      <c r="E399" s="906"/>
      <c r="F399" s="940"/>
      <c r="G399" s="941"/>
      <c r="H399" s="170">
        <v>43634</v>
      </c>
      <c r="I399" s="251">
        <v>19160</v>
      </c>
      <c r="J399" s="963"/>
      <c r="K399" s="964"/>
      <c r="L399" s="135"/>
      <c r="M399" s="141"/>
      <c r="N399" s="135"/>
      <c r="O399" s="142"/>
      <c r="P399" s="142"/>
      <c r="Q399" s="142"/>
      <c r="R399" s="213"/>
      <c r="S399" s="144"/>
      <c r="T399" s="145"/>
      <c r="U399" s="146"/>
      <c r="V399" s="147"/>
      <c r="W399" s="148"/>
      <c r="X399" s="149"/>
      <c r="Y399" s="149"/>
      <c r="Z399" s="150"/>
      <c r="AA399" s="151"/>
      <c r="AB399" s="154"/>
      <c r="AC399" s="155"/>
      <c r="AD399" s="255"/>
      <c r="AE399" s="255"/>
      <c r="AF399" s="256"/>
      <c r="AG399" s="152"/>
      <c r="AH399" s="152"/>
      <c r="AI399" s="152"/>
      <c r="AJ399" s="134"/>
      <c r="AK399" s="158"/>
      <c r="AL399" s="159"/>
      <c r="AM399" s="160"/>
      <c r="AN399" s="160"/>
      <c r="AO399" s="161"/>
      <c r="AP399" s="162"/>
      <c r="AQ399" s="158"/>
      <c r="AR399" s="154"/>
      <c r="AS399" s="161"/>
      <c r="AT399" s="161"/>
      <c r="AU399" s="161"/>
      <c r="AV399" s="177"/>
      <c r="AW399" s="158"/>
      <c r="AX399" s="154"/>
      <c r="AY399" s="161"/>
      <c r="AZ399" s="161"/>
      <c r="BA399" s="161"/>
      <c r="BB399" s="177"/>
      <c r="BC399" s="158"/>
      <c r="BD399" s="154"/>
      <c r="BE399" s="161"/>
      <c r="BF399" s="161"/>
      <c r="BG399" s="161"/>
      <c r="BH399" s="177"/>
      <c r="BI399" s="158"/>
      <c r="BJ399" s="163"/>
      <c r="BK399" s="158"/>
      <c r="BL399" s="158"/>
      <c r="BM399" s="158"/>
      <c r="BN399" s="163"/>
      <c r="BO399" s="158"/>
      <c r="BP399" s="163"/>
      <c r="BQ399" s="158"/>
      <c r="BR399" s="158"/>
      <c r="BS399" s="158"/>
      <c r="BT399" s="163"/>
      <c r="BU399" s="158"/>
      <c r="BV399" s="163"/>
      <c r="BW399" s="158"/>
      <c r="BX399" s="158"/>
      <c r="BY399" s="158"/>
      <c r="BZ399" s="163"/>
      <c r="CA399" s="158"/>
      <c r="CB399" s="163"/>
      <c r="CC399" s="158"/>
      <c r="CD399" s="158"/>
      <c r="CE399" s="158"/>
      <c r="CF399" s="158"/>
    </row>
    <row r="400" spans="1:84" x14ac:dyDescent="0.5">
      <c r="A400" s="262"/>
      <c r="B400" s="135"/>
      <c r="C400" s="136"/>
      <c r="D400" s="137"/>
      <c r="E400" s="906"/>
      <c r="F400" s="940"/>
      <c r="G400" s="941"/>
      <c r="H400" s="170">
        <v>43634</v>
      </c>
      <c r="I400" s="251">
        <v>19161</v>
      </c>
      <c r="J400" s="963"/>
      <c r="K400" s="964"/>
      <c r="L400" s="135"/>
      <c r="M400" s="141"/>
      <c r="N400" s="135"/>
      <c r="O400" s="142"/>
      <c r="P400" s="142"/>
      <c r="Q400" s="142"/>
      <c r="R400" s="213"/>
      <c r="S400" s="144"/>
      <c r="T400" s="145"/>
      <c r="U400" s="146"/>
      <c r="V400" s="147"/>
      <c r="W400" s="148"/>
      <c r="X400" s="149"/>
      <c r="Y400" s="149"/>
      <c r="Z400" s="150"/>
      <c r="AA400" s="151"/>
      <c r="AB400" s="154"/>
      <c r="AC400" s="155"/>
      <c r="AD400" s="255"/>
      <c r="AE400" s="255"/>
      <c r="AF400" s="256"/>
      <c r="AG400" s="152"/>
      <c r="AH400" s="152"/>
      <c r="AI400" s="152"/>
      <c r="AJ400" s="134"/>
      <c r="AK400" s="158"/>
      <c r="AL400" s="159"/>
      <c r="AM400" s="160"/>
      <c r="AN400" s="160"/>
      <c r="AO400" s="161"/>
      <c r="AP400" s="162"/>
      <c r="AQ400" s="158"/>
      <c r="AR400" s="154"/>
      <c r="AS400" s="161"/>
      <c r="AT400" s="161"/>
      <c r="AU400" s="161"/>
      <c r="AV400" s="177"/>
      <c r="AW400" s="158"/>
      <c r="AX400" s="154"/>
      <c r="AY400" s="161"/>
      <c r="AZ400" s="161"/>
      <c r="BA400" s="161"/>
      <c r="BB400" s="177"/>
      <c r="BC400" s="158"/>
      <c r="BD400" s="154"/>
      <c r="BE400" s="161"/>
      <c r="BF400" s="161"/>
      <c r="BG400" s="161"/>
      <c r="BH400" s="177"/>
      <c r="BI400" s="158"/>
      <c r="BJ400" s="163"/>
      <c r="BK400" s="158"/>
      <c r="BL400" s="158"/>
      <c r="BM400" s="158"/>
      <c r="BN400" s="163"/>
      <c r="BO400" s="158"/>
      <c r="BP400" s="163"/>
      <c r="BQ400" s="158"/>
      <c r="BR400" s="158"/>
      <c r="BS400" s="158"/>
      <c r="BT400" s="163"/>
      <c r="BU400" s="158"/>
      <c r="BV400" s="163"/>
      <c r="BW400" s="158"/>
      <c r="BX400" s="158"/>
      <c r="BY400" s="158"/>
      <c r="BZ400" s="163"/>
      <c r="CA400" s="158"/>
      <c r="CB400" s="163"/>
      <c r="CC400" s="158"/>
      <c r="CD400" s="158"/>
      <c r="CE400" s="158"/>
      <c r="CF400" s="158"/>
    </row>
    <row r="401" spans="1:85" x14ac:dyDescent="0.5">
      <c r="A401" s="262"/>
      <c r="B401" s="135"/>
      <c r="C401" s="136"/>
      <c r="D401" s="137"/>
      <c r="E401" s="906"/>
      <c r="F401" s="940"/>
      <c r="G401" s="941"/>
      <c r="H401" s="179">
        <v>43655</v>
      </c>
      <c r="I401" s="140">
        <v>19192</v>
      </c>
      <c r="J401" s="963"/>
      <c r="K401" s="964"/>
      <c r="L401" s="135"/>
      <c r="M401" s="141"/>
      <c r="N401" s="135"/>
      <c r="O401" s="142"/>
      <c r="P401" s="142"/>
      <c r="Q401" s="142"/>
      <c r="R401" s="213"/>
      <c r="S401" s="144"/>
      <c r="T401" s="145"/>
      <c r="U401" s="146"/>
      <c r="V401" s="147"/>
      <c r="W401" s="148"/>
      <c r="X401" s="149"/>
      <c r="Y401" s="149"/>
      <c r="Z401" s="150"/>
      <c r="AA401" s="151"/>
      <c r="AB401" s="154"/>
      <c r="AC401" s="155"/>
      <c r="AD401" s="255"/>
      <c r="AE401" s="255"/>
      <c r="AF401" s="256"/>
      <c r="AG401" s="152"/>
      <c r="AH401" s="152"/>
      <c r="AI401" s="152"/>
      <c r="AJ401" s="134"/>
      <c r="AK401" s="158"/>
      <c r="AL401" s="159"/>
      <c r="AM401" s="160"/>
      <c r="AN401" s="160"/>
      <c r="AO401" s="161"/>
      <c r="AP401" s="162"/>
      <c r="AQ401" s="158"/>
      <c r="AR401" s="154"/>
      <c r="AS401" s="161"/>
      <c r="AT401" s="161"/>
      <c r="AU401" s="161"/>
      <c r="AV401" s="177"/>
      <c r="AW401" s="158"/>
      <c r="AX401" s="154"/>
      <c r="AY401" s="161"/>
      <c r="AZ401" s="161"/>
      <c r="BA401" s="161"/>
      <c r="BB401" s="177"/>
      <c r="BC401" s="158"/>
      <c r="BD401" s="154"/>
      <c r="BE401" s="161"/>
      <c r="BF401" s="161"/>
      <c r="BG401" s="161"/>
      <c r="BH401" s="177"/>
      <c r="BI401" s="158"/>
      <c r="BJ401" s="163"/>
      <c r="BK401" s="158"/>
      <c r="BL401" s="158"/>
      <c r="BM401" s="158"/>
      <c r="BN401" s="163"/>
      <c r="BO401" s="158"/>
      <c r="BP401" s="163"/>
      <c r="BQ401" s="158"/>
      <c r="BR401" s="158"/>
      <c r="BS401" s="158"/>
      <c r="BT401" s="163"/>
      <c r="BU401" s="158"/>
      <c r="BV401" s="163"/>
      <c r="BW401" s="158"/>
      <c r="BX401" s="158"/>
      <c r="BY401" s="158"/>
      <c r="BZ401" s="163"/>
      <c r="CA401" s="158"/>
      <c r="CB401" s="163"/>
      <c r="CC401" s="158"/>
      <c r="CD401" s="158"/>
      <c r="CE401" s="158"/>
      <c r="CF401" s="158"/>
    </row>
    <row r="402" spans="1:85" x14ac:dyDescent="0.5">
      <c r="A402" s="259">
        <v>19056223</v>
      </c>
      <c r="B402" s="104">
        <v>19050430</v>
      </c>
      <c r="C402" s="105" t="s">
        <v>2077</v>
      </c>
      <c r="D402" s="106" t="s">
        <v>1323</v>
      </c>
      <c r="E402" s="302">
        <v>43620</v>
      </c>
      <c r="F402" s="936" t="s">
        <v>1324</v>
      </c>
      <c r="G402" s="937" t="s">
        <v>1369</v>
      </c>
      <c r="H402" s="122">
        <v>43620</v>
      </c>
      <c r="I402" s="109">
        <v>19144</v>
      </c>
      <c r="J402" s="960" t="s">
        <v>869</v>
      </c>
      <c r="K402" s="965">
        <v>43621</v>
      </c>
      <c r="L402" s="104" t="s">
        <v>319</v>
      </c>
      <c r="M402" s="110" t="s">
        <v>2078</v>
      </c>
      <c r="N402" s="104" t="s">
        <v>52</v>
      </c>
      <c r="O402" s="111">
        <v>93457.94</v>
      </c>
      <c r="P402" s="111">
        <f t="shared" si="101"/>
        <v>6542.055800000001</v>
      </c>
      <c r="Q402" s="111">
        <f t="shared" si="102"/>
        <v>99999.995800000004</v>
      </c>
      <c r="R402" s="311">
        <v>14000</v>
      </c>
      <c r="S402" s="165"/>
      <c r="T402" s="166"/>
      <c r="U402" s="167"/>
      <c r="V402" s="168"/>
      <c r="W402" s="117">
        <f>O402-R402</f>
        <v>79457.94</v>
      </c>
      <c r="X402" s="118">
        <v>0.2</v>
      </c>
      <c r="Y402" s="118">
        <f t="shared" si="99"/>
        <v>158.91588000000002</v>
      </c>
      <c r="Z402" s="119">
        <v>0.2</v>
      </c>
      <c r="AA402" s="120">
        <f t="shared" si="100"/>
        <v>158.91588000000002</v>
      </c>
      <c r="AB402" s="123">
        <v>19060194</v>
      </c>
      <c r="AC402" s="124">
        <v>93457.94</v>
      </c>
      <c r="AD402" s="260">
        <f>AC402*7/100</f>
        <v>6542.055800000001</v>
      </c>
      <c r="AE402" s="261">
        <f>AC402+AD402</f>
        <v>99999.995800000004</v>
      </c>
      <c r="AF402" s="126">
        <v>43656</v>
      </c>
      <c r="AG402" s="127" t="s">
        <v>869</v>
      </c>
      <c r="AH402" s="127"/>
      <c r="AI402" s="127"/>
      <c r="AJ402" s="103" t="s">
        <v>2599</v>
      </c>
      <c r="AK402" s="128">
        <v>1</v>
      </c>
      <c r="AL402" s="129" t="s">
        <v>593</v>
      </c>
      <c r="AM402" s="130"/>
      <c r="AN402" s="130" t="s">
        <v>869</v>
      </c>
      <c r="AO402" s="131">
        <v>4</v>
      </c>
      <c r="AP402" s="132" t="s">
        <v>634</v>
      </c>
      <c r="AQ402" s="128"/>
      <c r="AR402" s="133"/>
      <c r="AS402" s="128"/>
      <c r="AT402" s="128"/>
      <c r="AU402" s="128"/>
      <c r="AV402" s="133"/>
      <c r="AW402" s="128"/>
      <c r="AX402" s="133"/>
      <c r="AY402" s="128"/>
      <c r="AZ402" s="128"/>
      <c r="BA402" s="128"/>
      <c r="BB402" s="133"/>
      <c r="BC402" s="128"/>
      <c r="BD402" s="133"/>
      <c r="BE402" s="128"/>
      <c r="BF402" s="128"/>
      <c r="BG402" s="128"/>
      <c r="BH402" s="133"/>
      <c r="BI402" s="128"/>
      <c r="BJ402" s="133"/>
      <c r="BK402" s="128"/>
      <c r="BL402" s="128"/>
      <c r="BM402" s="128"/>
      <c r="BN402" s="133"/>
      <c r="BO402" s="128"/>
      <c r="BP402" s="133"/>
      <c r="BQ402" s="128"/>
      <c r="BR402" s="128"/>
      <c r="BS402" s="128"/>
      <c r="BT402" s="133"/>
      <c r="BU402" s="128"/>
      <c r="BV402" s="133"/>
      <c r="BW402" s="128"/>
      <c r="BX402" s="128"/>
      <c r="BY402" s="128"/>
      <c r="BZ402" s="133"/>
      <c r="CA402" s="128"/>
      <c r="CB402" s="133"/>
      <c r="CC402" s="128"/>
      <c r="CD402" s="128"/>
      <c r="CE402" s="128"/>
      <c r="CF402" s="128"/>
    </row>
    <row r="403" spans="1:85" x14ac:dyDescent="0.5">
      <c r="A403" s="268"/>
      <c r="B403" s="181"/>
      <c r="C403" s="182"/>
      <c r="D403" s="183"/>
      <c r="E403" s="749"/>
      <c r="F403" s="938"/>
      <c r="G403" s="939"/>
      <c r="H403" s="153">
        <v>43620</v>
      </c>
      <c r="I403" s="271">
        <v>19145</v>
      </c>
      <c r="J403" s="961"/>
      <c r="K403" s="200"/>
      <c r="L403" s="181"/>
      <c r="M403" s="188"/>
      <c r="N403" s="181"/>
      <c r="O403" s="189"/>
      <c r="P403" s="189"/>
      <c r="Q403" s="189"/>
      <c r="R403" s="190"/>
      <c r="S403" s="191"/>
      <c r="T403" s="192"/>
      <c r="U403" s="193"/>
      <c r="V403" s="194"/>
      <c r="W403" s="195"/>
      <c r="X403" s="196"/>
      <c r="Y403" s="196"/>
      <c r="Z403" s="197"/>
      <c r="AA403" s="198"/>
      <c r="AB403" s="200"/>
      <c r="AC403" s="201"/>
      <c r="AD403" s="240"/>
      <c r="AE403" s="240"/>
      <c r="AF403" s="241"/>
      <c r="AG403" s="199"/>
      <c r="AH403" s="199"/>
      <c r="AI403" s="199"/>
      <c r="AJ403" s="180"/>
      <c r="AK403" s="204"/>
      <c r="AL403" s="205"/>
      <c r="AM403" s="206"/>
      <c r="AN403" s="206"/>
      <c r="AO403" s="207"/>
      <c r="AP403" s="208"/>
      <c r="AQ403" s="204"/>
      <c r="AR403" s="210"/>
      <c r="AS403" s="204"/>
      <c r="AT403" s="204"/>
      <c r="AU403" s="204"/>
      <c r="AV403" s="210"/>
      <c r="AW403" s="204"/>
      <c r="AX403" s="210"/>
      <c r="AY403" s="204"/>
      <c r="AZ403" s="204"/>
      <c r="BA403" s="204"/>
      <c r="BB403" s="210"/>
      <c r="BC403" s="204"/>
      <c r="BD403" s="210"/>
      <c r="BE403" s="204"/>
      <c r="BF403" s="204"/>
      <c r="BG403" s="204"/>
      <c r="BH403" s="210"/>
      <c r="BI403" s="204"/>
      <c r="BJ403" s="210"/>
      <c r="BK403" s="204"/>
      <c r="BL403" s="204"/>
      <c r="BM403" s="204"/>
      <c r="BN403" s="210"/>
      <c r="BO403" s="204"/>
      <c r="BP403" s="210"/>
      <c r="BQ403" s="204"/>
      <c r="BR403" s="204"/>
      <c r="BS403" s="204"/>
      <c r="BT403" s="210"/>
      <c r="BU403" s="204"/>
      <c r="BV403" s="210"/>
      <c r="BW403" s="204"/>
      <c r="BX403" s="204"/>
      <c r="BY403" s="204"/>
      <c r="BZ403" s="210"/>
      <c r="CA403" s="204"/>
      <c r="CB403" s="210"/>
      <c r="CC403" s="204"/>
      <c r="CD403" s="204"/>
      <c r="CE403" s="204"/>
      <c r="CF403" s="204"/>
    </row>
    <row r="404" spans="1:85" x14ac:dyDescent="0.5">
      <c r="A404" s="259">
        <v>19056222</v>
      </c>
      <c r="B404" s="104">
        <v>19050431</v>
      </c>
      <c r="C404" s="105" t="s">
        <v>1363</v>
      </c>
      <c r="D404" s="106" t="s">
        <v>1323</v>
      </c>
      <c r="E404" s="302">
        <v>43620</v>
      </c>
      <c r="F404" s="936" t="s">
        <v>1324</v>
      </c>
      <c r="G404" s="937" t="s">
        <v>1368</v>
      </c>
      <c r="H404" s="211">
        <v>43620</v>
      </c>
      <c r="I404" s="164">
        <v>19146</v>
      </c>
      <c r="J404" s="960" t="s">
        <v>869</v>
      </c>
      <c r="K404" s="965">
        <v>43621</v>
      </c>
      <c r="L404" s="104" t="s">
        <v>319</v>
      </c>
      <c r="M404" s="110" t="s">
        <v>2079</v>
      </c>
      <c r="N404" s="104" t="s">
        <v>52</v>
      </c>
      <c r="O404" s="111">
        <v>93457.94</v>
      </c>
      <c r="P404" s="111">
        <f t="shared" si="101"/>
        <v>6542.055800000001</v>
      </c>
      <c r="Q404" s="111">
        <f t="shared" si="102"/>
        <v>99999.995800000004</v>
      </c>
      <c r="R404" s="311">
        <v>14000</v>
      </c>
      <c r="S404" s="165"/>
      <c r="T404" s="166"/>
      <c r="U404" s="167"/>
      <c r="V404" s="168"/>
      <c r="W404" s="117">
        <f>O404-R404</f>
        <v>79457.94</v>
      </c>
      <c r="X404" s="118">
        <v>0.2</v>
      </c>
      <c r="Y404" s="118">
        <f t="shared" si="99"/>
        <v>158.91588000000002</v>
      </c>
      <c r="Z404" s="119">
        <v>0.2</v>
      </c>
      <c r="AA404" s="120">
        <f t="shared" si="100"/>
        <v>158.91588000000002</v>
      </c>
      <c r="AB404" s="123">
        <v>19060193</v>
      </c>
      <c r="AC404" s="124">
        <v>93457.94</v>
      </c>
      <c r="AD404" s="260">
        <f>AC404*7/100</f>
        <v>6542.055800000001</v>
      </c>
      <c r="AE404" s="261">
        <f>AC404+AD404</f>
        <v>99999.995800000004</v>
      </c>
      <c r="AF404" s="126">
        <v>43656</v>
      </c>
      <c r="AG404" s="127" t="s">
        <v>869</v>
      </c>
      <c r="AH404" s="127"/>
      <c r="AI404" s="127"/>
      <c r="AJ404" s="103" t="s">
        <v>2599</v>
      </c>
      <c r="AK404" s="128">
        <v>1</v>
      </c>
      <c r="AL404" s="129" t="s">
        <v>593</v>
      </c>
      <c r="AM404" s="130"/>
      <c r="AN404" s="130" t="s">
        <v>869</v>
      </c>
      <c r="AO404" s="131">
        <v>4</v>
      </c>
      <c r="AP404" s="132" t="s">
        <v>634</v>
      </c>
      <c r="AQ404" s="128"/>
      <c r="AR404" s="133"/>
      <c r="AS404" s="128"/>
      <c r="AT404" s="128"/>
      <c r="AU404" s="128"/>
      <c r="AV404" s="133"/>
      <c r="AW404" s="128"/>
      <c r="AX404" s="133"/>
      <c r="AY404" s="128"/>
      <c r="AZ404" s="128"/>
      <c r="BA404" s="128"/>
      <c r="BB404" s="133"/>
      <c r="BC404" s="128"/>
      <c r="BD404" s="133"/>
      <c r="BE404" s="128"/>
      <c r="BF404" s="128"/>
      <c r="BG404" s="128"/>
      <c r="BH404" s="133"/>
      <c r="BI404" s="128"/>
      <c r="BJ404" s="133"/>
      <c r="BK404" s="128"/>
      <c r="BL404" s="128"/>
      <c r="BM404" s="128"/>
      <c r="BN404" s="133"/>
      <c r="BO404" s="128"/>
      <c r="BP404" s="133"/>
      <c r="BQ404" s="128"/>
      <c r="BR404" s="128"/>
      <c r="BS404" s="128"/>
      <c r="BT404" s="133"/>
      <c r="BU404" s="128"/>
      <c r="BV404" s="133"/>
      <c r="BW404" s="128"/>
      <c r="BX404" s="128"/>
      <c r="BY404" s="128"/>
      <c r="BZ404" s="133"/>
      <c r="CA404" s="128"/>
      <c r="CB404" s="133"/>
      <c r="CC404" s="128"/>
      <c r="CD404" s="128"/>
      <c r="CE404" s="128"/>
      <c r="CF404" s="128"/>
    </row>
    <row r="405" spans="1:85" x14ac:dyDescent="0.5">
      <c r="A405" s="268"/>
      <c r="B405" s="181"/>
      <c r="C405" s="182"/>
      <c r="D405" s="183"/>
      <c r="E405" s="749"/>
      <c r="F405" s="938"/>
      <c r="G405" s="939"/>
      <c r="H405" s="186">
        <v>43620</v>
      </c>
      <c r="I405" s="187">
        <v>19147</v>
      </c>
      <c r="J405" s="961"/>
      <c r="K405" s="200"/>
      <c r="L405" s="181"/>
      <c r="M405" s="188"/>
      <c r="N405" s="181"/>
      <c r="O405" s="189"/>
      <c r="P405" s="189"/>
      <c r="Q405" s="189"/>
      <c r="R405" s="190"/>
      <c r="S405" s="191"/>
      <c r="T405" s="192"/>
      <c r="U405" s="193"/>
      <c r="V405" s="194"/>
      <c r="W405" s="195"/>
      <c r="X405" s="196"/>
      <c r="Y405" s="196"/>
      <c r="Z405" s="197"/>
      <c r="AA405" s="198"/>
      <c r="AB405" s="200"/>
      <c r="AC405" s="201"/>
      <c r="AD405" s="240"/>
      <c r="AE405" s="240"/>
      <c r="AF405" s="241"/>
      <c r="AG405" s="199"/>
      <c r="AH405" s="199"/>
      <c r="AI405" s="199"/>
      <c r="AJ405" s="180"/>
      <c r="AK405" s="204"/>
      <c r="AL405" s="205"/>
      <c r="AM405" s="206"/>
      <c r="AN405" s="206"/>
      <c r="AO405" s="207"/>
      <c r="AP405" s="208"/>
      <c r="AQ405" s="204"/>
      <c r="AR405" s="210"/>
      <c r="AS405" s="204"/>
      <c r="AT405" s="204"/>
      <c r="AU405" s="204"/>
      <c r="AV405" s="210"/>
      <c r="AW405" s="204"/>
      <c r="AX405" s="210"/>
      <c r="AY405" s="204"/>
      <c r="AZ405" s="204"/>
      <c r="BA405" s="204"/>
      <c r="BB405" s="210"/>
      <c r="BC405" s="204"/>
      <c r="BD405" s="210"/>
      <c r="BE405" s="204"/>
      <c r="BF405" s="204"/>
      <c r="BG405" s="204"/>
      <c r="BH405" s="210"/>
      <c r="BI405" s="204"/>
      <c r="BJ405" s="210"/>
      <c r="BK405" s="204"/>
      <c r="BL405" s="204"/>
      <c r="BM405" s="204"/>
      <c r="BN405" s="210"/>
      <c r="BO405" s="204"/>
      <c r="BP405" s="210"/>
      <c r="BQ405" s="204"/>
      <c r="BR405" s="204"/>
      <c r="BS405" s="204"/>
      <c r="BT405" s="210"/>
      <c r="BU405" s="204"/>
      <c r="BV405" s="210"/>
      <c r="BW405" s="204"/>
      <c r="BX405" s="204"/>
      <c r="BY405" s="204"/>
      <c r="BZ405" s="210"/>
      <c r="CA405" s="204"/>
      <c r="CB405" s="210"/>
      <c r="CC405" s="204"/>
      <c r="CD405" s="204"/>
      <c r="CE405" s="204"/>
      <c r="CF405" s="204"/>
    </row>
    <row r="406" spans="1:85" x14ac:dyDescent="0.5">
      <c r="A406" s="259">
        <v>19056221</v>
      </c>
      <c r="B406" s="104">
        <v>19050432</v>
      </c>
      <c r="C406" s="105" t="s">
        <v>1364</v>
      </c>
      <c r="D406" s="106" t="s">
        <v>1323</v>
      </c>
      <c r="E406" s="302">
        <v>43656</v>
      </c>
      <c r="F406" s="936" t="s">
        <v>1324</v>
      </c>
      <c r="G406" s="937" t="s">
        <v>2148</v>
      </c>
      <c r="H406" s="211">
        <v>43647</v>
      </c>
      <c r="I406" s="164">
        <v>19181</v>
      </c>
      <c r="J406" s="960" t="s">
        <v>869</v>
      </c>
      <c r="K406" s="965">
        <v>43644</v>
      </c>
      <c r="L406" s="104" t="s">
        <v>319</v>
      </c>
      <c r="M406" s="110" t="s">
        <v>2080</v>
      </c>
      <c r="N406" s="104" t="s">
        <v>52</v>
      </c>
      <c r="O406" s="111">
        <v>93457.94</v>
      </c>
      <c r="P406" s="111">
        <f t="shared" si="101"/>
        <v>6542.055800000001</v>
      </c>
      <c r="Q406" s="111">
        <f t="shared" si="102"/>
        <v>99999.995800000004</v>
      </c>
      <c r="R406" s="311">
        <v>14000</v>
      </c>
      <c r="S406" s="165"/>
      <c r="T406" s="166"/>
      <c r="U406" s="167"/>
      <c r="V406" s="168"/>
      <c r="W406" s="117">
        <f>O406-R406</f>
        <v>79457.94</v>
      </c>
      <c r="X406" s="118">
        <v>0.2</v>
      </c>
      <c r="Y406" s="118">
        <f t="shared" si="99"/>
        <v>158.91588000000002</v>
      </c>
      <c r="Z406" s="119">
        <v>0.2</v>
      </c>
      <c r="AA406" s="120">
        <f t="shared" si="100"/>
        <v>158.91588000000002</v>
      </c>
      <c r="AB406" s="123">
        <v>19070228</v>
      </c>
      <c r="AC406" s="124">
        <v>93457.94</v>
      </c>
      <c r="AD406" s="125">
        <f>AC406*7/100</f>
        <v>6542.055800000001</v>
      </c>
      <c r="AE406" s="125">
        <f>AC406+AD406</f>
        <v>99999.995800000004</v>
      </c>
      <c r="AF406" s="126">
        <v>43677</v>
      </c>
      <c r="AG406" s="127" t="s">
        <v>869</v>
      </c>
      <c r="AH406" s="127"/>
      <c r="AI406" s="127"/>
      <c r="AJ406" s="103" t="s">
        <v>2595</v>
      </c>
      <c r="AK406" s="128">
        <v>1</v>
      </c>
      <c r="AL406" s="129" t="s">
        <v>593</v>
      </c>
      <c r="AM406" s="130"/>
      <c r="AN406" s="130" t="s">
        <v>869</v>
      </c>
      <c r="AO406" s="131">
        <v>4</v>
      </c>
      <c r="AP406" s="132" t="s">
        <v>634</v>
      </c>
      <c r="AQ406" s="128"/>
      <c r="AR406" s="133"/>
      <c r="AS406" s="128"/>
      <c r="AT406" s="128"/>
      <c r="AU406" s="128"/>
      <c r="AV406" s="133"/>
      <c r="AW406" s="128"/>
      <c r="AX406" s="133"/>
      <c r="AY406" s="128"/>
      <c r="AZ406" s="128"/>
      <c r="BA406" s="128"/>
      <c r="BB406" s="133"/>
      <c r="BC406" s="128"/>
      <c r="BD406" s="133"/>
      <c r="BE406" s="128"/>
      <c r="BF406" s="128"/>
      <c r="BG406" s="128"/>
      <c r="BH406" s="133"/>
      <c r="BI406" s="128"/>
      <c r="BJ406" s="133"/>
      <c r="BK406" s="128"/>
      <c r="BL406" s="128"/>
      <c r="BM406" s="128"/>
      <c r="BN406" s="133"/>
      <c r="BO406" s="128"/>
      <c r="BP406" s="133"/>
      <c r="BQ406" s="128"/>
      <c r="BR406" s="128"/>
      <c r="BS406" s="128"/>
      <c r="BT406" s="133"/>
      <c r="BU406" s="128"/>
      <c r="BV406" s="133"/>
      <c r="BW406" s="128"/>
      <c r="BX406" s="128"/>
      <c r="BY406" s="128"/>
      <c r="BZ406" s="133"/>
      <c r="CA406" s="128"/>
      <c r="CB406" s="133"/>
      <c r="CC406" s="128"/>
      <c r="CD406" s="128"/>
      <c r="CE406" s="128"/>
      <c r="CF406" s="128"/>
    </row>
    <row r="407" spans="1:85" x14ac:dyDescent="0.5">
      <c r="A407" s="262"/>
      <c r="B407" s="135"/>
      <c r="C407" s="136"/>
      <c r="D407" s="137"/>
      <c r="E407" s="906"/>
      <c r="F407" s="940"/>
      <c r="G407" s="941"/>
      <c r="H407" s="179">
        <v>43647</v>
      </c>
      <c r="I407" s="140">
        <v>19182</v>
      </c>
      <c r="J407" s="963"/>
      <c r="K407" s="964"/>
      <c r="L407" s="135"/>
      <c r="M407" s="141"/>
      <c r="N407" s="135"/>
      <c r="O407" s="142"/>
      <c r="P407" s="142"/>
      <c r="Q407" s="142"/>
      <c r="R407" s="143"/>
      <c r="S407" s="172"/>
      <c r="T407" s="173"/>
      <c r="U407" s="174"/>
      <c r="V407" s="175"/>
      <c r="W407" s="148"/>
      <c r="X407" s="149"/>
      <c r="Y407" s="149"/>
      <c r="Z407" s="150"/>
      <c r="AA407" s="151"/>
      <c r="AB407" s="154"/>
      <c r="AC407" s="155"/>
      <c r="AD407" s="156"/>
      <c r="AE407" s="156"/>
      <c r="AF407" s="157"/>
      <c r="AG407" s="152"/>
      <c r="AH407" s="152"/>
      <c r="AI407" s="152"/>
      <c r="AJ407" s="134"/>
      <c r="AK407" s="158"/>
      <c r="AL407" s="159"/>
      <c r="AM407" s="160"/>
      <c r="AN407" s="160"/>
      <c r="AO407" s="161"/>
      <c r="AP407" s="162"/>
      <c r="AQ407" s="158"/>
      <c r="AR407" s="163"/>
      <c r="AS407" s="158"/>
      <c r="AT407" s="158"/>
      <c r="AU407" s="158"/>
      <c r="AV407" s="163"/>
      <c r="AW407" s="158"/>
      <c r="AX407" s="163"/>
      <c r="AY407" s="158"/>
      <c r="AZ407" s="158"/>
      <c r="BA407" s="158"/>
      <c r="BB407" s="163"/>
      <c r="BC407" s="158"/>
      <c r="BD407" s="163"/>
      <c r="BE407" s="158"/>
      <c r="BF407" s="158"/>
      <c r="BG407" s="158"/>
      <c r="BH407" s="163"/>
      <c r="BI407" s="158"/>
      <c r="BJ407" s="163"/>
      <c r="BK407" s="158"/>
      <c r="BL407" s="158"/>
      <c r="BM407" s="158"/>
      <c r="BN407" s="163"/>
      <c r="BO407" s="158"/>
      <c r="BP407" s="163"/>
      <c r="BQ407" s="158"/>
      <c r="BR407" s="158"/>
      <c r="BS407" s="158"/>
      <c r="BT407" s="163"/>
      <c r="BU407" s="158"/>
      <c r="BV407" s="163"/>
      <c r="BW407" s="158"/>
      <c r="BX407" s="158"/>
      <c r="BY407" s="158"/>
      <c r="BZ407" s="163"/>
      <c r="CA407" s="158"/>
      <c r="CB407" s="163"/>
      <c r="CC407" s="158"/>
      <c r="CD407" s="158"/>
      <c r="CE407" s="158"/>
      <c r="CF407" s="158"/>
    </row>
    <row r="408" spans="1:85" x14ac:dyDescent="0.5">
      <c r="A408" s="259">
        <v>19056220</v>
      </c>
      <c r="B408" s="104">
        <v>19050433</v>
      </c>
      <c r="C408" s="105" t="s">
        <v>1365</v>
      </c>
      <c r="D408" s="106" t="s">
        <v>1323</v>
      </c>
      <c r="E408" s="302">
        <v>43647</v>
      </c>
      <c r="F408" s="936" t="s">
        <v>1324</v>
      </c>
      <c r="G408" s="937" t="s">
        <v>2145</v>
      </c>
      <c r="H408" s="122">
        <v>43642</v>
      </c>
      <c r="I408" s="109">
        <v>19173</v>
      </c>
      <c r="J408" s="960" t="s">
        <v>869</v>
      </c>
      <c r="K408" s="965">
        <v>43644</v>
      </c>
      <c r="L408" s="104" t="s">
        <v>319</v>
      </c>
      <c r="M408" s="110" t="s">
        <v>2081</v>
      </c>
      <c r="N408" s="104" t="s">
        <v>52</v>
      </c>
      <c r="O408" s="111">
        <v>93457.94</v>
      </c>
      <c r="P408" s="111">
        <f t="shared" si="101"/>
        <v>6542.055800000001</v>
      </c>
      <c r="Q408" s="111">
        <f t="shared" si="102"/>
        <v>99999.995800000004</v>
      </c>
      <c r="R408" s="311">
        <v>14000</v>
      </c>
      <c r="S408" s="165"/>
      <c r="T408" s="166"/>
      <c r="U408" s="167"/>
      <c r="V408" s="168"/>
      <c r="W408" s="117">
        <f>O408-R408</f>
        <v>79457.94</v>
      </c>
      <c r="X408" s="118">
        <v>0.2</v>
      </c>
      <c r="Y408" s="118">
        <f t="shared" si="99"/>
        <v>158.91588000000002</v>
      </c>
      <c r="Z408" s="119">
        <v>0.2</v>
      </c>
      <c r="AA408" s="120">
        <f t="shared" si="100"/>
        <v>158.91588000000002</v>
      </c>
      <c r="AB408" s="123">
        <v>19070229</v>
      </c>
      <c r="AC408" s="124">
        <v>93457.94</v>
      </c>
      <c r="AD408" s="125">
        <f>AC408*7/100</f>
        <v>6542.055800000001</v>
      </c>
      <c r="AE408" s="125">
        <f>AC408+AD408</f>
        <v>99999.995800000004</v>
      </c>
      <c r="AF408" s="126">
        <v>43677</v>
      </c>
      <c r="AG408" s="127" t="s">
        <v>869</v>
      </c>
      <c r="AH408" s="127"/>
      <c r="AI408" s="127"/>
      <c r="AJ408" s="103" t="s">
        <v>2595</v>
      </c>
      <c r="AK408" s="128">
        <v>1</v>
      </c>
      <c r="AL408" s="129" t="s">
        <v>593</v>
      </c>
      <c r="AM408" s="130"/>
      <c r="AN408" s="130" t="s">
        <v>869</v>
      </c>
      <c r="AO408" s="131">
        <v>4</v>
      </c>
      <c r="AP408" s="132" t="s">
        <v>634</v>
      </c>
      <c r="AQ408" s="128"/>
      <c r="AR408" s="133"/>
      <c r="AS408" s="128"/>
      <c r="AT408" s="128"/>
      <c r="AU408" s="128"/>
      <c r="AV408" s="133"/>
      <c r="AW408" s="128"/>
      <c r="AX408" s="133"/>
      <c r="AY408" s="128"/>
      <c r="AZ408" s="128"/>
      <c r="BA408" s="128"/>
      <c r="BB408" s="133"/>
      <c r="BC408" s="128"/>
      <c r="BD408" s="133"/>
      <c r="BE408" s="128"/>
      <c r="BF408" s="128"/>
      <c r="BG408" s="128"/>
      <c r="BH408" s="133"/>
      <c r="BI408" s="128"/>
      <c r="BJ408" s="133"/>
      <c r="BK408" s="128"/>
      <c r="BL408" s="128"/>
      <c r="BM408" s="128"/>
      <c r="BN408" s="133"/>
      <c r="BO408" s="128"/>
      <c r="BP408" s="133"/>
      <c r="BQ408" s="128"/>
      <c r="BR408" s="128"/>
      <c r="BS408" s="128"/>
      <c r="BT408" s="133"/>
      <c r="BU408" s="128"/>
      <c r="BV408" s="133"/>
      <c r="BW408" s="128"/>
      <c r="BX408" s="128"/>
      <c r="BY408" s="128"/>
      <c r="BZ408" s="133"/>
      <c r="CA408" s="128"/>
      <c r="CB408" s="133"/>
      <c r="CC408" s="128"/>
      <c r="CD408" s="128"/>
      <c r="CE408" s="128"/>
      <c r="CF408" s="128"/>
    </row>
    <row r="409" spans="1:85" x14ac:dyDescent="0.5">
      <c r="A409" s="268"/>
      <c r="B409" s="181"/>
      <c r="C409" s="182"/>
      <c r="D409" s="183"/>
      <c r="E409" s="749"/>
      <c r="F409" s="938"/>
      <c r="G409" s="939"/>
      <c r="H409" s="153">
        <v>43642</v>
      </c>
      <c r="I409" s="271">
        <v>19174</v>
      </c>
      <c r="J409" s="961"/>
      <c r="K409" s="966"/>
      <c r="L409" s="181"/>
      <c r="M409" s="188"/>
      <c r="N409" s="181"/>
      <c r="O409" s="189"/>
      <c r="P409" s="189"/>
      <c r="Q409" s="189"/>
      <c r="R409" s="190"/>
      <c r="S409" s="191"/>
      <c r="T409" s="192"/>
      <c r="U409" s="193"/>
      <c r="V409" s="194"/>
      <c r="W409" s="195"/>
      <c r="X409" s="196"/>
      <c r="Y409" s="196"/>
      <c r="Z409" s="197"/>
      <c r="AA409" s="198"/>
      <c r="AB409" s="200"/>
      <c r="AC409" s="201"/>
      <c r="AD409" s="202"/>
      <c r="AE409" s="202"/>
      <c r="AF409" s="203"/>
      <c r="AG409" s="199"/>
      <c r="AH409" s="199"/>
      <c r="AI409" s="199"/>
      <c r="AJ409" s="180"/>
      <c r="AK409" s="204"/>
      <c r="AL409" s="205"/>
      <c r="AM409" s="206"/>
      <c r="AN409" s="206"/>
      <c r="AO409" s="207"/>
      <c r="AP409" s="208"/>
      <c r="AQ409" s="204"/>
      <c r="AR409" s="210"/>
      <c r="AS409" s="204"/>
      <c r="AT409" s="204"/>
      <c r="AU409" s="204"/>
      <c r="AV409" s="210"/>
      <c r="AW409" s="204"/>
      <c r="AX409" s="210"/>
      <c r="AY409" s="204"/>
      <c r="AZ409" s="204"/>
      <c r="BA409" s="204"/>
      <c r="BB409" s="210"/>
      <c r="BC409" s="204"/>
      <c r="BD409" s="210"/>
      <c r="BE409" s="204"/>
      <c r="BF409" s="204"/>
      <c r="BG409" s="204"/>
      <c r="BH409" s="210"/>
      <c r="BI409" s="204"/>
      <c r="BJ409" s="210"/>
      <c r="BK409" s="204"/>
      <c r="BL409" s="204"/>
      <c r="BM409" s="204"/>
      <c r="BN409" s="210"/>
      <c r="BO409" s="204"/>
      <c r="BP409" s="210"/>
      <c r="BQ409" s="204"/>
      <c r="BR409" s="204"/>
      <c r="BS409" s="204"/>
      <c r="BT409" s="210"/>
      <c r="BU409" s="204"/>
      <c r="BV409" s="210"/>
      <c r="BW409" s="204"/>
      <c r="BX409" s="204"/>
      <c r="BY409" s="204"/>
      <c r="BZ409" s="210"/>
      <c r="CA409" s="204"/>
      <c r="CB409" s="210"/>
      <c r="CC409" s="204"/>
      <c r="CD409" s="204"/>
      <c r="CE409" s="204"/>
      <c r="CF409" s="204"/>
    </row>
    <row r="410" spans="1:85" x14ac:dyDescent="0.5">
      <c r="A410" s="227">
        <v>19056219</v>
      </c>
      <c r="B410" s="22">
        <v>19050434</v>
      </c>
      <c r="C410" s="23" t="s">
        <v>1366</v>
      </c>
      <c r="D410" s="24" t="s">
        <v>1323</v>
      </c>
      <c r="E410" s="884">
        <v>43621</v>
      </c>
      <c r="F410" s="932" t="s">
        <v>1324</v>
      </c>
      <c r="G410" s="933" t="s">
        <v>2128</v>
      </c>
      <c r="H410" s="62">
        <v>43637</v>
      </c>
      <c r="I410" s="27">
        <v>19169</v>
      </c>
      <c r="J410" s="931" t="s">
        <v>869</v>
      </c>
      <c r="K410" s="957">
        <v>43637</v>
      </c>
      <c r="L410" s="22" t="s">
        <v>15</v>
      </c>
      <c r="M410" s="28" t="s">
        <v>2082</v>
      </c>
      <c r="N410" s="22" t="s">
        <v>51</v>
      </c>
      <c r="O410" s="29">
        <v>114700</v>
      </c>
      <c r="P410" s="29">
        <f t="shared" si="101"/>
        <v>8029</v>
      </c>
      <c r="Q410" s="29">
        <f t="shared" si="102"/>
        <v>122729</v>
      </c>
      <c r="R410" s="61"/>
      <c r="S410" s="96"/>
      <c r="T410" s="97"/>
      <c r="U410" s="98"/>
      <c r="V410" s="99"/>
      <c r="W410" s="100"/>
      <c r="X410" s="99"/>
      <c r="Y410" s="99"/>
      <c r="Z410" s="100"/>
      <c r="AA410" s="101"/>
      <c r="AB410" s="40">
        <v>19060220</v>
      </c>
      <c r="AC410" s="41">
        <v>114700</v>
      </c>
      <c r="AD410" s="52">
        <f t="shared" ref="AD410:AD415" si="103">AC410*7/100</f>
        <v>8029</v>
      </c>
      <c r="AE410" s="52">
        <f t="shared" ref="AE410:AE415" si="104">AC410+AD410</f>
        <v>122729</v>
      </c>
      <c r="AF410" s="53">
        <v>43685</v>
      </c>
      <c r="AG410" s="39" t="s">
        <v>869</v>
      </c>
      <c r="AH410" s="39"/>
      <c r="AI410" s="39"/>
      <c r="AJ410" s="21" t="s">
        <v>2718</v>
      </c>
      <c r="AK410" s="846">
        <v>1</v>
      </c>
      <c r="AL410" s="45" t="s">
        <v>2083</v>
      </c>
      <c r="AM410" s="46"/>
      <c r="AN410" s="46" t="s">
        <v>869</v>
      </c>
      <c r="AO410" s="47">
        <v>1</v>
      </c>
      <c r="AP410" s="48" t="s">
        <v>635</v>
      </c>
      <c r="AQ410" s="855"/>
      <c r="AR410" s="54"/>
      <c r="AS410" s="855"/>
      <c r="AT410" s="855"/>
      <c r="AU410" s="855"/>
      <c r="AV410" s="54"/>
      <c r="AW410" s="855"/>
      <c r="AX410" s="54"/>
      <c r="AY410" s="855"/>
      <c r="AZ410" s="855"/>
      <c r="BA410" s="855"/>
      <c r="BB410" s="54"/>
      <c r="BC410" s="855"/>
      <c r="BD410" s="54"/>
      <c r="BE410" s="855"/>
      <c r="BF410" s="855"/>
      <c r="BG410" s="855"/>
      <c r="BH410" s="54"/>
      <c r="BI410" s="855"/>
      <c r="BJ410" s="54"/>
      <c r="BK410" s="855"/>
      <c r="BL410" s="855"/>
      <c r="BM410" s="855"/>
      <c r="BN410" s="54"/>
      <c r="BO410" s="855"/>
      <c r="BP410" s="54"/>
      <c r="BQ410" s="855"/>
      <c r="BR410" s="855"/>
      <c r="BS410" s="855"/>
      <c r="BT410" s="54"/>
      <c r="BU410" s="855"/>
      <c r="BV410" s="54"/>
      <c r="BW410" s="855"/>
      <c r="BX410" s="855"/>
      <c r="BY410" s="855"/>
      <c r="BZ410" s="54"/>
      <c r="CA410" s="855"/>
      <c r="CB410" s="54"/>
      <c r="CC410" s="855"/>
      <c r="CD410" s="855"/>
      <c r="CE410" s="855"/>
      <c r="CF410" s="855"/>
    </row>
    <row r="411" spans="1:85" x14ac:dyDescent="0.5">
      <c r="A411" s="227">
        <v>19056218</v>
      </c>
      <c r="B411" s="22">
        <v>19050443</v>
      </c>
      <c r="C411" s="55"/>
      <c r="D411" s="56"/>
      <c r="E411" s="910"/>
      <c r="F411" s="932"/>
      <c r="G411" s="933"/>
      <c r="H411" s="59"/>
      <c r="I411" s="60"/>
      <c r="J411" s="931"/>
      <c r="K411" s="40"/>
      <c r="L411" s="22" t="s">
        <v>192</v>
      </c>
      <c r="M411" s="28" t="s">
        <v>2084</v>
      </c>
      <c r="N411" s="22" t="s">
        <v>51</v>
      </c>
      <c r="O411" s="29">
        <v>85200</v>
      </c>
      <c r="P411" s="29">
        <f t="shared" si="101"/>
        <v>5964</v>
      </c>
      <c r="Q411" s="29">
        <f t="shared" si="102"/>
        <v>91164</v>
      </c>
      <c r="R411" s="61"/>
      <c r="S411" s="96"/>
      <c r="T411" s="97"/>
      <c r="U411" s="98"/>
      <c r="V411" s="99"/>
      <c r="W411" s="100"/>
      <c r="X411" s="99"/>
      <c r="Y411" s="99"/>
      <c r="Z411" s="100"/>
      <c r="AA411" s="101"/>
      <c r="AB411" s="40">
        <v>19080266</v>
      </c>
      <c r="AC411" s="41">
        <v>85200</v>
      </c>
      <c r="AD411" s="52">
        <f t="shared" si="103"/>
        <v>5964</v>
      </c>
      <c r="AE411" s="52">
        <f t="shared" si="104"/>
        <v>91164</v>
      </c>
      <c r="AF411" s="53">
        <v>43708</v>
      </c>
      <c r="AG411" s="39" t="s">
        <v>869</v>
      </c>
      <c r="AH411" s="39"/>
      <c r="AI411" s="39"/>
      <c r="AJ411" s="21" t="s">
        <v>3065</v>
      </c>
      <c r="AK411" s="844">
        <v>1</v>
      </c>
      <c r="AL411" s="45">
        <v>9001781</v>
      </c>
      <c r="AM411" s="46"/>
      <c r="AN411" s="46"/>
      <c r="AO411" s="47">
        <v>1</v>
      </c>
      <c r="AP411" s="48" t="s">
        <v>628</v>
      </c>
      <c r="AQ411" s="855"/>
      <c r="AR411" s="54"/>
      <c r="AS411" s="855"/>
      <c r="AT411" s="855"/>
      <c r="AU411" s="855"/>
      <c r="AV411" s="54"/>
      <c r="AW411" s="855"/>
      <c r="AX411" s="54"/>
      <c r="AY411" s="855"/>
      <c r="AZ411" s="855"/>
      <c r="BA411" s="855"/>
      <c r="BB411" s="54"/>
      <c r="BC411" s="855"/>
      <c r="BD411" s="54"/>
      <c r="BE411" s="855"/>
      <c r="BF411" s="855"/>
      <c r="BG411" s="855"/>
      <c r="BH411" s="54"/>
      <c r="BI411" s="855"/>
      <c r="BJ411" s="54"/>
      <c r="BK411" s="855"/>
      <c r="BL411" s="855"/>
      <c r="BM411" s="855"/>
      <c r="BN411" s="54"/>
      <c r="BO411" s="855"/>
      <c r="BP411" s="54"/>
      <c r="BQ411" s="855"/>
      <c r="BR411" s="855"/>
      <c r="BS411" s="855"/>
      <c r="BT411" s="54"/>
      <c r="BU411" s="855"/>
      <c r="BV411" s="54"/>
      <c r="BW411" s="855"/>
      <c r="BX411" s="855"/>
      <c r="BY411" s="855"/>
      <c r="BZ411" s="54"/>
      <c r="CA411" s="855"/>
      <c r="CB411" s="54"/>
      <c r="CC411" s="855"/>
      <c r="CD411" s="855"/>
      <c r="CE411" s="855"/>
      <c r="CF411" s="855"/>
    </row>
    <row r="412" spans="1:85" x14ac:dyDescent="0.5">
      <c r="A412" s="227">
        <v>19056217</v>
      </c>
      <c r="B412" s="22">
        <v>19050444</v>
      </c>
      <c r="C412" s="23" t="s">
        <v>1367</v>
      </c>
      <c r="D412" s="24" t="s">
        <v>1323</v>
      </c>
      <c r="E412" s="884">
        <v>43631</v>
      </c>
      <c r="F412" s="932" t="s">
        <v>1324</v>
      </c>
      <c r="G412" s="933" t="s">
        <v>2270</v>
      </c>
      <c r="H412" s="62">
        <v>39997</v>
      </c>
      <c r="I412" s="27">
        <v>19185</v>
      </c>
      <c r="J412" s="931" t="s">
        <v>869</v>
      </c>
      <c r="K412" s="957">
        <v>43650</v>
      </c>
      <c r="L412" s="22" t="s">
        <v>15</v>
      </c>
      <c r="M412" s="28" t="s">
        <v>2085</v>
      </c>
      <c r="N412" s="22" t="s">
        <v>51</v>
      </c>
      <c r="O412" s="29">
        <v>100220</v>
      </c>
      <c r="P412" s="29">
        <f t="shared" si="101"/>
        <v>7015.4</v>
      </c>
      <c r="Q412" s="29">
        <f t="shared" si="102"/>
        <v>107235.4</v>
      </c>
      <c r="R412" s="61"/>
      <c r="S412" s="96"/>
      <c r="T412" s="97"/>
      <c r="U412" s="98"/>
      <c r="V412" s="99"/>
      <c r="W412" s="100"/>
      <c r="X412" s="99"/>
      <c r="Y412" s="99"/>
      <c r="Z412" s="100"/>
      <c r="AA412" s="101"/>
      <c r="AB412" s="40">
        <v>19070252</v>
      </c>
      <c r="AC412" s="41">
        <v>100220</v>
      </c>
      <c r="AD412" s="52">
        <f t="shared" si="103"/>
        <v>7015.4</v>
      </c>
      <c r="AE412" s="52">
        <f t="shared" si="104"/>
        <v>107235.4</v>
      </c>
      <c r="AF412" s="53">
        <v>43709</v>
      </c>
      <c r="AG412" s="39" t="s">
        <v>869</v>
      </c>
      <c r="AH412" s="39"/>
      <c r="AI412" s="39"/>
      <c r="AJ412" s="21" t="s">
        <v>2867</v>
      </c>
      <c r="AK412" s="846">
        <v>1</v>
      </c>
      <c r="AL412" s="45" t="s">
        <v>2086</v>
      </c>
      <c r="AM412" s="46"/>
      <c r="AN412" s="46" t="s">
        <v>869</v>
      </c>
      <c r="AO412" s="47">
        <v>1</v>
      </c>
      <c r="AP412" s="48" t="s">
        <v>633</v>
      </c>
      <c r="AQ412" s="846">
        <v>2</v>
      </c>
      <c r="AR412" s="40" t="s">
        <v>2087</v>
      </c>
      <c r="AS412" s="47"/>
      <c r="AT412" s="47" t="s">
        <v>869</v>
      </c>
      <c r="AU412" s="47">
        <v>2</v>
      </c>
      <c r="AV412" s="49" t="s">
        <v>633</v>
      </c>
      <c r="AW412" s="855"/>
      <c r="AX412" s="54"/>
      <c r="AY412" s="855"/>
      <c r="AZ412" s="855"/>
      <c r="BA412" s="855"/>
      <c r="BB412" s="54"/>
      <c r="BC412" s="855"/>
      <c r="BD412" s="54"/>
      <c r="BE412" s="855"/>
      <c r="BF412" s="855"/>
      <c r="BG412" s="855"/>
      <c r="BH412" s="54"/>
      <c r="BI412" s="855"/>
      <c r="BJ412" s="54"/>
      <c r="BK412" s="855"/>
      <c r="BL412" s="855"/>
      <c r="BM412" s="855"/>
      <c r="BN412" s="54"/>
      <c r="BO412" s="855"/>
      <c r="BP412" s="54"/>
      <c r="BQ412" s="855"/>
      <c r="BR412" s="855"/>
      <c r="BS412" s="855"/>
      <c r="BT412" s="54"/>
      <c r="BU412" s="855"/>
      <c r="BV412" s="54"/>
      <c r="BW412" s="855"/>
      <c r="BX412" s="855"/>
      <c r="BY412" s="855"/>
      <c r="BZ412" s="54"/>
      <c r="CA412" s="855"/>
      <c r="CB412" s="54"/>
      <c r="CC412" s="855"/>
      <c r="CD412" s="855"/>
      <c r="CE412" s="855"/>
      <c r="CF412" s="855"/>
    </row>
    <row r="413" spans="1:85" x14ac:dyDescent="0.5">
      <c r="A413" s="227">
        <v>19056216</v>
      </c>
      <c r="B413" s="22">
        <v>19050441</v>
      </c>
      <c r="C413" s="55"/>
      <c r="D413" s="56"/>
      <c r="E413" s="910"/>
      <c r="F413" s="57"/>
      <c r="G413" s="58"/>
      <c r="H413" s="59"/>
      <c r="I413" s="60"/>
      <c r="J413" s="269"/>
      <c r="K413" s="59"/>
      <c r="L413" s="22" t="s">
        <v>264</v>
      </c>
      <c r="M413" s="28" t="s">
        <v>1152</v>
      </c>
      <c r="N413" s="22" t="s">
        <v>51</v>
      </c>
      <c r="O413" s="29">
        <v>52400</v>
      </c>
      <c r="P413" s="29">
        <f t="shared" si="101"/>
        <v>3668</v>
      </c>
      <c r="Q413" s="29">
        <f t="shared" si="102"/>
        <v>56068</v>
      </c>
      <c r="R413" s="61"/>
      <c r="S413" s="96"/>
      <c r="T413" s="97"/>
      <c r="U413" s="98"/>
      <c r="V413" s="99"/>
      <c r="W413" s="100"/>
      <c r="X413" s="99"/>
      <c r="Y413" s="99"/>
      <c r="Z413" s="100"/>
      <c r="AA413" s="101"/>
      <c r="AB413" s="40">
        <v>19070240</v>
      </c>
      <c r="AC413" s="41">
        <v>52400</v>
      </c>
      <c r="AD413" s="52">
        <f t="shared" si="103"/>
        <v>3668</v>
      </c>
      <c r="AE413" s="52">
        <f t="shared" si="104"/>
        <v>56068</v>
      </c>
      <c r="AF413" s="53">
        <v>43681</v>
      </c>
      <c r="AG413" s="39" t="s">
        <v>869</v>
      </c>
      <c r="AH413" s="39"/>
      <c r="AI413" s="39"/>
      <c r="AJ413" s="21" t="s">
        <v>2858</v>
      </c>
      <c r="AK413" s="846">
        <v>1</v>
      </c>
      <c r="AL413" s="45" t="s">
        <v>2088</v>
      </c>
      <c r="AM413" s="46"/>
      <c r="AN413" s="46"/>
      <c r="AO413" s="47">
        <v>3</v>
      </c>
      <c r="AP413" s="48" t="s">
        <v>628</v>
      </c>
      <c r="AQ413" s="846">
        <v>2</v>
      </c>
      <c r="AR413" s="40" t="s">
        <v>2089</v>
      </c>
      <c r="AS413" s="47"/>
      <c r="AT413" s="47"/>
      <c r="AU413" s="47">
        <v>1</v>
      </c>
      <c r="AV413" s="49" t="s">
        <v>628</v>
      </c>
      <c r="AW413" s="855"/>
      <c r="AX413" s="54"/>
      <c r="AY413" s="855"/>
      <c r="AZ413" s="855"/>
      <c r="BA413" s="855"/>
      <c r="BB413" s="54"/>
      <c r="BC413" s="855"/>
      <c r="BD413" s="54"/>
      <c r="BE413" s="855"/>
      <c r="BF413" s="855"/>
      <c r="BG413" s="855"/>
      <c r="BH413" s="54"/>
      <c r="BI413" s="855"/>
      <c r="BJ413" s="54"/>
      <c r="BK413" s="855"/>
      <c r="BL413" s="855"/>
      <c r="BM413" s="855"/>
      <c r="BN413" s="54"/>
      <c r="BO413" s="855"/>
      <c r="BP413" s="54"/>
      <c r="BQ413" s="855"/>
      <c r="BR413" s="855"/>
      <c r="BS413" s="855"/>
      <c r="BT413" s="54"/>
      <c r="BU413" s="855"/>
      <c r="BV413" s="54"/>
      <c r="BW413" s="855"/>
      <c r="BX413" s="855"/>
      <c r="BY413" s="855"/>
      <c r="BZ413" s="54"/>
      <c r="CA413" s="855"/>
      <c r="CB413" s="54"/>
      <c r="CC413" s="855"/>
      <c r="CD413" s="855"/>
      <c r="CE413" s="855"/>
      <c r="CF413" s="855"/>
    </row>
    <row r="414" spans="1:85" x14ac:dyDescent="0.5">
      <c r="A414" s="259">
        <v>19056215</v>
      </c>
      <c r="B414" s="104">
        <v>19040350</v>
      </c>
      <c r="C414" s="105" t="s">
        <v>1368</v>
      </c>
      <c r="D414" s="106" t="s">
        <v>1323</v>
      </c>
      <c r="E414" s="302">
        <v>43644</v>
      </c>
      <c r="F414" s="936" t="s">
        <v>1324</v>
      </c>
      <c r="G414" s="937" t="s">
        <v>2310</v>
      </c>
      <c r="H414" s="122">
        <v>43668</v>
      </c>
      <c r="I414" s="109">
        <v>19206</v>
      </c>
      <c r="J414" s="960" t="s">
        <v>869</v>
      </c>
      <c r="K414" s="965">
        <v>43668</v>
      </c>
      <c r="L414" s="104" t="s">
        <v>2023</v>
      </c>
      <c r="M414" s="110" t="s">
        <v>2024</v>
      </c>
      <c r="N414" s="104" t="s">
        <v>52</v>
      </c>
      <c r="O414" s="111">
        <v>151650</v>
      </c>
      <c r="P414" s="111">
        <f t="shared" ref="P414:P428" si="105">O414*7/100</f>
        <v>10615.5</v>
      </c>
      <c r="Q414" s="111">
        <f t="shared" ref="Q414:Q428" si="106">O414+P414</f>
        <v>162265.5</v>
      </c>
      <c r="R414" s="212"/>
      <c r="S414" s="113" t="s">
        <v>2052</v>
      </c>
      <c r="T414" s="114">
        <f>O414</f>
        <v>151650</v>
      </c>
      <c r="U414" s="115">
        <v>5</v>
      </c>
      <c r="V414" s="116">
        <f>T414*U414/100</f>
        <v>7582.5</v>
      </c>
      <c r="W414" s="117">
        <f>T414-V414</f>
        <v>144067.5</v>
      </c>
      <c r="X414" s="118">
        <v>0.31</v>
      </c>
      <c r="Y414" s="118">
        <f>W414*X414/100</f>
        <v>446.60925000000003</v>
      </c>
      <c r="Z414" s="119">
        <v>0.2</v>
      </c>
      <c r="AA414" s="120">
        <f>W414*Z414/100</f>
        <v>288.13499999999999</v>
      </c>
      <c r="AB414" s="229">
        <v>19070241</v>
      </c>
      <c r="AC414" s="230">
        <v>45495</v>
      </c>
      <c r="AD414" s="220">
        <f t="shared" si="103"/>
        <v>3184.65</v>
      </c>
      <c r="AE414" s="220">
        <f t="shared" si="104"/>
        <v>48679.65</v>
      </c>
      <c r="AF414" s="221">
        <v>43655</v>
      </c>
      <c r="AG414" s="121" t="s">
        <v>869</v>
      </c>
      <c r="AH414" s="121"/>
      <c r="AI414" s="121"/>
      <c r="AJ414" s="222" t="s">
        <v>2743</v>
      </c>
      <c r="AK414" s="128">
        <v>1</v>
      </c>
      <c r="AL414" s="129" t="s">
        <v>594</v>
      </c>
      <c r="AM414" s="130"/>
      <c r="AN414" s="130" t="s">
        <v>869</v>
      </c>
      <c r="AO414" s="131">
        <v>2</v>
      </c>
      <c r="AP414" s="132" t="s">
        <v>634</v>
      </c>
      <c r="AQ414" s="128">
        <v>2</v>
      </c>
      <c r="AR414" s="123" t="s">
        <v>2025</v>
      </c>
      <c r="AS414" s="131"/>
      <c r="AT414" s="131" t="s">
        <v>869</v>
      </c>
      <c r="AU414" s="131">
        <v>1</v>
      </c>
      <c r="AV414" s="169" t="s">
        <v>634</v>
      </c>
      <c r="AW414" s="128">
        <v>3</v>
      </c>
      <c r="AX414" s="123" t="s">
        <v>2026</v>
      </c>
      <c r="AY414" s="131"/>
      <c r="AZ414" s="131" t="s">
        <v>869</v>
      </c>
      <c r="BA414" s="131">
        <v>1</v>
      </c>
      <c r="BB414" s="169" t="s">
        <v>634</v>
      </c>
      <c r="BC414" s="128"/>
      <c r="BD414" s="133"/>
      <c r="BE414" s="128"/>
      <c r="BF414" s="128"/>
      <c r="BG414" s="128"/>
      <c r="BH414" s="133"/>
      <c r="BI414" s="128"/>
      <c r="BJ414" s="133"/>
      <c r="BK414" s="128"/>
      <c r="BL414" s="128"/>
      <c r="BM414" s="128"/>
      <c r="BN414" s="133"/>
      <c r="BO414" s="128"/>
      <c r="BP414" s="133"/>
      <c r="BQ414" s="128"/>
      <c r="BR414" s="128"/>
      <c r="BS414" s="128"/>
      <c r="BT414" s="133"/>
      <c r="BU414" s="128"/>
      <c r="BV414" s="133"/>
      <c r="BW414" s="128"/>
      <c r="BX414" s="128"/>
      <c r="BY414" s="128"/>
      <c r="BZ414" s="133"/>
      <c r="CA414" s="128"/>
      <c r="CB414" s="133"/>
      <c r="CC414" s="128"/>
      <c r="CD414" s="128"/>
      <c r="CE414" s="128"/>
      <c r="CF414" s="128"/>
    </row>
    <row r="415" spans="1:85" x14ac:dyDescent="0.5">
      <c r="A415" s="262"/>
      <c r="B415" s="135"/>
      <c r="C415" s="136"/>
      <c r="D415" s="137"/>
      <c r="E415" s="906"/>
      <c r="F415" s="940"/>
      <c r="G415" s="941"/>
      <c r="H415" s="135"/>
      <c r="I415" s="140"/>
      <c r="J415" s="963"/>
      <c r="K415" s="154"/>
      <c r="L415" s="135"/>
      <c r="M415" s="141"/>
      <c r="N415" s="135"/>
      <c r="O415" s="142"/>
      <c r="P415" s="142"/>
      <c r="Q415" s="142"/>
      <c r="R415" s="213"/>
      <c r="S415" s="144"/>
      <c r="T415" s="145"/>
      <c r="U415" s="146"/>
      <c r="V415" s="147"/>
      <c r="W415" s="148"/>
      <c r="X415" s="149"/>
      <c r="Y415" s="149"/>
      <c r="Z415" s="150"/>
      <c r="AA415" s="151"/>
      <c r="AB415" s="154">
        <v>19070242</v>
      </c>
      <c r="AC415" s="155">
        <v>106155</v>
      </c>
      <c r="AD415" s="156">
        <f t="shared" si="103"/>
        <v>7430.85</v>
      </c>
      <c r="AE415" s="156">
        <f t="shared" si="104"/>
        <v>113585.85</v>
      </c>
      <c r="AF415" s="157">
        <v>43655</v>
      </c>
      <c r="AG415" s="152" t="s">
        <v>869</v>
      </c>
      <c r="AH415" s="152"/>
      <c r="AI415" s="152"/>
      <c r="AJ415" s="134" t="s">
        <v>2744</v>
      </c>
      <c r="AK415" s="158"/>
      <c r="AL415" s="159"/>
      <c r="AM415" s="160"/>
      <c r="AN415" s="160"/>
      <c r="AO415" s="161"/>
      <c r="AP415" s="162"/>
      <c r="AQ415" s="158"/>
      <c r="AR415" s="154"/>
      <c r="AS415" s="161"/>
      <c r="AT415" s="161"/>
      <c r="AU415" s="161"/>
      <c r="AV415" s="177"/>
      <c r="AW415" s="158"/>
      <c r="AX415" s="154"/>
      <c r="AY415" s="161"/>
      <c r="AZ415" s="161"/>
      <c r="BA415" s="161"/>
      <c r="BB415" s="177"/>
      <c r="BC415" s="158"/>
      <c r="BD415" s="163"/>
      <c r="BE415" s="158"/>
      <c r="BF415" s="158"/>
      <c r="BG415" s="158"/>
      <c r="BH415" s="163"/>
      <c r="BI415" s="158"/>
      <c r="BJ415" s="163"/>
      <c r="BK415" s="158"/>
      <c r="BL415" s="158"/>
      <c r="BM415" s="158"/>
      <c r="BN415" s="163"/>
      <c r="BO415" s="158"/>
      <c r="BP415" s="163"/>
      <c r="BQ415" s="158"/>
      <c r="BR415" s="158"/>
      <c r="BS415" s="158"/>
      <c r="BT415" s="163"/>
      <c r="BU415" s="158"/>
      <c r="BV415" s="163"/>
      <c r="BW415" s="158"/>
      <c r="BX415" s="158"/>
      <c r="BY415" s="158"/>
      <c r="BZ415" s="163"/>
      <c r="CA415" s="158"/>
      <c r="CB415" s="163"/>
      <c r="CC415" s="158"/>
      <c r="CD415" s="158"/>
      <c r="CE415" s="158"/>
      <c r="CF415" s="158"/>
    </row>
    <row r="416" spans="1:85" x14ac:dyDescent="0.5">
      <c r="A416" s="259">
        <v>19056214</v>
      </c>
      <c r="B416" s="104">
        <v>19050424</v>
      </c>
      <c r="C416" s="105" t="s">
        <v>1369</v>
      </c>
      <c r="D416" s="106" t="s">
        <v>1323</v>
      </c>
      <c r="E416" s="302">
        <v>43629</v>
      </c>
      <c r="F416" s="936" t="s">
        <v>1324</v>
      </c>
      <c r="G416" s="937" t="s">
        <v>1365</v>
      </c>
      <c r="H416" s="122">
        <v>43626</v>
      </c>
      <c r="I416" s="109">
        <v>19152</v>
      </c>
      <c r="J416" s="960" t="s">
        <v>869</v>
      </c>
      <c r="K416" s="965">
        <v>43627</v>
      </c>
      <c r="L416" s="104" t="s">
        <v>2020</v>
      </c>
      <c r="M416" s="110" t="s">
        <v>2021</v>
      </c>
      <c r="N416" s="104" t="s">
        <v>50</v>
      </c>
      <c r="O416" s="111">
        <v>300000</v>
      </c>
      <c r="P416" s="111">
        <f t="shared" si="105"/>
        <v>21000</v>
      </c>
      <c r="Q416" s="111">
        <f t="shared" si="106"/>
        <v>321000</v>
      </c>
      <c r="R416" s="311">
        <v>4200</v>
      </c>
      <c r="S416" s="165"/>
      <c r="T416" s="166"/>
      <c r="U416" s="167"/>
      <c r="V416" s="168"/>
      <c r="W416" s="117">
        <f>300000-4200-24000</f>
        <v>271800</v>
      </c>
      <c r="X416" s="118">
        <v>1.29</v>
      </c>
      <c r="Y416" s="118">
        <f>W416*X416/100</f>
        <v>3506.22</v>
      </c>
      <c r="Z416" s="119">
        <v>0.2</v>
      </c>
      <c r="AA416" s="120">
        <f>W416*Z416/100</f>
        <v>543.6</v>
      </c>
      <c r="AB416" s="229">
        <v>19050177</v>
      </c>
      <c r="AC416" s="230">
        <v>90000</v>
      </c>
      <c r="AD416" s="220">
        <f t="shared" ref="AD416:AD428" si="107">AC416*7/100</f>
        <v>6300</v>
      </c>
      <c r="AE416" s="220">
        <f t="shared" ref="AE416:AE428" si="108">AC416+AD416</f>
        <v>96300</v>
      </c>
      <c r="AF416" s="221">
        <v>43598</v>
      </c>
      <c r="AG416" s="121" t="s">
        <v>869</v>
      </c>
      <c r="AH416" s="121"/>
      <c r="AI416" s="121"/>
      <c r="AJ416" s="222" t="s">
        <v>2372</v>
      </c>
      <c r="AK416" s="128">
        <v>1</v>
      </c>
      <c r="AL416" s="129" t="s">
        <v>2022</v>
      </c>
      <c r="AM416" s="130" t="s">
        <v>869</v>
      </c>
      <c r="AN416" s="130"/>
      <c r="AO416" s="131">
        <v>1</v>
      </c>
      <c r="AP416" s="132" t="s">
        <v>1882</v>
      </c>
      <c r="AQ416" s="128"/>
      <c r="AR416" s="133"/>
      <c r="AS416" s="128"/>
      <c r="AT416" s="128"/>
      <c r="AU416" s="128"/>
      <c r="AV416" s="133"/>
      <c r="AW416" s="128"/>
      <c r="AX416" s="133"/>
      <c r="AY416" s="128"/>
      <c r="AZ416" s="128"/>
      <c r="BA416" s="128"/>
      <c r="BB416" s="133"/>
      <c r="BC416" s="128"/>
      <c r="BD416" s="133"/>
      <c r="BE416" s="128"/>
      <c r="BF416" s="128"/>
      <c r="BG416" s="128"/>
      <c r="BH416" s="133"/>
      <c r="BI416" s="128"/>
      <c r="BJ416" s="133"/>
      <c r="BK416" s="128"/>
      <c r="BL416" s="128"/>
      <c r="BM416" s="128"/>
      <c r="BN416" s="133"/>
      <c r="BO416" s="128"/>
      <c r="BP416" s="133"/>
      <c r="BQ416" s="128"/>
      <c r="BR416" s="128"/>
      <c r="BS416" s="128"/>
      <c r="BT416" s="133"/>
      <c r="BU416" s="128"/>
      <c r="BV416" s="133"/>
      <c r="BW416" s="128"/>
      <c r="BX416" s="128"/>
      <c r="BY416" s="128"/>
      <c r="BZ416" s="133"/>
      <c r="CA416" s="128"/>
      <c r="CB416" s="133"/>
      <c r="CC416" s="128"/>
      <c r="CD416" s="128"/>
      <c r="CE416" s="128"/>
      <c r="CF416" s="128"/>
      <c r="CG416" s="51" t="s">
        <v>2264</v>
      </c>
    </row>
    <row r="417" spans="1:84" x14ac:dyDescent="0.5">
      <c r="A417" s="262"/>
      <c r="B417" s="135"/>
      <c r="C417" s="136"/>
      <c r="D417" s="137"/>
      <c r="E417" s="906"/>
      <c r="F417" s="940"/>
      <c r="G417" s="941"/>
      <c r="H417" s="179"/>
      <c r="I417" s="140"/>
      <c r="J417" s="963"/>
      <c r="K417" s="964"/>
      <c r="L417" s="135"/>
      <c r="M417" s="141"/>
      <c r="N417" s="135"/>
      <c r="O417" s="142"/>
      <c r="P417" s="142"/>
      <c r="Q417" s="142"/>
      <c r="R417" s="143"/>
      <c r="S417" s="172"/>
      <c r="T417" s="173"/>
      <c r="U417" s="174"/>
      <c r="V417" s="175"/>
      <c r="W417" s="148"/>
      <c r="X417" s="149"/>
      <c r="Y417" s="149"/>
      <c r="Z417" s="150"/>
      <c r="AA417" s="151"/>
      <c r="AB417" s="857">
        <v>19060214</v>
      </c>
      <c r="AC417" s="858">
        <v>180000</v>
      </c>
      <c r="AD417" s="1063">
        <f t="shared" si="107"/>
        <v>12600</v>
      </c>
      <c r="AE417" s="1063">
        <f t="shared" si="108"/>
        <v>192600</v>
      </c>
      <c r="AF417" s="860">
        <v>43633</v>
      </c>
      <c r="AG417" s="861"/>
      <c r="AH417" s="861"/>
      <c r="AI417" s="861" t="s">
        <v>869</v>
      </c>
      <c r="AJ417" s="862" t="s">
        <v>2263</v>
      </c>
      <c r="AK417" s="158"/>
      <c r="AL417" s="159"/>
      <c r="AM417" s="160"/>
      <c r="AN417" s="160"/>
      <c r="AO417" s="161"/>
      <c r="AP417" s="162"/>
      <c r="AQ417" s="158"/>
      <c r="AR417" s="163"/>
      <c r="AS417" s="158"/>
      <c r="AT417" s="158"/>
      <c r="AU417" s="158"/>
      <c r="AV417" s="163"/>
      <c r="AW417" s="158"/>
      <c r="AX417" s="163"/>
      <c r="AY417" s="158"/>
      <c r="AZ417" s="158"/>
      <c r="BA417" s="158"/>
      <c r="BB417" s="163"/>
      <c r="BC417" s="158"/>
      <c r="BD417" s="163"/>
      <c r="BE417" s="158"/>
      <c r="BF417" s="158"/>
      <c r="BG417" s="158"/>
      <c r="BH417" s="163"/>
      <c r="BI417" s="158"/>
      <c r="BJ417" s="163"/>
      <c r="BK417" s="158"/>
      <c r="BL417" s="158"/>
      <c r="BM417" s="158"/>
      <c r="BN417" s="163"/>
      <c r="BO417" s="158"/>
      <c r="BP417" s="163"/>
      <c r="BQ417" s="158"/>
      <c r="BR417" s="158"/>
      <c r="BS417" s="158"/>
      <c r="BT417" s="163"/>
      <c r="BU417" s="158"/>
      <c r="BV417" s="163"/>
      <c r="BW417" s="158"/>
      <c r="BX417" s="158"/>
      <c r="BY417" s="158"/>
      <c r="BZ417" s="163"/>
      <c r="CA417" s="158"/>
      <c r="CB417" s="163"/>
      <c r="CC417" s="158"/>
      <c r="CD417" s="158"/>
      <c r="CE417" s="158"/>
      <c r="CF417" s="158"/>
    </row>
    <row r="418" spans="1:84" x14ac:dyDescent="0.5">
      <c r="A418" s="262"/>
      <c r="B418" s="135"/>
      <c r="C418" s="136"/>
      <c r="D418" s="137"/>
      <c r="E418" s="906"/>
      <c r="F418" s="940"/>
      <c r="G418" s="941"/>
      <c r="H418" s="179"/>
      <c r="I418" s="140"/>
      <c r="J418" s="963"/>
      <c r="K418" s="964"/>
      <c r="L418" s="135"/>
      <c r="M418" s="141"/>
      <c r="N418" s="135"/>
      <c r="O418" s="142"/>
      <c r="P418" s="142"/>
      <c r="Q418" s="142"/>
      <c r="R418" s="143"/>
      <c r="S418" s="172"/>
      <c r="T418" s="173"/>
      <c r="U418" s="174"/>
      <c r="V418" s="175"/>
      <c r="W418" s="148"/>
      <c r="X418" s="149"/>
      <c r="Y418" s="149"/>
      <c r="Z418" s="150"/>
      <c r="AA418" s="151"/>
      <c r="AB418" s="292" t="s">
        <v>2896</v>
      </c>
      <c r="AC418" s="293">
        <v>180000</v>
      </c>
      <c r="AD418" s="307">
        <f t="shared" si="107"/>
        <v>12600</v>
      </c>
      <c r="AE418" s="307">
        <f t="shared" si="108"/>
        <v>192600</v>
      </c>
      <c r="AF418" s="295">
        <v>43759</v>
      </c>
      <c r="AG418" s="296" t="s">
        <v>869</v>
      </c>
      <c r="AH418" s="296"/>
      <c r="AI418" s="296"/>
      <c r="AJ418" s="308" t="s">
        <v>3041</v>
      </c>
      <c r="AK418" s="158"/>
      <c r="AL418" s="159"/>
      <c r="AM418" s="160"/>
      <c r="AN418" s="160"/>
      <c r="AO418" s="161"/>
      <c r="AP418" s="162"/>
      <c r="AQ418" s="158"/>
      <c r="AR418" s="163"/>
      <c r="AS418" s="158"/>
      <c r="AT418" s="158"/>
      <c r="AU418" s="158"/>
      <c r="AV418" s="163"/>
      <c r="AW418" s="158"/>
      <c r="AX418" s="163"/>
      <c r="AY418" s="158"/>
      <c r="AZ418" s="158"/>
      <c r="BA418" s="158"/>
      <c r="BB418" s="163"/>
      <c r="BC418" s="158"/>
      <c r="BD418" s="163"/>
      <c r="BE418" s="158"/>
      <c r="BF418" s="158"/>
      <c r="BG418" s="158"/>
      <c r="BH418" s="163"/>
      <c r="BI418" s="158"/>
      <c r="BJ418" s="163"/>
      <c r="BK418" s="158"/>
      <c r="BL418" s="158"/>
      <c r="BM418" s="158"/>
      <c r="BN418" s="163"/>
      <c r="BO418" s="158"/>
      <c r="BP418" s="163"/>
      <c r="BQ418" s="158"/>
      <c r="BR418" s="158"/>
      <c r="BS418" s="158"/>
      <c r="BT418" s="163"/>
      <c r="BU418" s="158"/>
      <c r="BV418" s="163"/>
      <c r="BW418" s="158"/>
      <c r="BX418" s="158"/>
      <c r="BY418" s="158"/>
      <c r="BZ418" s="163"/>
      <c r="CA418" s="158"/>
      <c r="CB418" s="163"/>
      <c r="CC418" s="158"/>
      <c r="CD418" s="158"/>
      <c r="CE418" s="158"/>
      <c r="CF418" s="158"/>
    </row>
    <row r="419" spans="1:84" x14ac:dyDescent="0.5">
      <c r="A419" s="268"/>
      <c r="B419" s="181"/>
      <c r="C419" s="182"/>
      <c r="D419" s="183"/>
      <c r="E419" s="749"/>
      <c r="F419" s="938"/>
      <c r="G419" s="939"/>
      <c r="H419" s="186"/>
      <c r="I419" s="187"/>
      <c r="J419" s="961"/>
      <c r="K419" s="966"/>
      <c r="L419" s="181"/>
      <c r="M419" s="188"/>
      <c r="N419" s="181"/>
      <c r="O419" s="189"/>
      <c r="P419" s="189"/>
      <c r="Q419" s="189"/>
      <c r="R419" s="190"/>
      <c r="S419" s="191"/>
      <c r="T419" s="192"/>
      <c r="U419" s="193"/>
      <c r="V419" s="194"/>
      <c r="W419" s="195"/>
      <c r="X419" s="196"/>
      <c r="Y419" s="196"/>
      <c r="Z419" s="197"/>
      <c r="AA419" s="198"/>
      <c r="AB419" s="200" t="s">
        <v>3583</v>
      </c>
      <c r="AC419" s="201">
        <v>30000</v>
      </c>
      <c r="AD419" s="202">
        <f t="shared" si="107"/>
        <v>2100</v>
      </c>
      <c r="AE419" s="202">
        <f t="shared" si="108"/>
        <v>32100</v>
      </c>
      <c r="AF419" s="203">
        <v>43899</v>
      </c>
      <c r="AG419" s="199" t="s">
        <v>869</v>
      </c>
      <c r="AH419" s="199"/>
      <c r="AI419" s="199"/>
      <c r="AJ419" s="180" t="s">
        <v>3696</v>
      </c>
      <c r="AK419" s="204"/>
      <c r="AL419" s="205"/>
      <c r="AM419" s="206"/>
      <c r="AN419" s="206"/>
      <c r="AO419" s="207"/>
      <c r="AP419" s="208"/>
      <c r="AQ419" s="204"/>
      <c r="AR419" s="210"/>
      <c r="AS419" s="204"/>
      <c r="AT419" s="204"/>
      <c r="AU419" s="204"/>
      <c r="AV419" s="210"/>
      <c r="AW419" s="204"/>
      <c r="AX419" s="210"/>
      <c r="AY419" s="204"/>
      <c r="AZ419" s="204"/>
      <c r="BA419" s="204"/>
      <c r="BB419" s="210"/>
      <c r="BC419" s="204"/>
      <c r="BD419" s="210"/>
      <c r="BE419" s="204"/>
      <c r="BF419" s="204"/>
      <c r="BG419" s="204"/>
      <c r="BH419" s="210"/>
      <c r="BI419" s="204"/>
      <c r="BJ419" s="210"/>
      <c r="BK419" s="204"/>
      <c r="BL419" s="204"/>
      <c r="BM419" s="204"/>
      <c r="BN419" s="210"/>
      <c r="BO419" s="204"/>
      <c r="BP419" s="210"/>
      <c r="BQ419" s="204"/>
      <c r="BR419" s="204"/>
      <c r="BS419" s="204"/>
      <c r="BT419" s="210"/>
      <c r="BU419" s="204"/>
      <c r="BV419" s="210"/>
      <c r="BW419" s="204"/>
      <c r="BX419" s="204"/>
      <c r="BY419" s="204"/>
      <c r="BZ419" s="210"/>
      <c r="CA419" s="204"/>
      <c r="CB419" s="210"/>
      <c r="CC419" s="204"/>
      <c r="CD419" s="204"/>
      <c r="CE419" s="204"/>
      <c r="CF419" s="204"/>
    </row>
    <row r="420" spans="1:84" x14ac:dyDescent="0.5">
      <c r="A420" s="227">
        <v>19056213</v>
      </c>
      <c r="B420" s="22">
        <v>19050426</v>
      </c>
      <c r="C420" s="23" t="s">
        <v>1370</v>
      </c>
      <c r="D420" s="24" t="s">
        <v>2017</v>
      </c>
      <c r="E420" s="884">
        <v>43612</v>
      </c>
      <c r="F420" s="932" t="s">
        <v>1324</v>
      </c>
      <c r="G420" s="933" t="s">
        <v>1372</v>
      </c>
      <c r="H420" s="62">
        <v>43613</v>
      </c>
      <c r="I420" s="27">
        <v>19141</v>
      </c>
      <c r="J420" s="931" t="s">
        <v>869</v>
      </c>
      <c r="K420" s="957">
        <v>43614</v>
      </c>
      <c r="L420" s="22" t="s">
        <v>10</v>
      </c>
      <c r="M420" s="28" t="s">
        <v>2018</v>
      </c>
      <c r="N420" s="22" t="s">
        <v>51</v>
      </c>
      <c r="O420" s="29">
        <v>385000</v>
      </c>
      <c r="P420" s="29">
        <f t="shared" si="105"/>
        <v>26950</v>
      </c>
      <c r="Q420" s="29">
        <f t="shared" si="106"/>
        <v>411950</v>
      </c>
      <c r="R420" s="61"/>
      <c r="S420" s="96"/>
      <c r="T420" s="97"/>
      <c r="U420" s="98"/>
      <c r="V420" s="99"/>
      <c r="W420" s="100"/>
      <c r="X420" s="99"/>
      <c r="Y420" s="99"/>
      <c r="Z420" s="100"/>
      <c r="AA420" s="101"/>
      <c r="AB420" s="40">
        <v>19060190</v>
      </c>
      <c r="AC420" s="41">
        <v>385000</v>
      </c>
      <c r="AD420" s="52">
        <f t="shared" si="107"/>
        <v>26950</v>
      </c>
      <c r="AE420" s="52">
        <f t="shared" si="108"/>
        <v>411950</v>
      </c>
      <c r="AF420" s="53">
        <v>43668</v>
      </c>
      <c r="AG420" s="39" t="s">
        <v>869</v>
      </c>
      <c r="AH420" s="39"/>
      <c r="AI420" s="39"/>
      <c r="AJ420" s="21" t="s">
        <v>2742</v>
      </c>
      <c r="AK420" s="846">
        <v>1</v>
      </c>
      <c r="AL420" s="45" t="s">
        <v>2019</v>
      </c>
      <c r="AM420" s="46" t="s">
        <v>869</v>
      </c>
      <c r="AN420" s="46"/>
      <c r="AO420" s="47">
        <v>4</v>
      </c>
      <c r="AP420" s="48" t="s">
        <v>635</v>
      </c>
      <c r="AQ420" s="846"/>
      <c r="AR420" s="54"/>
      <c r="AS420" s="846"/>
      <c r="AT420" s="846"/>
      <c r="AU420" s="846"/>
      <c r="AV420" s="54"/>
      <c r="AW420" s="846"/>
      <c r="AX420" s="54"/>
      <c r="AY420" s="846"/>
      <c r="AZ420" s="846"/>
      <c r="BA420" s="846"/>
      <c r="BB420" s="54"/>
      <c r="BC420" s="846"/>
      <c r="BD420" s="54"/>
      <c r="BE420" s="846"/>
      <c r="BF420" s="846"/>
      <c r="BG420" s="846"/>
      <c r="BH420" s="54"/>
      <c r="BI420" s="846"/>
      <c r="BJ420" s="54"/>
      <c r="BK420" s="846"/>
      <c r="BL420" s="846"/>
      <c r="BM420" s="846"/>
      <c r="BN420" s="54"/>
      <c r="BO420" s="846"/>
      <c r="BP420" s="54"/>
      <c r="BQ420" s="846"/>
      <c r="BR420" s="846"/>
      <c r="BS420" s="846"/>
      <c r="BT420" s="54"/>
      <c r="BU420" s="846"/>
      <c r="BV420" s="54"/>
      <c r="BW420" s="846"/>
      <c r="BX420" s="846"/>
      <c r="BY420" s="846"/>
      <c r="BZ420" s="54"/>
      <c r="CA420" s="846"/>
      <c r="CB420" s="54"/>
      <c r="CC420" s="846"/>
      <c r="CD420" s="846"/>
      <c r="CE420" s="846"/>
      <c r="CF420" s="846"/>
    </row>
    <row r="421" spans="1:84" x14ac:dyDescent="0.5">
      <c r="A421" s="227">
        <v>19056212</v>
      </c>
      <c r="B421" s="22">
        <v>19050425</v>
      </c>
      <c r="C421" s="23" t="s">
        <v>1371</v>
      </c>
      <c r="D421" s="24" t="s">
        <v>1323</v>
      </c>
      <c r="E421" s="884">
        <v>43612</v>
      </c>
      <c r="F421" s="932" t="s">
        <v>1324</v>
      </c>
      <c r="G421" s="933" t="s">
        <v>1373</v>
      </c>
      <c r="H421" s="62">
        <v>43612</v>
      </c>
      <c r="I421" s="27">
        <v>19140</v>
      </c>
      <c r="J421" s="931" t="s">
        <v>869</v>
      </c>
      <c r="K421" s="957">
        <v>43612</v>
      </c>
      <c r="L421" s="22" t="s">
        <v>20</v>
      </c>
      <c r="M421" s="28" t="s">
        <v>2014</v>
      </c>
      <c r="N421" s="22" t="s">
        <v>51</v>
      </c>
      <c r="O421" s="29">
        <v>30891</v>
      </c>
      <c r="P421" s="29">
        <f t="shared" si="105"/>
        <v>2162.37</v>
      </c>
      <c r="Q421" s="29">
        <f t="shared" si="106"/>
        <v>33053.370000000003</v>
      </c>
      <c r="R421" s="61"/>
      <c r="S421" s="96"/>
      <c r="T421" s="97"/>
      <c r="U421" s="98"/>
      <c r="V421" s="99"/>
      <c r="W421" s="100"/>
      <c r="X421" s="99"/>
      <c r="Y421" s="99"/>
      <c r="Z421" s="100"/>
      <c r="AA421" s="101"/>
      <c r="AB421" s="40">
        <v>19060208</v>
      </c>
      <c r="AC421" s="41">
        <v>30891</v>
      </c>
      <c r="AD421" s="52">
        <f t="shared" si="107"/>
        <v>2162.37</v>
      </c>
      <c r="AE421" s="52">
        <f t="shared" si="108"/>
        <v>33053.370000000003</v>
      </c>
      <c r="AF421" s="53">
        <v>43660</v>
      </c>
      <c r="AG421" s="39" t="s">
        <v>869</v>
      </c>
      <c r="AH421" s="39"/>
      <c r="AI421" s="39"/>
      <c r="AJ421" s="21" t="s">
        <v>2734</v>
      </c>
      <c r="AK421" s="846">
        <v>1</v>
      </c>
      <c r="AL421" s="45" t="s">
        <v>2015</v>
      </c>
      <c r="AM421" s="46" t="s">
        <v>869</v>
      </c>
      <c r="AN421" s="46"/>
      <c r="AO421" s="47">
        <v>1</v>
      </c>
      <c r="AP421" s="48" t="s">
        <v>635</v>
      </c>
      <c r="AQ421" s="846">
        <v>2</v>
      </c>
      <c r="AR421" s="40" t="s">
        <v>2016</v>
      </c>
      <c r="AS421" s="47"/>
      <c r="AT421" s="47" t="s">
        <v>869</v>
      </c>
      <c r="AU421" s="47">
        <v>1</v>
      </c>
      <c r="AV421" s="49" t="s">
        <v>633</v>
      </c>
      <c r="AW421" s="846"/>
      <c r="AX421" s="54"/>
      <c r="AY421" s="846"/>
      <c r="AZ421" s="846"/>
      <c r="BA421" s="846"/>
      <c r="BB421" s="54"/>
      <c r="BC421" s="846"/>
      <c r="BD421" s="54"/>
      <c r="BE421" s="846"/>
      <c r="BF421" s="846"/>
      <c r="BG421" s="846"/>
      <c r="BH421" s="54"/>
      <c r="BI421" s="846"/>
      <c r="BJ421" s="54"/>
      <c r="BK421" s="846"/>
      <c r="BL421" s="846"/>
      <c r="BM421" s="846"/>
      <c r="BN421" s="54"/>
      <c r="BO421" s="846"/>
      <c r="BP421" s="54"/>
      <c r="BQ421" s="846"/>
      <c r="BR421" s="846"/>
      <c r="BS421" s="846"/>
      <c r="BT421" s="54"/>
      <c r="BU421" s="846"/>
      <c r="BV421" s="54"/>
      <c r="BW421" s="846"/>
      <c r="BX421" s="846"/>
      <c r="BY421" s="846"/>
      <c r="BZ421" s="54"/>
      <c r="CA421" s="846"/>
      <c r="CB421" s="54"/>
      <c r="CC421" s="846"/>
      <c r="CD421" s="846"/>
      <c r="CE421" s="846"/>
      <c r="CF421" s="846"/>
    </row>
    <row r="422" spans="1:84" s="95" customFormat="1" x14ac:dyDescent="0.5">
      <c r="A422" s="65">
        <v>19056211</v>
      </c>
      <c r="B422" s="66">
        <v>19050420</v>
      </c>
      <c r="C422" s="312"/>
      <c r="D422" s="313"/>
      <c r="E422" s="929"/>
      <c r="F422" s="314"/>
      <c r="G422" s="315"/>
      <c r="H422" s="316"/>
      <c r="I422" s="317"/>
      <c r="J422" s="835"/>
      <c r="K422" s="316"/>
      <c r="L422" s="66" t="s">
        <v>2012</v>
      </c>
      <c r="M422" s="72" t="s">
        <v>2013</v>
      </c>
      <c r="N422" s="66" t="s">
        <v>1523</v>
      </c>
      <c r="O422" s="73">
        <v>8300</v>
      </c>
      <c r="P422" s="73">
        <f t="shared" si="105"/>
        <v>581</v>
      </c>
      <c r="Q422" s="73">
        <f t="shared" si="106"/>
        <v>8881</v>
      </c>
      <c r="R422" s="318"/>
      <c r="S422" s="319"/>
      <c r="T422" s="320"/>
      <c r="U422" s="321"/>
      <c r="V422" s="322"/>
      <c r="W422" s="323"/>
      <c r="X422" s="322"/>
      <c r="Y422" s="322"/>
      <c r="Z422" s="323"/>
      <c r="AA422" s="324"/>
      <c r="AB422" s="84">
        <v>19050176</v>
      </c>
      <c r="AC422" s="85">
        <v>8300</v>
      </c>
      <c r="AD422" s="908">
        <f t="shared" si="107"/>
        <v>581</v>
      </c>
      <c r="AE422" s="908">
        <f t="shared" si="108"/>
        <v>8881</v>
      </c>
      <c r="AF422" s="909">
        <v>43598</v>
      </c>
      <c r="AG422" s="83"/>
      <c r="AH422" s="83"/>
      <c r="AI422" s="83" t="s">
        <v>869</v>
      </c>
      <c r="AJ422" s="65"/>
      <c r="AK422" s="88">
        <v>1</v>
      </c>
      <c r="AL422" s="89" t="s">
        <v>473</v>
      </c>
      <c r="AM422" s="90"/>
      <c r="AN422" s="90"/>
      <c r="AO422" s="91">
        <v>1</v>
      </c>
      <c r="AP422" s="633"/>
      <c r="AQ422" s="88"/>
      <c r="AR422" s="94"/>
      <c r="AS422" s="88"/>
      <c r="AT422" s="88"/>
      <c r="AU422" s="88"/>
      <c r="AV422" s="94"/>
      <c r="AW422" s="88"/>
      <c r="AX422" s="94"/>
      <c r="AY422" s="88"/>
      <c r="AZ422" s="88"/>
      <c r="BA422" s="88"/>
      <c r="BB422" s="94"/>
      <c r="BC422" s="88"/>
      <c r="BD422" s="94"/>
      <c r="BE422" s="88"/>
      <c r="BF422" s="88"/>
      <c r="BG422" s="88"/>
      <c r="BH422" s="94"/>
      <c r="BI422" s="88"/>
      <c r="BJ422" s="94"/>
      <c r="BK422" s="88"/>
      <c r="BL422" s="88"/>
      <c r="BM422" s="88"/>
      <c r="BN422" s="94"/>
      <c r="BO422" s="88"/>
      <c r="BP422" s="94"/>
      <c r="BQ422" s="88"/>
      <c r="BR422" s="88"/>
      <c r="BS422" s="88"/>
      <c r="BT422" s="94"/>
      <c r="BU422" s="88"/>
      <c r="BV422" s="94"/>
      <c r="BW422" s="88"/>
      <c r="BX422" s="88"/>
      <c r="BY422" s="88"/>
      <c r="BZ422" s="94"/>
      <c r="CA422" s="88"/>
      <c r="CB422" s="94"/>
      <c r="CC422" s="88"/>
      <c r="CD422" s="88"/>
      <c r="CE422" s="88"/>
      <c r="CF422" s="88"/>
    </row>
    <row r="423" spans="1:84" x14ac:dyDescent="0.5">
      <c r="A423" s="259">
        <v>19056210</v>
      </c>
      <c r="B423" s="104">
        <v>19050407</v>
      </c>
      <c r="C423" s="105" t="s">
        <v>1372</v>
      </c>
      <c r="D423" s="106" t="s">
        <v>1323</v>
      </c>
      <c r="E423" s="302">
        <v>43637</v>
      </c>
      <c r="F423" s="936" t="s">
        <v>1324</v>
      </c>
      <c r="G423" s="937" t="s">
        <v>2108</v>
      </c>
      <c r="H423" s="122">
        <v>43630</v>
      </c>
      <c r="I423" s="109">
        <v>19156</v>
      </c>
      <c r="J423" s="960" t="s">
        <v>869</v>
      </c>
      <c r="K423" s="965">
        <v>43631</v>
      </c>
      <c r="L423" s="104" t="s">
        <v>1221</v>
      </c>
      <c r="M423" s="110" t="s">
        <v>2010</v>
      </c>
      <c r="N423" s="104" t="s">
        <v>51</v>
      </c>
      <c r="O423" s="111">
        <v>840000</v>
      </c>
      <c r="P423" s="111">
        <f t="shared" si="105"/>
        <v>58800</v>
      </c>
      <c r="Q423" s="111">
        <f t="shared" si="106"/>
        <v>898800</v>
      </c>
      <c r="R423" s="212"/>
      <c r="S423" s="165"/>
      <c r="T423" s="166"/>
      <c r="U423" s="167"/>
      <c r="V423" s="168"/>
      <c r="W423" s="231"/>
      <c r="X423" s="168"/>
      <c r="Y423" s="168"/>
      <c r="Z423" s="231"/>
      <c r="AA423" s="232"/>
      <c r="AB423" s="229">
        <v>19050175</v>
      </c>
      <c r="AC423" s="230">
        <v>126000</v>
      </c>
      <c r="AD423" s="233">
        <f t="shared" si="107"/>
        <v>8820</v>
      </c>
      <c r="AE423" s="234">
        <f t="shared" si="108"/>
        <v>134820</v>
      </c>
      <c r="AF423" s="221">
        <v>43598</v>
      </c>
      <c r="AG423" s="121" t="s">
        <v>869</v>
      </c>
      <c r="AH423" s="121"/>
      <c r="AI423" s="121"/>
      <c r="AJ423" s="222" t="s">
        <v>2166</v>
      </c>
      <c r="AK423" s="128">
        <v>1</v>
      </c>
      <c r="AL423" s="129" t="s">
        <v>2011</v>
      </c>
      <c r="AM423" s="130" t="s">
        <v>869</v>
      </c>
      <c r="AN423" s="130"/>
      <c r="AO423" s="131">
        <v>4</v>
      </c>
      <c r="AP423" s="132" t="s">
        <v>635</v>
      </c>
      <c r="AQ423" s="128"/>
      <c r="AR423" s="133"/>
      <c r="AS423" s="128"/>
      <c r="AT423" s="128"/>
      <c r="AU423" s="128"/>
      <c r="AV423" s="133"/>
      <c r="AW423" s="128"/>
      <c r="AX423" s="133"/>
      <c r="AY423" s="128"/>
      <c r="AZ423" s="128"/>
      <c r="BA423" s="128"/>
      <c r="BB423" s="133"/>
      <c r="BC423" s="128"/>
      <c r="BD423" s="133"/>
      <c r="BE423" s="128"/>
      <c r="BF423" s="128"/>
      <c r="BG423" s="128"/>
      <c r="BH423" s="133"/>
      <c r="BI423" s="128"/>
      <c r="BJ423" s="133"/>
      <c r="BK423" s="128"/>
      <c r="BL423" s="128"/>
      <c r="BM423" s="128"/>
      <c r="BN423" s="133"/>
      <c r="BO423" s="128"/>
      <c r="BP423" s="133"/>
      <c r="BQ423" s="128"/>
      <c r="BR423" s="128"/>
      <c r="BS423" s="128"/>
      <c r="BT423" s="133"/>
      <c r="BU423" s="128"/>
      <c r="BV423" s="133"/>
      <c r="BW423" s="128"/>
      <c r="BX423" s="128"/>
      <c r="BY423" s="128"/>
      <c r="BZ423" s="133"/>
      <c r="CA423" s="128"/>
      <c r="CB423" s="133"/>
      <c r="CC423" s="128"/>
      <c r="CD423" s="128"/>
      <c r="CE423" s="128"/>
      <c r="CF423" s="128"/>
    </row>
    <row r="424" spans="1:84" x14ac:dyDescent="0.5">
      <c r="A424" s="268"/>
      <c r="B424" s="181"/>
      <c r="C424" s="182"/>
      <c r="D424" s="183"/>
      <c r="E424" s="749"/>
      <c r="F424" s="938"/>
      <c r="G424" s="939"/>
      <c r="H424" s="186"/>
      <c r="I424" s="187"/>
      <c r="J424" s="961"/>
      <c r="K424" s="966"/>
      <c r="L424" s="181"/>
      <c r="M424" s="188"/>
      <c r="N424" s="181"/>
      <c r="O424" s="189"/>
      <c r="P424" s="189"/>
      <c r="Q424" s="189"/>
      <c r="R424" s="214"/>
      <c r="S424" s="191"/>
      <c r="T424" s="192"/>
      <c r="U424" s="193"/>
      <c r="V424" s="194"/>
      <c r="W424" s="235"/>
      <c r="X424" s="194"/>
      <c r="Y424" s="194"/>
      <c r="Z424" s="235"/>
      <c r="AA424" s="236"/>
      <c r="AB424" s="200">
        <v>19060216</v>
      </c>
      <c r="AC424" s="201">
        <v>714000</v>
      </c>
      <c r="AD424" s="237">
        <f t="shared" si="107"/>
        <v>49980</v>
      </c>
      <c r="AE424" s="238">
        <f t="shared" si="108"/>
        <v>763980</v>
      </c>
      <c r="AF424" s="203">
        <v>43681</v>
      </c>
      <c r="AG424" s="199" t="s">
        <v>869</v>
      </c>
      <c r="AH424" s="199"/>
      <c r="AI424" s="199"/>
      <c r="AJ424" s="180" t="s">
        <v>2720</v>
      </c>
      <c r="AK424" s="204"/>
      <c r="AL424" s="205"/>
      <c r="AM424" s="206"/>
      <c r="AN424" s="206"/>
      <c r="AO424" s="207"/>
      <c r="AP424" s="208"/>
      <c r="AQ424" s="204"/>
      <c r="AR424" s="210"/>
      <c r="AS424" s="204"/>
      <c r="AT424" s="204"/>
      <c r="AU424" s="204"/>
      <c r="AV424" s="210"/>
      <c r="AW424" s="204"/>
      <c r="AX424" s="210"/>
      <c r="AY424" s="204"/>
      <c r="AZ424" s="204"/>
      <c r="BA424" s="204"/>
      <c r="BB424" s="210"/>
      <c r="BC424" s="204"/>
      <c r="BD424" s="210"/>
      <c r="BE424" s="204"/>
      <c r="BF424" s="204"/>
      <c r="BG424" s="204"/>
      <c r="BH424" s="210"/>
      <c r="BI424" s="204"/>
      <c r="BJ424" s="210"/>
      <c r="BK424" s="204"/>
      <c r="BL424" s="204"/>
      <c r="BM424" s="204"/>
      <c r="BN424" s="210"/>
      <c r="BO424" s="204"/>
      <c r="BP424" s="210"/>
      <c r="BQ424" s="204"/>
      <c r="BR424" s="204"/>
      <c r="BS424" s="204"/>
      <c r="BT424" s="210"/>
      <c r="BU424" s="204"/>
      <c r="BV424" s="210"/>
      <c r="BW424" s="204"/>
      <c r="BX424" s="204"/>
      <c r="BY424" s="204"/>
      <c r="BZ424" s="210"/>
      <c r="CA424" s="204"/>
      <c r="CB424" s="210"/>
      <c r="CC424" s="204"/>
      <c r="CD424" s="204"/>
      <c r="CE424" s="204"/>
      <c r="CF424" s="204"/>
    </row>
    <row r="425" spans="1:84" x14ac:dyDescent="0.5">
      <c r="A425" s="227">
        <v>19056209</v>
      </c>
      <c r="B425" s="22">
        <v>19050414</v>
      </c>
      <c r="C425" s="23" t="s">
        <v>1373</v>
      </c>
      <c r="D425" s="24" t="s">
        <v>1323</v>
      </c>
      <c r="E425" s="884">
        <v>43602</v>
      </c>
      <c r="F425" s="932" t="s">
        <v>1324</v>
      </c>
      <c r="G425" s="933" t="s">
        <v>1379</v>
      </c>
      <c r="H425" s="62">
        <v>43601</v>
      </c>
      <c r="I425" s="27">
        <v>19131</v>
      </c>
      <c r="J425" s="931" t="s">
        <v>869</v>
      </c>
      <c r="K425" s="957">
        <v>43602</v>
      </c>
      <c r="L425" s="22" t="s">
        <v>19</v>
      </c>
      <c r="M425" s="28" t="s">
        <v>2027</v>
      </c>
      <c r="N425" s="22" t="s">
        <v>51</v>
      </c>
      <c r="O425" s="29">
        <v>46900</v>
      </c>
      <c r="P425" s="29">
        <f t="shared" si="105"/>
        <v>3283</v>
      </c>
      <c r="Q425" s="29">
        <f t="shared" si="106"/>
        <v>50183</v>
      </c>
      <c r="R425" s="61"/>
      <c r="S425" s="96"/>
      <c r="T425" s="97"/>
      <c r="U425" s="98"/>
      <c r="V425" s="99"/>
      <c r="W425" s="100"/>
      <c r="X425" s="99"/>
      <c r="Y425" s="99"/>
      <c r="Z425" s="100"/>
      <c r="AA425" s="101"/>
      <c r="AB425" s="40">
        <v>19050182</v>
      </c>
      <c r="AC425" s="41">
        <v>46900</v>
      </c>
      <c r="AD425" s="52">
        <f t="shared" si="107"/>
        <v>3283</v>
      </c>
      <c r="AE425" s="52">
        <f t="shared" si="108"/>
        <v>50183</v>
      </c>
      <c r="AF425" s="53">
        <v>43639</v>
      </c>
      <c r="AG425" s="39" t="s">
        <v>869</v>
      </c>
      <c r="AH425" s="39"/>
      <c r="AI425" s="39"/>
      <c r="AJ425" s="21" t="s">
        <v>2703</v>
      </c>
      <c r="AK425" s="845">
        <v>1</v>
      </c>
      <c r="AL425" s="45" t="s">
        <v>2028</v>
      </c>
      <c r="AM425" s="46" t="s">
        <v>869</v>
      </c>
      <c r="AN425" s="46"/>
      <c r="AO425" s="47">
        <v>1</v>
      </c>
      <c r="AP425" s="48" t="s">
        <v>633</v>
      </c>
      <c r="AQ425" s="845">
        <v>2</v>
      </c>
      <c r="AR425" s="40" t="s">
        <v>2029</v>
      </c>
      <c r="AS425" s="47" t="s">
        <v>869</v>
      </c>
      <c r="AT425" s="47"/>
      <c r="AU425" s="47">
        <v>1</v>
      </c>
      <c r="AV425" s="49" t="s">
        <v>633</v>
      </c>
      <c r="AW425" s="845">
        <v>3</v>
      </c>
      <c r="AX425" s="40" t="s">
        <v>2030</v>
      </c>
      <c r="AY425" s="47" t="s">
        <v>869</v>
      </c>
      <c r="AZ425" s="47"/>
      <c r="BA425" s="47">
        <v>1</v>
      </c>
      <c r="BB425" s="49" t="s">
        <v>633</v>
      </c>
      <c r="BC425" s="846"/>
      <c r="BD425" s="54"/>
      <c r="BE425" s="846"/>
      <c r="BF425" s="846"/>
      <c r="BG425" s="846"/>
      <c r="BH425" s="54"/>
      <c r="BI425" s="846"/>
      <c r="BJ425" s="54"/>
      <c r="BK425" s="846"/>
      <c r="BL425" s="846"/>
      <c r="BM425" s="846"/>
      <c r="BN425" s="54"/>
      <c r="BO425" s="846"/>
      <c r="BP425" s="54"/>
      <c r="BQ425" s="846"/>
      <c r="BR425" s="846"/>
      <c r="BS425" s="846"/>
      <c r="BT425" s="54"/>
      <c r="BU425" s="846"/>
      <c r="BV425" s="54"/>
      <c r="BW425" s="846"/>
      <c r="BX425" s="846"/>
      <c r="BY425" s="846"/>
      <c r="BZ425" s="54"/>
      <c r="CA425" s="846"/>
      <c r="CB425" s="54"/>
      <c r="CC425" s="846"/>
      <c r="CD425" s="846"/>
      <c r="CE425" s="846"/>
      <c r="CF425" s="846"/>
    </row>
    <row r="426" spans="1:84" x14ac:dyDescent="0.5">
      <c r="A426" s="227">
        <v>19056208</v>
      </c>
      <c r="B426" s="22">
        <v>19050421</v>
      </c>
      <c r="C426" s="55"/>
      <c r="D426" s="56"/>
      <c r="E426" s="884"/>
      <c r="F426" s="932"/>
      <c r="G426" s="933"/>
      <c r="H426" s="59"/>
      <c r="I426" s="60"/>
      <c r="J426" s="931"/>
      <c r="K426" s="40"/>
      <c r="L426" s="22" t="s">
        <v>1311</v>
      </c>
      <c r="M426" s="28" t="s">
        <v>2008</v>
      </c>
      <c r="N426" s="22" t="s">
        <v>51</v>
      </c>
      <c r="O426" s="29">
        <v>14000</v>
      </c>
      <c r="P426" s="29">
        <f t="shared" si="105"/>
        <v>980</v>
      </c>
      <c r="Q426" s="29">
        <f t="shared" si="106"/>
        <v>14980</v>
      </c>
      <c r="R426" s="61"/>
      <c r="S426" s="96"/>
      <c r="T426" s="97"/>
      <c r="U426" s="98"/>
      <c r="V426" s="99"/>
      <c r="W426" s="100"/>
      <c r="X426" s="99"/>
      <c r="Y426" s="99"/>
      <c r="Z426" s="100"/>
      <c r="AA426" s="101"/>
      <c r="AB426" s="40">
        <v>19050174</v>
      </c>
      <c r="AC426" s="41">
        <v>14000</v>
      </c>
      <c r="AD426" s="63">
        <f t="shared" si="107"/>
        <v>980</v>
      </c>
      <c r="AE426" s="64">
        <f t="shared" si="108"/>
        <v>14980</v>
      </c>
      <c r="AF426" s="53">
        <v>43595</v>
      </c>
      <c r="AG426" s="39" t="s">
        <v>869</v>
      </c>
      <c r="AH426" s="39"/>
      <c r="AI426" s="39"/>
      <c r="AJ426" s="21" t="s">
        <v>2778</v>
      </c>
      <c r="AK426" s="844">
        <v>1</v>
      </c>
      <c r="AL426" s="45" t="s">
        <v>2009</v>
      </c>
      <c r="AM426" s="46"/>
      <c r="AN426" s="46"/>
      <c r="AO426" s="47">
        <v>1</v>
      </c>
      <c r="AP426" s="48" t="s">
        <v>628</v>
      </c>
      <c r="AQ426" s="846"/>
      <c r="AR426" s="54"/>
      <c r="AS426" s="846"/>
      <c r="AT426" s="846"/>
      <c r="AU426" s="846"/>
      <c r="AV426" s="54"/>
      <c r="AW426" s="846"/>
      <c r="AX426" s="54"/>
      <c r="AY426" s="846"/>
      <c r="AZ426" s="846"/>
      <c r="BA426" s="846"/>
      <c r="BB426" s="54"/>
      <c r="BC426" s="846"/>
      <c r="BD426" s="54"/>
      <c r="BE426" s="846"/>
      <c r="BF426" s="846"/>
      <c r="BG426" s="846"/>
      <c r="BH426" s="54"/>
      <c r="BI426" s="846"/>
      <c r="BJ426" s="54"/>
      <c r="BK426" s="846"/>
      <c r="BL426" s="846"/>
      <c r="BM426" s="846"/>
      <c r="BN426" s="54"/>
      <c r="BO426" s="846"/>
      <c r="BP426" s="54"/>
      <c r="BQ426" s="846"/>
      <c r="BR426" s="846"/>
      <c r="BS426" s="846"/>
      <c r="BT426" s="54"/>
      <c r="BU426" s="846"/>
      <c r="BV426" s="54"/>
      <c r="BW426" s="846"/>
      <c r="BX426" s="846"/>
      <c r="BY426" s="846"/>
      <c r="BZ426" s="54"/>
      <c r="CA426" s="846"/>
      <c r="CB426" s="54"/>
      <c r="CC426" s="846"/>
      <c r="CD426" s="846"/>
      <c r="CE426" s="846"/>
      <c r="CF426" s="846"/>
    </row>
    <row r="427" spans="1:84" x14ac:dyDescent="0.5">
      <c r="A427" s="227">
        <v>19056207</v>
      </c>
      <c r="B427" s="22">
        <v>19050419</v>
      </c>
      <c r="C427" s="55"/>
      <c r="D427" s="56"/>
      <c r="E427" s="884"/>
      <c r="F427" s="932"/>
      <c r="G427" s="933"/>
      <c r="H427" s="59"/>
      <c r="I427" s="60"/>
      <c r="J427" s="931"/>
      <c r="K427" s="40"/>
      <c r="L427" s="22" t="s">
        <v>2005</v>
      </c>
      <c r="M427" s="28" t="s">
        <v>2006</v>
      </c>
      <c r="N427" s="22" t="s">
        <v>51</v>
      </c>
      <c r="O427" s="29">
        <v>8200</v>
      </c>
      <c r="P427" s="29">
        <f t="shared" si="105"/>
        <v>574</v>
      </c>
      <c r="Q427" s="29">
        <f t="shared" si="106"/>
        <v>8774</v>
      </c>
      <c r="R427" s="61"/>
      <c r="S427" s="96"/>
      <c r="T427" s="97"/>
      <c r="U427" s="98"/>
      <c r="V427" s="99"/>
      <c r="W427" s="100"/>
      <c r="X427" s="99"/>
      <c r="Y427" s="99"/>
      <c r="Z427" s="100"/>
      <c r="AA427" s="101"/>
      <c r="AB427" s="40">
        <v>19060205</v>
      </c>
      <c r="AC427" s="41">
        <v>8200</v>
      </c>
      <c r="AD427" s="52">
        <f t="shared" si="107"/>
        <v>574</v>
      </c>
      <c r="AE427" s="52">
        <f t="shared" si="108"/>
        <v>8774</v>
      </c>
      <c r="AF427" s="53">
        <v>43659</v>
      </c>
      <c r="AG427" s="39" t="s">
        <v>869</v>
      </c>
      <c r="AH427" s="39"/>
      <c r="AI427" s="39"/>
      <c r="AJ427" s="21" t="s">
        <v>2722</v>
      </c>
      <c r="AK427" s="844">
        <v>1</v>
      </c>
      <c r="AL427" s="45" t="s">
        <v>2007</v>
      </c>
      <c r="AM427" s="46"/>
      <c r="AN427" s="46"/>
      <c r="AO427" s="47">
        <v>1</v>
      </c>
      <c r="AP427" s="48" t="s">
        <v>628</v>
      </c>
      <c r="AQ427" s="846"/>
      <c r="AR427" s="54"/>
      <c r="AS427" s="846"/>
      <c r="AT427" s="846"/>
      <c r="AU427" s="846"/>
      <c r="AV427" s="54"/>
      <c r="AW427" s="846"/>
      <c r="AX427" s="54"/>
      <c r="AY427" s="846"/>
      <c r="AZ427" s="846"/>
      <c r="BA427" s="846"/>
      <c r="BB427" s="54"/>
      <c r="BC427" s="846"/>
      <c r="BD427" s="54"/>
      <c r="BE427" s="846"/>
      <c r="BF427" s="846"/>
      <c r="BG427" s="846"/>
      <c r="BH427" s="54"/>
      <c r="BI427" s="846"/>
      <c r="BJ427" s="54"/>
      <c r="BK427" s="846"/>
      <c r="BL427" s="846"/>
      <c r="BM427" s="846"/>
      <c r="BN427" s="54"/>
      <c r="BO427" s="846"/>
      <c r="BP427" s="54"/>
      <c r="BQ427" s="846"/>
      <c r="BR427" s="846"/>
      <c r="BS427" s="846"/>
      <c r="BT427" s="54"/>
      <c r="BU427" s="846"/>
      <c r="BV427" s="54"/>
      <c r="BW427" s="846"/>
      <c r="BX427" s="846"/>
      <c r="BY427" s="846"/>
      <c r="BZ427" s="54"/>
      <c r="CA427" s="846"/>
      <c r="CB427" s="54"/>
      <c r="CC427" s="846"/>
      <c r="CD427" s="846"/>
      <c r="CE427" s="846"/>
      <c r="CF427" s="846"/>
    </row>
    <row r="428" spans="1:84" x14ac:dyDescent="0.5">
      <c r="A428" s="227">
        <v>19056206</v>
      </c>
      <c r="B428" s="22">
        <v>19050415</v>
      </c>
      <c r="C428" s="23" t="s">
        <v>1374</v>
      </c>
      <c r="D428" s="24" t="s">
        <v>1323</v>
      </c>
      <c r="E428" s="884">
        <v>43601</v>
      </c>
      <c r="F428" s="932" t="s">
        <v>1324</v>
      </c>
      <c r="G428" s="933" t="s">
        <v>1381</v>
      </c>
      <c r="H428" s="62">
        <v>43599</v>
      </c>
      <c r="I428" s="27">
        <v>19129</v>
      </c>
      <c r="J428" s="931" t="s">
        <v>869</v>
      </c>
      <c r="K428" s="957">
        <v>43601</v>
      </c>
      <c r="L428" s="22" t="s">
        <v>15</v>
      </c>
      <c r="M428" s="28" t="s">
        <v>2031</v>
      </c>
      <c r="N428" s="22" t="s">
        <v>51</v>
      </c>
      <c r="O428" s="29">
        <v>10080</v>
      </c>
      <c r="P428" s="29">
        <f t="shared" si="105"/>
        <v>705.6</v>
      </c>
      <c r="Q428" s="29">
        <f t="shared" si="106"/>
        <v>10785.6</v>
      </c>
      <c r="R428" s="61"/>
      <c r="S428" s="96"/>
      <c r="T428" s="97"/>
      <c r="U428" s="98"/>
      <c r="V428" s="99"/>
      <c r="W428" s="100"/>
      <c r="X428" s="99"/>
      <c r="Y428" s="99"/>
      <c r="Z428" s="100"/>
      <c r="AA428" s="101"/>
      <c r="AB428" s="40">
        <v>19050183</v>
      </c>
      <c r="AC428" s="41">
        <v>10080</v>
      </c>
      <c r="AD428" s="52">
        <f t="shared" si="107"/>
        <v>705.6</v>
      </c>
      <c r="AE428" s="52">
        <f t="shared" si="108"/>
        <v>10785.6</v>
      </c>
      <c r="AF428" s="53">
        <v>43654</v>
      </c>
      <c r="AG428" s="39" t="s">
        <v>869</v>
      </c>
      <c r="AH428" s="39"/>
      <c r="AI428" s="39"/>
      <c r="AJ428" s="21" t="s">
        <v>2751</v>
      </c>
      <c r="AK428" s="844">
        <v>1</v>
      </c>
      <c r="AL428" s="45" t="s">
        <v>2032</v>
      </c>
      <c r="AM428" s="46" t="s">
        <v>869</v>
      </c>
      <c r="AN428" s="46"/>
      <c r="AO428" s="47">
        <v>1</v>
      </c>
      <c r="AP428" s="48" t="s">
        <v>635</v>
      </c>
      <c r="AQ428" s="847"/>
      <c r="AR428" s="54"/>
      <c r="AS428" s="847"/>
      <c r="AT428" s="847"/>
      <c r="AU428" s="847"/>
      <c r="AV428" s="54"/>
      <c r="AW428" s="847"/>
      <c r="AX428" s="54"/>
      <c r="AY428" s="847"/>
      <c r="AZ428" s="847"/>
      <c r="BA428" s="847"/>
      <c r="BB428" s="54"/>
      <c r="BC428" s="847"/>
      <c r="BD428" s="54"/>
      <c r="BE428" s="847"/>
      <c r="BF428" s="847"/>
      <c r="BG428" s="847"/>
      <c r="BH428" s="54"/>
      <c r="BI428" s="847"/>
      <c r="BJ428" s="54"/>
      <c r="BK428" s="847"/>
      <c r="BL428" s="847"/>
      <c r="BM428" s="847"/>
      <c r="BN428" s="54"/>
      <c r="BO428" s="847"/>
      <c r="BP428" s="54"/>
      <c r="BQ428" s="847"/>
      <c r="BR428" s="847"/>
      <c r="BS428" s="847"/>
      <c r="BT428" s="54"/>
      <c r="BU428" s="847"/>
      <c r="BV428" s="54"/>
      <c r="BW428" s="847"/>
      <c r="BX428" s="847"/>
      <c r="BY428" s="847"/>
      <c r="BZ428" s="54"/>
      <c r="CA428" s="847"/>
      <c r="CB428" s="54"/>
      <c r="CC428" s="847"/>
      <c r="CD428" s="847"/>
      <c r="CE428" s="847"/>
      <c r="CF428" s="847"/>
    </row>
    <row r="429" spans="1:84" x14ac:dyDescent="0.5">
      <c r="A429" s="227" t="s">
        <v>2496</v>
      </c>
      <c r="B429" s="22">
        <v>19040376</v>
      </c>
      <c r="C429" s="55"/>
      <c r="D429" s="56"/>
      <c r="E429" s="910"/>
      <c r="F429" s="57"/>
      <c r="G429" s="58"/>
      <c r="H429" s="910"/>
      <c r="I429" s="60"/>
      <c r="J429" s="269"/>
      <c r="K429" s="910"/>
      <c r="L429" s="22" t="s">
        <v>1601</v>
      </c>
      <c r="M429" s="28" t="s">
        <v>2497</v>
      </c>
      <c r="N429" s="22" t="s">
        <v>51</v>
      </c>
      <c r="O429" s="29">
        <v>10000</v>
      </c>
      <c r="P429" s="29" t="s">
        <v>402</v>
      </c>
      <c r="Q429" s="29">
        <f>O429</f>
        <v>10000</v>
      </c>
      <c r="R429" s="61"/>
      <c r="S429" s="96"/>
      <c r="T429" s="97"/>
      <c r="U429" s="98"/>
      <c r="V429" s="99"/>
      <c r="W429" s="100"/>
      <c r="X429" s="99"/>
      <c r="Y429" s="99"/>
      <c r="Z429" s="100"/>
      <c r="AA429" s="101"/>
      <c r="AB429" s="59"/>
      <c r="AC429" s="867"/>
      <c r="AD429" s="990"/>
      <c r="AE429" s="990"/>
      <c r="AF429" s="991"/>
      <c r="AG429" s="39" t="s">
        <v>869</v>
      </c>
      <c r="AH429" s="39"/>
      <c r="AI429" s="39"/>
      <c r="AJ429" s="21"/>
      <c r="AK429" s="985">
        <v>1</v>
      </c>
      <c r="AL429" s="45" t="s">
        <v>2498</v>
      </c>
      <c r="AM429" s="46"/>
      <c r="AN429" s="46"/>
      <c r="AO429" s="47">
        <v>1</v>
      </c>
      <c r="AP429" s="48" t="s">
        <v>628</v>
      </c>
      <c r="AQ429" s="985"/>
      <c r="AR429" s="54"/>
      <c r="AS429" s="985"/>
      <c r="AT429" s="985"/>
      <c r="AU429" s="985"/>
      <c r="AV429" s="54"/>
      <c r="AW429" s="985"/>
      <c r="AX429" s="54"/>
      <c r="AY429" s="985"/>
      <c r="AZ429" s="985"/>
      <c r="BA429" s="985"/>
      <c r="BB429" s="54"/>
      <c r="BC429" s="985"/>
      <c r="BD429" s="54"/>
      <c r="BE429" s="985"/>
      <c r="BF429" s="985"/>
      <c r="BG429" s="985"/>
      <c r="BH429" s="54"/>
      <c r="BI429" s="985"/>
      <c r="BJ429" s="54"/>
      <c r="BK429" s="985"/>
      <c r="BL429" s="985"/>
      <c r="BM429" s="985"/>
      <c r="BN429" s="54"/>
      <c r="BO429" s="985"/>
      <c r="BP429" s="54"/>
      <c r="BQ429" s="985"/>
      <c r="BR429" s="985"/>
      <c r="BS429" s="985"/>
      <c r="BT429" s="54"/>
      <c r="BU429" s="985"/>
      <c r="BV429" s="54"/>
      <c r="BW429" s="985"/>
      <c r="BX429" s="985"/>
      <c r="BY429" s="985"/>
      <c r="BZ429" s="54"/>
      <c r="CA429" s="985"/>
      <c r="CB429" s="54"/>
      <c r="CC429" s="985"/>
      <c r="CD429" s="985"/>
      <c r="CE429" s="985"/>
      <c r="CF429" s="985"/>
    </row>
    <row r="430" spans="1:84" x14ac:dyDescent="0.5">
      <c r="A430" s="227">
        <v>19046205</v>
      </c>
      <c r="B430" s="22">
        <v>19040399</v>
      </c>
      <c r="C430" s="23" t="s">
        <v>1375</v>
      </c>
      <c r="D430" s="24" t="s">
        <v>1323</v>
      </c>
      <c r="E430" s="884">
        <v>43763</v>
      </c>
      <c r="F430" s="932" t="s">
        <v>1324</v>
      </c>
      <c r="G430" s="933" t="s">
        <v>2377</v>
      </c>
      <c r="H430" s="62">
        <v>43682</v>
      </c>
      <c r="I430" s="27">
        <v>19222</v>
      </c>
      <c r="J430" s="931" t="s">
        <v>869</v>
      </c>
      <c r="K430" s="957">
        <v>43682</v>
      </c>
      <c r="L430" s="22" t="s">
        <v>388</v>
      </c>
      <c r="M430" s="28" t="s">
        <v>1995</v>
      </c>
      <c r="N430" s="22" t="s">
        <v>52</v>
      </c>
      <c r="O430" s="29">
        <v>79439.25</v>
      </c>
      <c r="P430" s="29">
        <f>O430*7/100</f>
        <v>5560.7475000000004</v>
      </c>
      <c r="Q430" s="29">
        <f>O430+P430</f>
        <v>84999.997499999998</v>
      </c>
      <c r="R430" s="61"/>
      <c r="S430" s="96"/>
      <c r="T430" s="97"/>
      <c r="U430" s="98"/>
      <c r="V430" s="99"/>
      <c r="W430" s="35">
        <f>O430</f>
        <v>79439.25</v>
      </c>
      <c r="X430" s="36">
        <v>0.2</v>
      </c>
      <c r="Y430" s="36">
        <f>W430*X430/100</f>
        <v>158.8785</v>
      </c>
      <c r="Z430" s="37">
        <v>0.2</v>
      </c>
      <c r="AA430" s="38">
        <f>W430*Z430/100</f>
        <v>158.8785</v>
      </c>
      <c r="AB430" s="40">
        <v>19080274</v>
      </c>
      <c r="AC430" s="41">
        <v>79439.25</v>
      </c>
      <c r="AD430" s="52">
        <f>AC430*7/100</f>
        <v>5560.7475000000004</v>
      </c>
      <c r="AE430" s="52">
        <f>AC430+AD430</f>
        <v>84999.997499999998</v>
      </c>
      <c r="AF430" s="53">
        <v>43705</v>
      </c>
      <c r="AG430" s="39" t="s">
        <v>869</v>
      </c>
      <c r="AH430" s="39"/>
      <c r="AI430" s="39"/>
      <c r="AJ430" s="21" t="s">
        <v>2597</v>
      </c>
      <c r="AK430" s="844">
        <v>1</v>
      </c>
      <c r="AL430" s="45" t="s">
        <v>593</v>
      </c>
      <c r="AM430" s="46"/>
      <c r="AN430" s="46" t="s">
        <v>869</v>
      </c>
      <c r="AO430" s="47">
        <v>4</v>
      </c>
      <c r="AP430" s="48" t="s">
        <v>634</v>
      </c>
      <c r="AQ430" s="845"/>
      <c r="AR430" s="54"/>
      <c r="AS430" s="845"/>
      <c r="AT430" s="845"/>
      <c r="AU430" s="845"/>
      <c r="AV430" s="54"/>
      <c r="AW430" s="845"/>
      <c r="AX430" s="54"/>
      <c r="AY430" s="845"/>
      <c r="AZ430" s="845"/>
      <c r="BA430" s="845"/>
      <c r="BB430" s="54"/>
      <c r="BC430" s="845"/>
      <c r="BD430" s="54"/>
      <c r="BE430" s="845"/>
      <c r="BF430" s="845"/>
      <c r="BG430" s="845"/>
      <c r="BH430" s="54"/>
      <c r="BI430" s="845"/>
      <c r="BJ430" s="54"/>
      <c r="BK430" s="845"/>
      <c r="BL430" s="845"/>
      <c r="BM430" s="845"/>
      <c r="BN430" s="54"/>
      <c r="BO430" s="845"/>
      <c r="BP430" s="54"/>
      <c r="BQ430" s="845"/>
      <c r="BR430" s="845"/>
      <c r="BS430" s="845"/>
      <c r="BT430" s="54"/>
      <c r="BU430" s="845"/>
      <c r="BV430" s="54"/>
      <c r="BW430" s="845"/>
      <c r="BX430" s="845"/>
      <c r="BY430" s="845"/>
      <c r="BZ430" s="54"/>
      <c r="CA430" s="845"/>
      <c r="CB430" s="54"/>
      <c r="CC430" s="845"/>
      <c r="CD430" s="845"/>
      <c r="CE430" s="845"/>
      <c r="CF430" s="845"/>
    </row>
    <row r="431" spans="1:84" x14ac:dyDescent="0.5">
      <c r="A431" s="259">
        <v>19046204</v>
      </c>
      <c r="B431" s="104">
        <v>19040385</v>
      </c>
      <c r="C431" s="105" t="s">
        <v>1376</v>
      </c>
      <c r="D431" s="106" t="s">
        <v>1323</v>
      </c>
      <c r="E431" s="302">
        <v>43615</v>
      </c>
      <c r="F431" s="936" t="s">
        <v>1324</v>
      </c>
      <c r="G431" s="937" t="s">
        <v>2133</v>
      </c>
      <c r="H431" s="211">
        <v>43635</v>
      </c>
      <c r="I431" s="164">
        <v>19166</v>
      </c>
      <c r="J431" s="960" t="s">
        <v>869</v>
      </c>
      <c r="K431" s="965">
        <v>43637</v>
      </c>
      <c r="L431" s="104" t="s">
        <v>1996</v>
      </c>
      <c r="M431" s="110" t="s">
        <v>1997</v>
      </c>
      <c r="N431" s="104" t="s">
        <v>52</v>
      </c>
      <c r="O431" s="111">
        <v>121495.33</v>
      </c>
      <c r="P431" s="111">
        <f>O431*7/100</f>
        <v>8504.6731</v>
      </c>
      <c r="Q431" s="111">
        <f>O431+P431</f>
        <v>130000.0031</v>
      </c>
      <c r="R431" s="212"/>
      <c r="S431" s="113" t="s">
        <v>2324</v>
      </c>
      <c r="T431" s="114">
        <f>O431</f>
        <v>121495.33</v>
      </c>
      <c r="U431" s="115">
        <v>5</v>
      </c>
      <c r="V431" s="116">
        <f>T431*U431/100</f>
        <v>6074.7665000000006</v>
      </c>
      <c r="W431" s="117">
        <f>T431-V431</f>
        <v>115420.5635</v>
      </c>
      <c r="X431" s="118">
        <v>0.33</v>
      </c>
      <c r="Y431" s="118">
        <f>W431*X431/100</f>
        <v>380.88785955000009</v>
      </c>
      <c r="Z431" s="119">
        <v>0.2</v>
      </c>
      <c r="AA431" s="120">
        <f>W431*Z431/100</f>
        <v>230.84112700000003</v>
      </c>
      <c r="AB431" s="123">
        <v>19060212</v>
      </c>
      <c r="AC431" s="124">
        <v>121495.34</v>
      </c>
      <c r="AD431" s="125">
        <f>AC431*7/100</f>
        <v>8504.6738000000005</v>
      </c>
      <c r="AE431" s="125">
        <f>AC431+AD431</f>
        <v>130000.0138</v>
      </c>
      <c r="AF431" s="126">
        <v>43660</v>
      </c>
      <c r="AG431" s="127" t="s">
        <v>869</v>
      </c>
      <c r="AH431" s="127"/>
      <c r="AI431" s="127"/>
      <c r="AJ431" s="103" t="s">
        <v>2601</v>
      </c>
      <c r="AK431" s="128">
        <v>1</v>
      </c>
      <c r="AL431" s="129" t="s">
        <v>648</v>
      </c>
      <c r="AM431" s="130"/>
      <c r="AN431" s="130" t="s">
        <v>869</v>
      </c>
      <c r="AO431" s="131">
        <v>5</v>
      </c>
      <c r="AP431" s="132" t="s">
        <v>634</v>
      </c>
      <c r="AQ431" s="128"/>
      <c r="AR431" s="133"/>
      <c r="AS431" s="128"/>
      <c r="AT431" s="128"/>
      <c r="AU431" s="128"/>
      <c r="AV431" s="133"/>
      <c r="AW431" s="128"/>
      <c r="AX431" s="133"/>
      <c r="AY431" s="128"/>
      <c r="AZ431" s="128"/>
      <c r="BA431" s="128"/>
      <c r="BB431" s="133"/>
      <c r="BC431" s="128"/>
      <c r="BD431" s="133"/>
      <c r="BE431" s="128"/>
      <c r="BF431" s="128"/>
      <c r="BG431" s="128"/>
      <c r="BH431" s="133"/>
      <c r="BI431" s="128"/>
      <c r="BJ431" s="133"/>
      <c r="BK431" s="128"/>
      <c r="BL431" s="128"/>
      <c r="BM431" s="128"/>
      <c r="BN431" s="133"/>
      <c r="BO431" s="128"/>
      <c r="BP431" s="133"/>
      <c r="BQ431" s="128"/>
      <c r="BR431" s="128"/>
      <c r="BS431" s="128"/>
      <c r="BT431" s="133"/>
      <c r="BU431" s="128"/>
      <c r="BV431" s="133"/>
      <c r="BW431" s="128"/>
      <c r="BX431" s="128"/>
      <c r="BY431" s="128"/>
      <c r="BZ431" s="133"/>
      <c r="CA431" s="128"/>
      <c r="CB431" s="133"/>
      <c r="CC431" s="128"/>
      <c r="CD431" s="128"/>
      <c r="CE431" s="128"/>
      <c r="CF431" s="128"/>
    </row>
    <row r="432" spans="1:84" x14ac:dyDescent="0.5">
      <c r="A432" s="268"/>
      <c r="B432" s="181"/>
      <c r="C432" s="182"/>
      <c r="D432" s="183"/>
      <c r="E432" s="749"/>
      <c r="F432" s="938"/>
      <c r="G432" s="939"/>
      <c r="H432" s="186">
        <v>43635</v>
      </c>
      <c r="I432" s="187">
        <v>19167</v>
      </c>
      <c r="J432" s="961"/>
      <c r="K432" s="200"/>
      <c r="L432" s="181"/>
      <c r="M432" s="188"/>
      <c r="N432" s="181"/>
      <c r="O432" s="189"/>
      <c r="P432" s="189"/>
      <c r="Q432" s="189"/>
      <c r="R432" s="190"/>
      <c r="S432" s="215"/>
      <c r="T432" s="216"/>
      <c r="U432" s="217"/>
      <c r="V432" s="218"/>
      <c r="W432" s="195"/>
      <c r="X432" s="196"/>
      <c r="Y432" s="196"/>
      <c r="Z432" s="197"/>
      <c r="AA432" s="198"/>
      <c r="AB432" s="200"/>
      <c r="AC432" s="201"/>
      <c r="AD432" s="202"/>
      <c r="AE432" s="202"/>
      <c r="AF432" s="203"/>
      <c r="AG432" s="199"/>
      <c r="AH432" s="199"/>
      <c r="AI432" s="199"/>
      <c r="AJ432" s="180"/>
      <c r="AK432" s="204"/>
      <c r="AL432" s="205"/>
      <c r="AM432" s="206"/>
      <c r="AN432" s="206"/>
      <c r="AO432" s="207"/>
      <c r="AP432" s="208"/>
      <c r="AQ432" s="204"/>
      <c r="AR432" s="210"/>
      <c r="AS432" s="204"/>
      <c r="AT432" s="204"/>
      <c r="AU432" s="204"/>
      <c r="AV432" s="210"/>
      <c r="AW432" s="204"/>
      <c r="AX432" s="210"/>
      <c r="AY432" s="204"/>
      <c r="AZ432" s="204"/>
      <c r="BA432" s="204"/>
      <c r="BB432" s="210"/>
      <c r="BC432" s="204"/>
      <c r="BD432" s="210"/>
      <c r="BE432" s="204"/>
      <c r="BF432" s="204"/>
      <c r="BG432" s="204"/>
      <c r="BH432" s="210"/>
      <c r="BI432" s="204"/>
      <c r="BJ432" s="210"/>
      <c r="BK432" s="204"/>
      <c r="BL432" s="204"/>
      <c r="BM432" s="204"/>
      <c r="BN432" s="210"/>
      <c r="BO432" s="204"/>
      <c r="BP432" s="210"/>
      <c r="BQ432" s="204"/>
      <c r="BR432" s="204"/>
      <c r="BS432" s="204"/>
      <c r="BT432" s="210"/>
      <c r="BU432" s="204"/>
      <c r="BV432" s="210"/>
      <c r="BW432" s="204"/>
      <c r="BX432" s="204"/>
      <c r="BY432" s="204"/>
      <c r="BZ432" s="210"/>
      <c r="CA432" s="204"/>
      <c r="CB432" s="210"/>
      <c r="CC432" s="204"/>
      <c r="CD432" s="204"/>
      <c r="CE432" s="204"/>
      <c r="CF432" s="204"/>
    </row>
    <row r="433" spans="1:84" x14ac:dyDescent="0.5">
      <c r="A433" s="227">
        <v>19046203</v>
      </c>
      <c r="B433" s="22">
        <v>19040401</v>
      </c>
      <c r="C433" s="55"/>
      <c r="D433" s="56"/>
      <c r="E433" s="910"/>
      <c r="F433" s="57"/>
      <c r="G433" s="58"/>
      <c r="H433" s="59"/>
      <c r="I433" s="60"/>
      <c r="J433" s="269"/>
      <c r="K433" s="59"/>
      <c r="L433" s="22" t="s">
        <v>1998</v>
      </c>
      <c r="M433" s="28" t="s">
        <v>349</v>
      </c>
      <c r="N433" s="22" t="s">
        <v>51</v>
      </c>
      <c r="O433" s="29">
        <v>8300</v>
      </c>
      <c r="P433" s="29">
        <f>O433*7/100</f>
        <v>581</v>
      </c>
      <c r="Q433" s="29">
        <f>O433+P433</f>
        <v>8881</v>
      </c>
      <c r="R433" s="30"/>
      <c r="S433" s="31"/>
      <c r="T433" s="32"/>
      <c r="U433" s="33"/>
      <c r="V433" s="34"/>
      <c r="W433" s="35"/>
      <c r="X433" s="36"/>
      <c r="Y433" s="36"/>
      <c r="Z433" s="37"/>
      <c r="AA433" s="38"/>
      <c r="AB433" s="40">
        <v>19050147</v>
      </c>
      <c r="AC433" s="41">
        <v>8300</v>
      </c>
      <c r="AD433" s="63">
        <f t="shared" ref="AD433:AD441" si="109">AC433*7/100</f>
        <v>581</v>
      </c>
      <c r="AE433" s="64">
        <f t="shared" ref="AE433:AE441" si="110">AC433+AD433</f>
        <v>8881</v>
      </c>
      <c r="AF433" s="53">
        <v>43618</v>
      </c>
      <c r="AG433" s="39" t="s">
        <v>869</v>
      </c>
      <c r="AH433" s="39"/>
      <c r="AI433" s="39"/>
      <c r="AJ433" s="21" t="s">
        <v>2368</v>
      </c>
      <c r="AK433" s="844">
        <v>1</v>
      </c>
      <c r="AL433" s="45" t="s">
        <v>1999</v>
      </c>
      <c r="AM433" s="46"/>
      <c r="AN433" s="46"/>
      <c r="AO433" s="47">
        <v>3</v>
      </c>
      <c r="AP433" s="48" t="s">
        <v>628</v>
      </c>
      <c r="AQ433" s="844">
        <v>2</v>
      </c>
      <c r="AR433" s="40" t="s">
        <v>2000</v>
      </c>
      <c r="AS433" s="47"/>
      <c r="AT433" s="47"/>
      <c r="AU433" s="47">
        <v>1</v>
      </c>
      <c r="AV433" s="49" t="s">
        <v>628</v>
      </c>
      <c r="AW433" s="845"/>
      <c r="AX433" s="54"/>
      <c r="AY433" s="845"/>
      <c r="AZ433" s="845"/>
      <c r="BA433" s="845"/>
      <c r="BB433" s="54"/>
      <c r="BC433" s="845"/>
      <c r="BD433" s="54"/>
      <c r="BE433" s="845"/>
      <c r="BF433" s="845"/>
      <c r="BG433" s="845"/>
      <c r="BH433" s="54"/>
      <c r="BI433" s="845"/>
      <c r="BJ433" s="54"/>
      <c r="BK433" s="845"/>
      <c r="BL433" s="845"/>
      <c r="BM433" s="845"/>
      <c r="BN433" s="54"/>
      <c r="BO433" s="845"/>
      <c r="BP433" s="54"/>
      <c r="BQ433" s="845"/>
      <c r="BR433" s="845"/>
      <c r="BS433" s="845"/>
      <c r="BT433" s="54"/>
      <c r="BU433" s="845"/>
      <c r="BV433" s="54"/>
      <c r="BW433" s="845"/>
      <c r="BX433" s="845"/>
      <c r="BY433" s="845"/>
      <c r="BZ433" s="54"/>
      <c r="CA433" s="845"/>
      <c r="CB433" s="54"/>
      <c r="CC433" s="845"/>
      <c r="CD433" s="845"/>
      <c r="CE433" s="845"/>
      <c r="CF433" s="845"/>
    </row>
    <row r="434" spans="1:84" s="95" customFormat="1" x14ac:dyDescent="0.5">
      <c r="A434" s="754">
        <v>19046202</v>
      </c>
      <c r="B434" s="755">
        <v>19040377</v>
      </c>
      <c r="C434" s="756" t="s">
        <v>1377</v>
      </c>
      <c r="D434" s="757" t="s">
        <v>1323</v>
      </c>
      <c r="E434" s="899">
        <v>43600</v>
      </c>
      <c r="F434" s="942"/>
      <c r="G434" s="943"/>
      <c r="H434" s="755"/>
      <c r="I434" s="758"/>
      <c r="J434" s="967"/>
      <c r="K434" s="782"/>
      <c r="L434" s="755" t="s">
        <v>1974</v>
      </c>
      <c r="M434" s="759" t="s">
        <v>1975</v>
      </c>
      <c r="N434" s="755" t="s">
        <v>1523</v>
      </c>
      <c r="O434" s="760">
        <v>75000</v>
      </c>
      <c r="P434" s="760">
        <f>O434*7/100</f>
        <v>5250</v>
      </c>
      <c r="Q434" s="760">
        <f>O434+P434</f>
        <v>80250</v>
      </c>
      <c r="R434" s="919"/>
      <c r="S434" s="920" t="s">
        <v>1993</v>
      </c>
      <c r="T434" s="921">
        <f>O434</f>
        <v>75000</v>
      </c>
      <c r="U434" s="922" t="s">
        <v>1994</v>
      </c>
      <c r="V434" s="923">
        <v>15625</v>
      </c>
      <c r="W434" s="766">
        <f>T434-V434-V435</f>
        <v>56406.25</v>
      </c>
      <c r="X434" s="767">
        <v>0.38</v>
      </c>
      <c r="Y434" s="767">
        <f>W434*X434/100</f>
        <v>214.34375</v>
      </c>
      <c r="Z434" s="768">
        <v>0.2</v>
      </c>
      <c r="AA434" s="769">
        <f>W434*Z434/100</f>
        <v>112.8125</v>
      </c>
      <c r="AB434" s="782">
        <v>19050172</v>
      </c>
      <c r="AC434" s="772">
        <v>22500</v>
      </c>
      <c r="AD434" s="773">
        <f t="shared" si="109"/>
        <v>1575</v>
      </c>
      <c r="AE434" s="773">
        <f t="shared" si="110"/>
        <v>24075</v>
      </c>
      <c r="AF434" s="774">
        <v>43595</v>
      </c>
      <c r="AG434" s="770"/>
      <c r="AH434" s="770"/>
      <c r="AI434" s="770" t="s">
        <v>869</v>
      </c>
      <c r="AJ434" s="754" t="s">
        <v>2002</v>
      </c>
      <c r="AK434" s="777">
        <v>1</v>
      </c>
      <c r="AL434" s="778" t="s">
        <v>833</v>
      </c>
      <c r="AM434" s="779"/>
      <c r="AN434" s="779" t="s">
        <v>869</v>
      </c>
      <c r="AO434" s="780">
        <v>2</v>
      </c>
      <c r="AP434" s="781" t="s">
        <v>634</v>
      </c>
      <c r="AQ434" s="777"/>
      <c r="AR434" s="784"/>
      <c r="AS434" s="777"/>
      <c r="AT434" s="777"/>
      <c r="AU434" s="777"/>
      <c r="AV434" s="784"/>
      <c r="AW434" s="777"/>
      <c r="AX434" s="784"/>
      <c r="AY434" s="777"/>
      <c r="AZ434" s="777"/>
      <c r="BA434" s="777"/>
      <c r="BB434" s="784"/>
      <c r="BC434" s="777"/>
      <c r="BD434" s="784"/>
      <c r="BE434" s="777"/>
      <c r="BF434" s="777"/>
      <c r="BG434" s="777"/>
      <c r="BH434" s="784"/>
      <c r="BI434" s="777"/>
      <c r="BJ434" s="784"/>
      <c r="BK434" s="777"/>
      <c r="BL434" s="777"/>
      <c r="BM434" s="777"/>
      <c r="BN434" s="784"/>
      <c r="BO434" s="777"/>
      <c r="BP434" s="784"/>
      <c r="BQ434" s="777"/>
      <c r="BR434" s="777"/>
      <c r="BS434" s="777"/>
      <c r="BT434" s="784"/>
      <c r="BU434" s="777"/>
      <c r="BV434" s="784"/>
      <c r="BW434" s="777"/>
      <c r="BX434" s="777"/>
      <c r="BY434" s="777"/>
      <c r="BZ434" s="784"/>
      <c r="CA434" s="777"/>
      <c r="CB434" s="784"/>
      <c r="CC434" s="777"/>
      <c r="CD434" s="777"/>
      <c r="CE434" s="777"/>
      <c r="CF434" s="777"/>
    </row>
    <row r="435" spans="1:84" s="95" customFormat="1" x14ac:dyDescent="0.5">
      <c r="A435" s="785"/>
      <c r="B435" s="786"/>
      <c r="C435" s="787"/>
      <c r="D435" s="788"/>
      <c r="E435" s="907"/>
      <c r="F435" s="944"/>
      <c r="G435" s="945"/>
      <c r="H435" s="786"/>
      <c r="I435" s="789"/>
      <c r="J435" s="968"/>
      <c r="K435" s="802"/>
      <c r="L435" s="786"/>
      <c r="M435" s="790"/>
      <c r="N435" s="786"/>
      <c r="O435" s="791"/>
      <c r="P435" s="791"/>
      <c r="Q435" s="791"/>
      <c r="R435" s="794"/>
      <c r="S435" s="924" t="s">
        <v>1310</v>
      </c>
      <c r="T435" s="925">
        <f>O434</f>
        <v>75000</v>
      </c>
      <c r="U435" s="926" t="s">
        <v>1994</v>
      </c>
      <c r="V435" s="927">
        <v>2968.75</v>
      </c>
      <c r="W435" s="797"/>
      <c r="X435" s="798"/>
      <c r="Y435" s="798"/>
      <c r="Z435" s="799"/>
      <c r="AA435" s="800"/>
      <c r="AB435" s="802">
        <v>19050173</v>
      </c>
      <c r="AC435" s="838">
        <v>52500</v>
      </c>
      <c r="AD435" s="839">
        <f t="shared" si="109"/>
        <v>3675</v>
      </c>
      <c r="AE435" s="839">
        <f t="shared" si="110"/>
        <v>56175</v>
      </c>
      <c r="AF435" s="840">
        <v>43595</v>
      </c>
      <c r="AG435" s="801"/>
      <c r="AH435" s="801"/>
      <c r="AI435" s="801" t="s">
        <v>869</v>
      </c>
      <c r="AJ435" s="928" t="s">
        <v>2003</v>
      </c>
      <c r="AK435" s="806"/>
      <c r="AL435" s="807"/>
      <c r="AM435" s="808"/>
      <c r="AN435" s="808"/>
      <c r="AO435" s="809"/>
      <c r="AP435" s="810"/>
      <c r="AQ435" s="806"/>
      <c r="AR435" s="812"/>
      <c r="AS435" s="806"/>
      <c r="AT435" s="806"/>
      <c r="AU435" s="806"/>
      <c r="AV435" s="812"/>
      <c r="AW435" s="806"/>
      <c r="AX435" s="812"/>
      <c r="AY435" s="806"/>
      <c r="AZ435" s="806"/>
      <c r="BA435" s="806"/>
      <c r="BB435" s="812"/>
      <c r="BC435" s="806"/>
      <c r="BD435" s="812"/>
      <c r="BE435" s="806"/>
      <c r="BF435" s="806"/>
      <c r="BG435" s="806"/>
      <c r="BH435" s="812"/>
      <c r="BI435" s="806"/>
      <c r="BJ435" s="812"/>
      <c r="BK435" s="806"/>
      <c r="BL435" s="806"/>
      <c r="BM435" s="806"/>
      <c r="BN435" s="812"/>
      <c r="BO435" s="806"/>
      <c r="BP435" s="812"/>
      <c r="BQ435" s="806"/>
      <c r="BR435" s="806"/>
      <c r="BS435" s="806"/>
      <c r="BT435" s="812"/>
      <c r="BU435" s="806"/>
      <c r="BV435" s="812"/>
      <c r="BW435" s="806"/>
      <c r="BX435" s="806"/>
      <c r="BY435" s="806"/>
      <c r="BZ435" s="812"/>
      <c r="CA435" s="806"/>
      <c r="CB435" s="812"/>
      <c r="CC435" s="806"/>
      <c r="CD435" s="806"/>
      <c r="CE435" s="806"/>
      <c r="CF435" s="806"/>
    </row>
    <row r="436" spans="1:84" x14ac:dyDescent="0.5">
      <c r="A436" s="259">
        <v>19046201</v>
      </c>
      <c r="B436" s="104">
        <v>19040397</v>
      </c>
      <c r="C436" s="105" t="s">
        <v>1378</v>
      </c>
      <c r="D436" s="106" t="s">
        <v>1323</v>
      </c>
      <c r="E436" s="302">
        <v>43676</v>
      </c>
      <c r="F436" s="946" t="s">
        <v>3368</v>
      </c>
      <c r="G436" s="947" t="s">
        <v>1360</v>
      </c>
      <c r="H436" s="211">
        <v>43846</v>
      </c>
      <c r="I436" s="164">
        <v>63015</v>
      </c>
      <c r="J436" s="960"/>
      <c r="K436" s="965">
        <v>43848</v>
      </c>
      <c r="L436" s="104" t="s">
        <v>1976</v>
      </c>
      <c r="M436" s="110" t="s">
        <v>1977</v>
      </c>
      <c r="N436" s="104" t="s">
        <v>1700</v>
      </c>
      <c r="O436" s="111">
        <v>149200</v>
      </c>
      <c r="P436" s="111">
        <f>O436*7/100</f>
        <v>10444</v>
      </c>
      <c r="Q436" s="111">
        <f>O436+P436</f>
        <v>159644</v>
      </c>
      <c r="R436" s="212"/>
      <c r="S436" s="165"/>
      <c r="T436" s="166"/>
      <c r="U436" s="167"/>
      <c r="V436" s="168"/>
      <c r="W436" s="117">
        <f>O436</f>
        <v>149200</v>
      </c>
      <c r="X436" s="118">
        <v>0.38</v>
      </c>
      <c r="Y436" s="118">
        <f>W436*X436/100</f>
        <v>566.96</v>
      </c>
      <c r="Z436" s="119">
        <v>0.2</v>
      </c>
      <c r="AA436" s="120">
        <f>W436*Z436/100</f>
        <v>298.39999999999998</v>
      </c>
      <c r="AB436" s="229">
        <v>19110477</v>
      </c>
      <c r="AC436" s="230">
        <v>44760</v>
      </c>
      <c r="AD436" s="220">
        <f t="shared" si="109"/>
        <v>3133.2</v>
      </c>
      <c r="AE436" s="220">
        <f t="shared" si="110"/>
        <v>47893.2</v>
      </c>
      <c r="AF436" s="221">
        <v>43787</v>
      </c>
      <c r="AG436" s="121" t="s">
        <v>869</v>
      </c>
      <c r="AH436" s="121"/>
      <c r="AI436" s="121"/>
      <c r="AJ436" s="222" t="s">
        <v>3330</v>
      </c>
      <c r="AK436" s="128">
        <v>1</v>
      </c>
      <c r="AL436" s="129" t="s">
        <v>1162</v>
      </c>
      <c r="AM436" s="130"/>
      <c r="AN436" s="130" t="s">
        <v>869</v>
      </c>
      <c r="AO436" s="131">
        <v>4</v>
      </c>
      <c r="AP436" s="132" t="s">
        <v>634</v>
      </c>
      <c r="AQ436" s="128">
        <v>2</v>
      </c>
      <c r="AR436" s="123" t="s">
        <v>1978</v>
      </c>
      <c r="AS436" s="131"/>
      <c r="AT436" s="131" t="s">
        <v>869</v>
      </c>
      <c r="AU436" s="131">
        <v>4</v>
      </c>
      <c r="AV436" s="169" t="s">
        <v>634</v>
      </c>
      <c r="AW436" s="128"/>
      <c r="AX436" s="133"/>
      <c r="AY436" s="128"/>
      <c r="AZ436" s="128"/>
      <c r="BA436" s="128"/>
      <c r="BB436" s="133"/>
      <c r="BC436" s="128"/>
      <c r="BD436" s="133"/>
      <c r="BE436" s="128"/>
      <c r="BF436" s="128"/>
      <c r="BG436" s="128"/>
      <c r="BH436" s="133"/>
      <c r="BI436" s="128"/>
      <c r="BJ436" s="133"/>
      <c r="BK436" s="128"/>
      <c r="BL436" s="128"/>
      <c r="BM436" s="128"/>
      <c r="BN436" s="133"/>
      <c r="BO436" s="128"/>
      <c r="BP436" s="133"/>
      <c r="BQ436" s="128"/>
      <c r="BR436" s="128"/>
      <c r="BS436" s="128"/>
      <c r="BT436" s="133"/>
      <c r="BU436" s="128"/>
      <c r="BV436" s="133"/>
      <c r="BW436" s="128"/>
      <c r="BX436" s="128"/>
      <c r="BY436" s="128"/>
      <c r="BZ436" s="133"/>
      <c r="CA436" s="128"/>
      <c r="CB436" s="133"/>
      <c r="CC436" s="128"/>
      <c r="CD436" s="128"/>
      <c r="CE436" s="128"/>
      <c r="CF436" s="128"/>
    </row>
    <row r="437" spans="1:84" x14ac:dyDescent="0.5">
      <c r="A437" s="262"/>
      <c r="B437" s="135"/>
      <c r="C437" s="136"/>
      <c r="D437" s="137"/>
      <c r="E437" s="906"/>
      <c r="F437" s="940" t="s">
        <v>3368</v>
      </c>
      <c r="G437" s="941" t="s">
        <v>1431</v>
      </c>
      <c r="H437" s="179">
        <v>43871</v>
      </c>
      <c r="I437" s="140">
        <v>63042</v>
      </c>
      <c r="J437" s="963" t="s">
        <v>869</v>
      </c>
      <c r="K437" s="972">
        <v>43872</v>
      </c>
      <c r="L437" s="135"/>
      <c r="M437" s="141"/>
      <c r="N437" s="135"/>
      <c r="O437" s="142"/>
      <c r="P437" s="142"/>
      <c r="Q437" s="142"/>
      <c r="R437" s="213"/>
      <c r="S437" s="172"/>
      <c r="T437" s="173"/>
      <c r="U437" s="174"/>
      <c r="V437" s="175"/>
      <c r="W437" s="148"/>
      <c r="X437" s="149"/>
      <c r="Y437" s="149"/>
      <c r="Z437" s="150"/>
      <c r="AA437" s="151"/>
      <c r="AB437" s="154">
        <v>20010011</v>
      </c>
      <c r="AC437" s="155">
        <v>104440</v>
      </c>
      <c r="AD437" s="156">
        <f>AC437*7/100</f>
        <v>7310.8</v>
      </c>
      <c r="AE437" s="156">
        <f>AC437+AD437</f>
        <v>111750.8</v>
      </c>
      <c r="AF437" s="157">
        <v>43844</v>
      </c>
      <c r="AG437" s="152" t="s">
        <v>869</v>
      </c>
      <c r="AH437" s="152"/>
      <c r="AI437" s="152"/>
      <c r="AJ437" s="134" t="s">
        <v>3623</v>
      </c>
      <c r="AK437" s="158"/>
      <c r="AL437" s="159"/>
      <c r="AM437" s="160"/>
      <c r="AN437" s="160"/>
      <c r="AO437" s="161"/>
      <c r="AP437" s="162"/>
      <c r="AQ437" s="158"/>
      <c r="AR437" s="154"/>
      <c r="AS437" s="161"/>
      <c r="AT437" s="161"/>
      <c r="AU437" s="161"/>
      <c r="AV437" s="177"/>
      <c r="AW437" s="158"/>
      <c r="AX437" s="163"/>
      <c r="AY437" s="158"/>
      <c r="AZ437" s="158"/>
      <c r="BA437" s="158"/>
      <c r="BB437" s="163"/>
      <c r="BC437" s="158"/>
      <c r="BD437" s="163"/>
      <c r="BE437" s="158"/>
      <c r="BF437" s="158"/>
      <c r="BG437" s="158"/>
      <c r="BH437" s="163"/>
      <c r="BI437" s="158"/>
      <c r="BJ437" s="163"/>
      <c r="BK437" s="158"/>
      <c r="BL437" s="158"/>
      <c r="BM437" s="158"/>
      <c r="BN437" s="163"/>
      <c r="BO437" s="158"/>
      <c r="BP437" s="163"/>
      <c r="BQ437" s="158"/>
      <c r="BR437" s="158"/>
      <c r="BS437" s="158"/>
      <c r="BT437" s="163"/>
      <c r="BU437" s="158"/>
      <c r="BV437" s="163"/>
      <c r="BW437" s="158"/>
      <c r="BX437" s="158"/>
      <c r="BY437" s="158"/>
      <c r="BZ437" s="163"/>
      <c r="CA437" s="158"/>
      <c r="CB437" s="163"/>
      <c r="CC437" s="158"/>
      <c r="CD437" s="158"/>
      <c r="CE437" s="158"/>
      <c r="CF437" s="158"/>
    </row>
    <row r="438" spans="1:84" x14ac:dyDescent="0.5">
      <c r="A438" s="259">
        <v>19046200</v>
      </c>
      <c r="B438" s="104">
        <v>19040398</v>
      </c>
      <c r="C438" s="242"/>
      <c r="D438" s="243"/>
      <c r="E438" s="912"/>
      <c r="F438" s="244"/>
      <c r="G438" s="245"/>
      <c r="H438" s="246"/>
      <c r="I438" s="247"/>
      <c r="J438" s="306"/>
      <c r="K438" s="246"/>
      <c r="L438" s="104" t="s">
        <v>74</v>
      </c>
      <c r="M438" s="110" t="s">
        <v>1979</v>
      </c>
      <c r="N438" s="104" t="s">
        <v>51</v>
      </c>
      <c r="O438" s="111">
        <v>18650</v>
      </c>
      <c r="P438" s="111">
        <f>O438*7/100</f>
        <v>1305.5</v>
      </c>
      <c r="Q438" s="111">
        <f>O438+P438</f>
        <v>19955.5</v>
      </c>
      <c r="R438" s="212"/>
      <c r="S438" s="165"/>
      <c r="T438" s="166"/>
      <c r="U438" s="167"/>
      <c r="V438" s="168"/>
      <c r="W438" s="231"/>
      <c r="X438" s="168"/>
      <c r="Y438" s="168"/>
      <c r="Z438" s="231"/>
      <c r="AA438" s="232"/>
      <c r="AB438" s="771">
        <v>19050186</v>
      </c>
      <c r="AC438" s="819">
        <v>18650</v>
      </c>
      <c r="AD438" s="821">
        <f t="shared" si="109"/>
        <v>1305.5</v>
      </c>
      <c r="AE438" s="821">
        <f t="shared" si="110"/>
        <v>19955.5</v>
      </c>
      <c r="AF438" s="822">
        <v>43645</v>
      </c>
      <c r="AG438" s="775"/>
      <c r="AH438" s="775"/>
      <c r="AI438" s="775" t="s">
        <v>869</v>
      </c>
      <c r="AJ438" s="776"/>
      <c r="AK438" s="128">
        <v>1</v>
      </c>
      <c r="AL438" s="129" t="s">
        <v>1980</v>
      </c>
      <c r="AM438" s="130"/>
      <c r="AN438" s="130"/>
      <c r="AO438" s="131">
        <v>1</v>
      </c>
      <c r="AP438" s="132" t="s">
        <v>628</v>
      </c>
      <c r="AQ438" s="128">
        <v>2</v>
      </c>
      <c r="AR438" s="123" t="s">
        <v>1719</v>
      </c>
      <c r="AS438" s="131"/>
      <c r="AT438" s="131"/>
      <c r="AU438" s="131">
        <v>1</v>
      </c>
      <c r="AV438" s="169" t="s">
        <v>628</v>
      </c>
      <c r="AW438" s="128"/>
      <c r="AX438" s="133"/>
      <c r="AY438" s="128"/>
      <c r="AZ438" s="128"/>
      <c r="BA438" s="128"/>
      <c r="BB438" s="133"/>
      <c r="BC438" s="128"/>
      <c r="BD438" s="133"/>
      <c r="BE438" s="128"/>
      <c r="BF438" s="128"/>
      <c r="BG438" s="128"/>
      <c r="BH438" s="133"/>
      <c r="BI438" s="128"/>
      <c r="BJ438" s="133"/>
      <c r="BK438" s="128"/>
      <c r="BL438" s="128"/>
      <c r="BM438" s="128"/>
      <c r="BN438" s="133"/>
      <c r="BO438" s="128"/>
      <c r="BP438" s="133"/>
      <c r="BQ438" s="128"/>
      <c r="BR438" s="128"/>
      <c r="BS438" s="128"/>
      <c r="BT438" s="133"/>
      <c r="BU438" s="128"/>
      <c r="BV438" s="133"/>
      <c r="BW438" s="128"/>
      <c r="BX438" s="128"/>
      <c r="BY438" s="128"/>
      <c r="BZ438" s="133"/>
      <c r="CA438" s="128"/>
      <c r="CB438" s="133"/>
      <c r="CC438" s="128"/>
      <c r="CD438" s="128"/>
      <c r="CE438" s="128"/>
      <c r="CF438" s="128"/>
    </row>
    <row r="439" spans="1:84" x14ac:dyDescent="0.5">
      <c r="A439" s="262"/>
      <c r="B439" s="135"/>
      <c r="C439" s="276"/>
      <c r="D439" s="277"/>
      <c r="E439" s="1054"/>
      <c r="F439" s="278"/>
      <c r="G439" s="279"/>
      <c r="H439" s="280"/>
      <c r="I439" s="281"/>
      <c r="J439" s="836"/>
      <c r="K439" s="280"/>
      <c r="L439" s="135"/>
      <c r="M439" s="141"/>
      <c r="N439" s="135"/>
      <c r="O439" s="142"/>
      <c r="P439" s="142"/>
      <c r="Q439" s="142"/>
      <c r="R439" s="213"/>
      <c r="S439" s="172"/>
      <c r="T439" s="173"/>
      <c r="U439" s="174"/>
      <c r="V439" s="175"/>
      <c r="W439" s="282"/>
      <c r="X439" s="175"/>
      <c r="Y439" s="175"/>
      <c r="Z439" s="282"/>
      <c r="AA439" s="283"/>
      <c r="AB439" s="154" t="s">
        <v>3186</v>
      </c>
      <c r="AC439" s="155">
        <v>18650</v>
      </c>
      <c r="AD439" s="156">
        <f>AC439*7/100</f>
        <v>1305.5</v>
      </c>
      <c r="AE439" s="156">
        <f>AC439+AD439</f>
        <v>19955.5</v>
      </c>
      <c r="AF439" s="157">
        <v>43798</v>
      </c>
      <c r="AG439" s="152" t="s">
        <v>869</v>
      </c>
      <c r="AH439" s="152"/>
      <c r="AI439" s="152"/>
      <c r="AJ439" s="134" t="s">
        <v>3613</v>
      </c>
      <c r="AK439" s="158"/>
      <c r="AL439" s="159"/>
      <c r="AM439" s="160"/>
      <c r="AN439" s="160"/>
      <c r="AO439" s="161"/>
      <c r="AP439" s="162"/>
      <c r="AQ439" s="158"/>
      <c r="AR439" s="154"/>
      <c r="AS439" s="161"/>
      <c r="AT439" s="161"/>
      <c r="AU439" s="161"/>
      <c r="AV439" s="177"/>
      <c r="AW439" s="158"/>
      <c r="AX439" s="163"/>
      <c r="AY439" s="158"/>
      <c r="AZ439" s="158"/>
      <c r="BA439" s="158"/>
      <c r="BB439" s="163"/>
      <c r="BC439" s="158"/>
      <c r="BD439" s="163"/>
      <c r="BE439" s="158"/>
      <c r="BF439" s="158"/>
      <c r="BG439" s="158"/>
      <c r="BH439" s="163"/>
      <c r="BI439" s="158"/>
      <c r="BJ439" s="163"/>
      <c r="BK439" s="158"/>
      <c r="BL439" s="158"/>
      <c r="BM439" s="158"/>
      <c r="BN439" s="163"/>
      <c r="BO439" s="158"/>
      <c r="BP439" s="163"/>
      <c r="BQ439" s="158"/>
      <c r="BR439" s="158"/>
      <c r="BS439" s="158"/>
      <c r="BT439" s="163"/>
      <c r="BU439" s="158"/>
      <c r="BV439" s="163"/>
      <c r="BW439" s="158"/>
      <c r="BX439" s="158"/>
      <c r="BY439" s="158"/>
      <c r="BZ439" s="163"/>
      <c r="CA439" s="158"/>
      <c r="CB439" s="163"/>
      <c r="CC439" s="158"/>
      <c r="CD439" s="158"/>
      <c r="CE439" s="158"/>
      <c r="CF439" s="158"/>
    </row>
    <row r="440" spans="1:84" x14ac:dyDescent="0.5">
      <c r="A440" s="259">
        <v>19046199</v>
      </c>
      <c r="B440" s="104">
        <v>19040396</v>
      </c>
      <c r="C440" s="105" t="s">
        <v>1379</v>
      </c>
      <c r="D440" s="106" t="s">
        <v>1323</v>
      </c>
      <c r="E440" s="302">
        <v>43636</v>
      </c>
      <c r="F440" s="936" t="s">
        <v>1324</v>
      </c>
      <c r="G440" s="937" t="s">
        <v>2493</v>
      </c>
      <c r="H440" s="211">
        <v>43690</v>
      </c>
      <c r="I440" s="164">
        <v>19234</v>
      </c>
      <c r="J440" s="960" t="s">
        <v>869</v>
      </c>
      <c r="K440" s="965">
        <v>43692</v>
      </c>
      <c r="L440" s="104" t="s">
        <v>1981</v>
      </c>
      <c r="M440" s="110" t="s">
        <v>1982</v>
      </c>
      <c r="N440" s="104" t="s">
        <v>50</v>
      </c>
      <c r="O440" s="111">
        <v>321600</v>
      </c>
      <c r="P440" s="111">
        <f>O440*7/100</f>
        <v>22512</v>
      </c>
      <c r="Q440" s="111">
        <f>O440+P440</f>
        <v>344112</v>
      </c>
      <c r="R440" s="212"/>
      <c r="S440" s="165"/>
      <c r="T440" s="166"/>
      <c r="U440" s="167"/>
      <c r="V440" s="168"/>
      <c r="W440" s="117">
        <f>O440</f>
        <v>321600</v>
      </c>
      <c r="X440" s="118">
        <v>0.42</v>
      </c>
      <c r="Y440" s="118">
        <f>W440*X440/100</f>
        <v>1350.72</v>
      </c>
      <c r="Z440" s="119">
        <v>0.2</v>
      </c>
      <c r="AA440" s="120">
        <f>W440*Z440/100</f>
        <v>643.20000000000005</v>
      </c>
      <c r="AB440" s="229">
        <v>19060215</v>
      </c>
      <c r="AC440" s="230">
        <v>96480</v>
      </c>
      <c r="AD440" s="233">
        <f t="shared" si="109"/>
        <v>6753.6</v>
      </c>
      <c r="AE440" s="233">
        <f t="shared" si="110"/>
        <v>103233.60000000001</v>
      </c>
      <c r="AF440" s="221">
        <v>43636</v>
      </c>
      <c r="AG440" s="121" t="s">
        <v>869</v>
      </c>
      <c r="AH440" s="121"/>
      <c r="AI440" s="121"/>
      <c r="AJ440" s="222" t="s">
        <v>2347</v>
      </c>
      <c r="AK440" s="128">
        <v>1</v>
      </c>
      <c r="AL440" s="129" t="s">
        <v>1983</v>
      </c>
      <c r="AM440" s="130" t="s">
        <v>869</v>
      </c>
      <c r="AN440" s="130"/>
      <c r="AO440" s="131">
        <v>2</v>
      </c>
      <c r="AP440" s="132" t="s">
        <v>636</v>
      </c>
      <c r="AQ440" s="128"/>
      <c r="AR440" s="133"/>
      <c r="AS440" s="128"/>
      <c r="AT440" s="128"/>
      <c r="AU440" s="128"/>
      <c r="AV440" s="133"/>
      <c r="AW440" s="128"/>
      <c r="AX440" s="133"/>
      <c r="AY440" s="128"/>
      <c r="AZ440" s="128"/>
      <c r="BA440" s="128"/>
      <c r="BB440" s="133"/>
      <c r="BC440" s="128"/>
      <c r="BD440" s="133"/>
      <c r="BE440" s="128"/>
      <c r="BF440" s="128"/>
      <c r="BG440" s="128"/>
      <c r="BH440" s="133"/>
      <c r="BI440" s="128"/>
      <c r="BJ440" s="133"/>
      <c r="BK440" s="128"/>
      <c r="BL440" s="128"/>
      <c r="BM440" s="128"/>
      <c r="BN440" s="133"/>
      <c r="BO440" s="128"/>
      <c r="BP440" s="133"/>
      <c r="BQ440" s="128"/>
      <c r="BR440" s="128"/>
      <c r="BS440" s="128"/>
      <c r="BT440" s="133"/>
      <c r="BU440" s="128"/>
      <c r="BV440" s="133"/>
      <c r="BW440" s="128"/>
      <c r="BX440" s="128"/>
      <c r="BY440" s="128"/>
      <c r="BZ440" s="133"/>
      <c r="CA440" s="128"/>
      <c r="CB440" s="133"/>
      <c r="CC440" s="128"/>
      <c r="CD440" s="128"/>
      <c r="CE440" s="128"/>
      <c r="CF440" s="128"/>
    </row>
    <row r="441" spans="1:84" x14ac:dyDescent="0.5">
      <c r="A441" s="262"/>
      <c r="B441" s="135"/>
      <c r="C441" s="136"/>
      <c r="D441" s="137"/>
      <c r="E441" s="906"/>
      <c r="F441" s="940"/>
      <c r="G441" s="941"/>
      <c r="H441" s="179">
        <v>43690</v>
      </c>
      <c r="I441" s="140">
        <v>19235</v>
      </c>
      <c r="J441" s="963"/>
      <c r="K441" s="154"/>
      <c r="L441" s="135"/>
      <c r="M441" s="141"/>
      <c r="N441" s="135"/>
      <c r="O441" s="142"/>
      <c r="P441" s="142"/>
      <c r="Q441" s="142"/>
      <c r="R441" s="213"/>
      <c r="S441" s="172"/>
      <c r="T441" s="173"/>
      <c r="U441" s="174"/>
      <c r="V441" s="175"/>
      <c r="W441" s="148"/>
      <c r="X441" s="149"/>
      <c r="Y441" s="149"/>
      <c r="Z441" s="150"/>
      <c r="AA441" s="151"/>
      <c r="AB441" s="154">
        <v>19070248</v>
      </c>
      <c r="AC441" s="155">
        <v>225120</v>
      </c>
      <c r="AD441" s="253">
        <f t="shared" si="109"/>
        <v>15758.4</v>
      </c>
      <c r="AE441" s="253">
        <f t="shared" si="110"/>
        <v>240878.4</v>
      </c>
      <c r="AF441" s="157">
        <v>43661</v>
      </c>
      <c r="AG441" s="152" t="s">
        <v>869</v>
      </c>
      <c r="AH441" s="152"/>
      <c r="AI441" s="152"/>
      <c r="AJ441" s="842" t="s">
        <v>2847</v>
      </c>
      <c r="AK441" s="158"/>
      <c r="AL441" s="159"/>
      <c r="AM441" s="160"/>
      <c r="AN441" s="160"/>
      <c r="AO441" s="161"/>
      <c r="AP441" s="162"/>
      <c r="AQ441" s="158"/>
      <c r="AR441" s="163"/>
      <c r="AS441" s="158"/>
      <c r="AT441" s="158"/>
      <c r="AU441" s="158"/>
      <c r="AV441" s="163"/>
      <c r="AW441" s="158"/>
      <c r="AX441" s="163"/>
      <c r="AY441" s="158"/>
      <c r="AZ441" s="158"/>
      <c r="BA441" s="158"/>
      <c r="BB441" s="163"/>
      <c r="BC441" s="158"/>
      <c r="BD441" s="163"/>
      <c r="BE441" s="158"/>
      <c r="BF441" s="158"/>
      <c r="BG441" s="158"/>
      <c r="BH441" s="163"/>
      <c r="BI441" s="158"/>
      <c r="BJ441" s="163"/>
      <c r="BK441" s="158"/>
      <c r="BL441" s="158"/>
      <c r="BM441" s="158"/>
      <c r="BN441" s="163"/>
      <c r="BO441" s="158"/>
      <c r="BP441" s="163"/>
      <c r="BQ441" s="158"/>
      <c r="BR441" s="158"/>
      <c r="BS441" s="158"/>
      <c r="BT441" s="163"/>
      <c r="BU441" s="158"/>
      <c r="BV441" s="163"/>
      <c r="BW441" s="158"/>
      <c r="BX441" s="158"/>
      <c r="BY441" s="158"/>
      <c r="BZ441" s="163"/>
      <c r="CA441" s="158"/>
      <c r="CB441" s="163"/>
      <c r="CC441" s="158"/>
      <c r="CD441" s="158"/>
      <c r="CE441" s="158"/>
      <c r="CF441" s="158"/>
    </row>
    <row r="442" spans="1:84" s="95" customFormat="1" x14ac:dyDescent="0.5">
      <c r="A442" s="754">
        <v>19046198</v>
      </c>
      <c r="B442" s="755">
        <v>19030280</v>
      </c>
      <c r="C442" s="756" t="s">
        <v>1380</v>
      </c>
      <c r="D442" s="757" t="s">
        <v>1323</v>
      </c>
      <c r="E442" s="899">
        <v>43610</v>
      </c>
      <c r="F442" s="942"/>
      <c r="G442" s="943"/>
      <c r="H442" s="755"/>
      <c r="I442" s="758"/>
      <c r="J442" s="967"/>
      <c r="K442" s="782"/>
      <c r="L442" s="755" t="s">
        <v>1984</v>
      </c>
      <c r="M442" s="759" t="s">
        <v>1985</v>
      </c>
      <c r="N442" s="755" t="s">
        <v>1523</v>
      </c>
      <c r="O442" s="760">
        <v>897000</v>
      </c>
      <c r="P442" s="760">
        <f>O442*7/100</f>
        <v>62790</v>
      </c>
      <c r="Q442" s="760">
        <f>O442+P442</f>
        <v>959790</v>
      </c>
      <c r="R442" s="1035"/>
      <c r="S442" s="920" t="s">
        <v>1993</v>
      </c>
      <c r="T442" s="921">
        <f>O442</f>
        <v>897000</v>
      </c>
      <c r="U442" s="922" t="s">
        <v>1994</v>
      </c>
      <c r="V442" s="923">
        <v>186875</v>
      </c>
      <c r="W442" s="1036">
        <f>T442-V442-V443</f>
        <v>674618.75</v>
      </c>
      <c r="X442" s="1037">
        <v>0.37</v>
      </c>
      <c r="Y442" s="1037">
        <f>W442*X442/100</f>
        <v>2496.089375</v>
      </c>
      <c r="Z442" s="1038">
        <v>0.2</v>
      </c>
      <c r="AA442" s="1039">
        <f>W442*Z442/100</f>
        <v>1349.2375</v>
      </c>
      <c r="AB442" s="782"/>
      <c r="AC442" s="772"/>
      <c r="AD442" s="1040"/>
      <c r="AE442" s="1040"/>
      <c r="AF442" s="1041"/>
      <c r="AG442" s="770"/>
      <c r="AH442" s="770"/>
      <c r="AI442" s="770"/>
      <c r="AJ442" s="754"/>
      <c r="AK442" s="777">
        <v>1</v>
      </c>
      <c r="AL442" s="778" t="s">
        <v>631</v>
      </c>
      <c r="AM442" s="779" t="s">
        <v>869</v>
      </c>
      <c r="AN442" s="779"/>
      <c r="AO442" s="780">
        <v>2</v>
      </c>
      <c r="AP442" s="781" t="s">
        <v>636</v>
      </c>
      <c r="AQ442" s="777">
        <v>2</v>
      </c>
      <c r="AR442" s="782" t="s">
        <v>1986</v>
      </c>
      <c r="AS442" s="780" t="s">
        <v>869</v>
      </c>
      <c r="AT442" s="780"/>
      <c r="AU442" s="780">
        <v>2</v>
      </c>
      <c r="AV442" s="783" t="s">
        <v>636</v>
      </c>
      <c r="AW442" s="777">
        <v>3</v>
      </c>
      <c r="AX442" s="782" t="s">
        <v>784</v>
      </c>
      <c r="AY442" s="780"/>
      <c r="AZ442" s="780" t="s">
        <v>869</v>
      </c>
      <c r="BA442" s="780">
        <v>8</v>
      </c>
      <c r="BB442" s="783" t="s">
        <v>634</v>
      </c>
      <c r="BC442" s="777"/>
      <c r="BD442" s="784"/>
      <c r="BE442" s="777"/>
      <c r="BF442" s="777"/>
      <c r="BG442" s="777"/>
      <c r="BH442" s="784"/>
      <c r="BI442" s="777"/>
      <c r="BJ442" s="784"/>
      <c r="BK442" s="777"/>
      <c r="BL442" s="777"/>
      <c r="BM442" s="777"/>
      <c r="BN442" s="784"/>
      <c r="BO442" s="777"/>
      <c r="BP442" s="784"/>
      <c r="BQ442" s="777"/>
      <c r="BR442" s="777"/>
      <c r="BS442" s="777"/>
      <c r="BT442" s="784"/>
      <c r="BU442" s="777"/>
      <c r="BV442" s="784"/>
      <c r="BW442" s="777"/>
      <c r="BX442" s="777"/>
      <c r="BY442" s="777"/>
      <c r="BZ442" s="784"/>
      <c r="CA442" s="777"/>
      <c r="CB442" s="784"/>
      <c r="CC442" s="777"/>
      <c r="CD442" s="777"/>
      <c r="CE442" s="777"/>
      <c r="CF442" s="777"/>
    </row>
    <row r="443" spans="1:84" s="95" customFormat="1" x14ac:dyDescent="0.5">
      <c r="A443" s="785"/>
      <c r="B443" s="786"/>
      <c r="C443" s="787"/>
      <c r="D443" s="788"/>
      <c r="E443" s="907"/>
      <c r="F443" s="944"/>
      <c r="G443" s="945"/>
      <c r="H443" s="786"/>
      <c r="I443" s="789"/>
      <c r="J443" s="968"/>
      <c r="K443" s="802"/>
      <c r="L443" s="786"/>
      <c r="M443" s="790"/>
      <c r="N443" s="786"/>
      <c r="O443" s="791"/>
      <c r="P443" s="791"/>
      <c r="Q443" s="791"/>
      <c r="R443" s="1042"/>
      <c r="S443" s="924" t="s">
        <v>1310</v>
      </c>
      <c r="T443" s="925">
        <f>O442</f>
        <v>897000</v>
      </c>
      <c r="U443" s="926" t="s">
        <v>1994</v>
      </c>
      <c r="V443" s="927">
        <v>35506.25</v>
      </c>
      <c r="W443" s="797"/>
      <c r="X443" s="798"/>
      <c r="Y443" s="798"/>
      <c r="Z443" s="799"/>
      <c r="AA443" s="800"/>
      <c r="AB443" s="802"/>
      <c r="AC443" s="838"/>
      <c r="AD443" s="1043"/>
      <c r="AE443" s="1043"/>
      <c r="AF443" s="1044"/>
      <c r="AG443" s="801"/>
      <c r="AH443" s="801"/>
      <c r="AI443" s="801"/>
      <c r="AJ443" s="785"/>
      <c r="AK443" s="806"/>
      <c r="AL443" s="807"/>
      <c r="AM443" s="808"/>
      <c r="AN443" s="808"/>
      <c r="AO443" s="809"/>
      <c r="AP443" s="810"/>
      <c r="AQ443" s="806"/>
      <c r="AR443" s="802"/>
      <c r="AS443" s="809"/>
      <c r="AT443" s="809"/>
      <c r="AU443" s="809"/>
      <c r="AV443" s="811"/>
      <c r="AW443" s="806"/>
      <c r="AX443" s="802"/>
      <c r="AY443" s="809"/>
      <c r="AZ443" s="809"/>
      <c r="BA443" s="809"/>
      <c r="BB443" s="811"/>
      <c r="BC443" s="806"/>
      <c r="BD443" s="812"/>
      <c r="BE443" s="806"/>
      <c r="BF443" s="806"/>
      <c r="BG443" s="806"/>
      <c r="BH443" s="812"/>
      <c r="BI443" s="806"/>
      <c r="BJ443" s="812"/>
      <c r="BK443" s="806"/>
      <c r="BL443" s="806"/>
      <c r="BM443" s="806"/>
      <c r="BN443" s="812"/>
      <c r="BO443" s="806"/>
      <c r="BP443" s="812"/>
      <c r="BQ443" s="806"/>
      <c r="BR443" s="806"/>
      <c r="BS443" s="806"/>
      <c r="BT443" s="812"/>
      <c r="BU443" s="806"/>
      <c r="BV443" s="812"/>
      <c r="BW443" s="806"/>
      <c r="BX443" s="806"/>
      <c r="BY443" s="806"/>
      <c r="BZ443" s="812"/>
      <c r="CA443" s="806"/>
      <c r="CB443" s="812"/>
      <c r="CC443" s="806"/>
      <c r="CD443" s="806"/>
      <c r="CE443" s="806"/>
      <c r="CF443" s="806"/>
    </row>
    <row r="444" spans="1:84" x14ac:dyDescent="0.5">
      <c r="A444" s="259">
        <v>19046197</v>
      </c>
      <c r="B444" s="104">
        <v>19040380</v>
      </c>
      <c r="C444" s="105" t="s">
        <v>1381</v>
      </c>
      <c r="D444" s="106" t="s">
        <v>1323</v>
      </c>
      <c r="E444" s="302">
        <v>43658</v>
      </c>
      <c r="F444" s="936" t="s">
        <v>1324</v>
      </c>
      <c r="G444" s="937" t="s">
        <v>2408</v>
      </c>
      <c r="H444" s="211">
        <v>43684</v>
      </c>
      <c r="I444" s="164">
        <v>19226</v>
      </c>
      <c r="J444" s="960" t="s">
        <v>869</v>
      </c>
      <c r="K444" s="965">
        <v>43685</v>
      </c>
      <c r="L444" s="104" t="s">
        <v>537</v>
      </c>
      <c r="M444" s="110" t="s">
        <v>1987</v>
      </c>
      <c r="N444" s="104" t="s">
        <v>52</v>
      </c>
      <c r="O444" s="111">
        <v>101869.16</v>
      </c>
      <c r="P444" s="111">
        <f>O444*7/100</f>
        <v>7130.8411999999998</v>
      </c>
      <c r="Q444" s="111">
        <f>O444+P444</f>
        <v>109000.0012</v>
      </c>
      <c r="R444" s="311">
        <v>11200</v>
      </c>
      <c r="S444" s="113" t="s">
        <v>568</v>
      </c>
      <c r="T444" s="114">
        <f>O444-R444</f>
        <v>90669.16</v>
      </c>
      <c r="U444" s="115">
        <v>5</v>
      </c>
      <c r="V444" s="116">
        <f>T444*U444/100</f>
        <v>4533.4580000000005</v>
      </c>
      <c r="W444" s="117">
        <f>T444-V444</f>
        <v>86135.702000000005</v>
      </c>
      <c r="X444" s="118">
        <v>0.27</v>
      </c>
      <c r="Y444" s="118">
        <f>W444*X444/100</f>
        <v>232.56639540000003</v>
      </c>
      <c r="Z444" s="119">
        <v>0.2</v>
      </c>
      <c r="AA444" s="120">
        <f>W444*Z444/100</f>
        <v>172.27140399999999</v>
      </c>
      <c r="AB444" s="123">
        <v>19080271</v>
      </c>
      <c r="AC444" s="124">
        <v>101869.16</v>
      </c>
      <c r="AD444" s="125">
        <f>AC444*7/100</f>
        <v>7130.8411999999998</v>
      </c>
      <c r="AE444" s="125">
        <f>AC444+AD444</f>
        <v>109000.0012</v>
      </c>
      <c r="AF444" s="126">
        <v>43690</v>
      </c>
      <c r="AG444" s="127" t="s">
        <v>869</v>
      </c>
      <c r="AH444" s="127"/>
      <c r="AI444" s="127"/>
      <c r="AJ444" s="103" t="s">
        <v>2600</v>
      </c>
      <c r="AK444" s="128">
        <v>1</v>
      </c>
      <c r="AL444" s="129" t="s">
        <v>1988</v>
      </c>
      <c r="AM444" s="130"/>
      <c r="AN444" s="130" t="s">
        <v>869</v>
      </c>
      <c r="AO444" s="131">
        <v>2</v>
      </c>
      <c r="AP444" s="132" t="s">
        <v>634</v>
      </c>
      <c r="AQ444" s="128">
        <v>2</v>
      </c>
      <c r="AR444" s="123" t="s">
        <v>880</v>
      </c>
      <c r="AS444" s="131"/>
      <c r="AT444" s="131" t="s">
        <v>869</v>
      </c>
      <c r="AU444" s="131">
        <v>1</v>
      </c>
      <c r="AV444" s="169" t="s">
        <v>636</v>
      </c>
      <c r="AW444" s="128"/>
      <c r="AX444" s="133"/>
      <c r="AY444" s="128"/>
      <c r="AZ444" s="128"/>
      <c r="BA444" s="128"/>
      <c r="BB444" s="133"/>
      <c r="BC444" s="128"/>
      <c r="BD444" s="133"/>
      <c r="BE444" s="128"/>
      <c r="BF444" s="128"/>
      <c r="BG444" s="128"/>
      <c r="BH444" s="133"/>
      <c r="BI444" s="128"/>
      <c r="BJ444" s="133"/>
      <c r="BK444" s="128"/>
      <c r="BL444" s="128"/>
      <c r="BM444" s="128"/>
      <c r="BN444" s="133"/>
      <c r="BO444" s="128"/>
      <c r="BP444" s="133"/>
      <c r="BQ444" s="128"/>
      <c r="BR444" s="128"/>
      <c r="BS444" s="128"/>
      <c r="BT444" s="133"/>
      <c r="BU444" s="128"/>
      <c r="BV444" s="133"/>
      <c r="BW444" s="128"/>
      <c r="BX444" s="128"/>
      <c r="BY444" s="128"/>
      <c r="BZ444" s="133"/>
      <c r="CA444" s="128"/>
      <c r="CB444" s="133"/>
      <c r="CC444" s="128"/>
      <c r="CD444" s="128"/>
      <c r="CE444" s="128"/>
      <c r="CF444" s="128"/>
    </row>
    <row r="445" spans="1:84" x14ac:dyDescent="0.5">
      <c r="A445" s="262"/>
      <c r="B445" s="135"/>
      <c r="C445" s="136"/>
      <c r="D445" s="137"/>
      <c r="E445" s="906"/>
      <c r="F445" s="940"/>
      <c r="G445" s="941"/>
      <c r="H445" s="179">
        <v>43684</v>
      </c>
      <c r="I445" s="140">
        <v>19227</v>
      </c>
      <c r="J445" s="963"/>
      <c r="K445" s="964"/>
      <c r="L445" s="135"/>
      <c r="M445" s="141"/>
      <c r="N445" s="135"/>
      <c r="O445" s="142"/>
      <c r="P445" s="142"/>
      <c r="Q445" s="142"/>
      <c r="R445" s="143"/>
      <c r="S445" s="144"/>
      <c r="T445" s="145"/>
      <c r="U445" s="146"/>
      <c r="V445" s="147"/>
      <c r="W445" s="148"/>
      <c r="X445" s="149"/>
      <c r="Y445" s="149"/>
      <c r="Z445" s="150"/>
      <c r="AA445" s="151"/>
      <c r="AB445" s="154"/>
      <c r="AC445" s="155"/>
      <c r="AD445" s="255"/>
      <c r="AE445" s="255"/>
      <c r="AF445" s="256"/>
      <c r="AG445" s="152"/>
      <c r="AH445" s="152"/>
      <c r="AI445" s="152"/>
      <c r="AJ445" s="134"/>
      <c r="AK445" s="158"/>
      <c r="AL445" s="159"/>
      <c r="AM445" s="160"/>
      <c r="AN445" s="160"/>
      <c r="AO445" s="161"/>
      <c r="AP445" s="162"/>
      <c r="AQ445" s="158"/>
      <c r="AR445" s="154"/>
      <c r="AS445" s="161"/>
      <c r="AT445" s="161"/>
      <c r="AU445" s="161"/>
      <c r="AV445" s="177"/>
      <c r="AW445" s="158"/>
      <c r="AX445" s="163"/>
      <c r="AY445" s="158"/>
      <c r="AZ445" s="158"/>
      <c r="BA445" s="158"/>
      <c r="BB445" s="163"/>
      <c r="BC445" s="158"/>
      <c r="BD445" s="163"/>
      <c r="BE445" s="158"/>
      <c r="BF445" s="158"/>
      <c r="BG445" s="158"/>
      <c r="BH445" s="163"/>
      <c r="BI445" s="158"/>
      <c r="BJ445" s="163"/>
      <c r="BK445" s="158"/>
      <c r="BL445" s="158"/>
      <c r="BM445" s="158"/>
      <c r="BN445" s="163"/>
      <c r="BO445" s="158"/>
      <c r="BP445" s="163"/>
      <c r="BQ445" s="158"/>
      <c r="BR445" s="158"/>
      <c r="BS445" s="158"/>
      <c r="BT445" s="163"/>
      <c r="BU445" s="158"/>
      <c r="BV445" s="163"/>
      <c r="BW445" s="158"/>
      <c r="BX445" s="158"/>
      <c r="BY445" s="158"/>
      <c r="BZ445" s="163"/>
      <c r="CA445" s="158"/>
      <c r="CB445" s="163"/>
      <c r="CC445" s="158"/>
      <c r="CD445" s="158"/>
      <c r="CE445" s="158"/>
      <c r="CF445" s="158"/>
    </row>
    <row r="446" spans="1:84" x14ac:dyDescent="0.5">
      <c r="A446" s="259">
        <v>19046196</v>
      </c>
      <c r="B446" s="104">
        <v>19040375</v>
      </c>
      <c r="C446" s="105" t="s">
        <v>1382</v>
      </c>
      <c r="D446" s="106" t="s">
        <v>1323</v>
      </c>
      <c r="E446" s="302">
        <v>43588</v>
      </c>
      <c r="F446" s="936" t="s">
        <v>1324</v>
      </c>
      <c r="G446" s="937" t="s">
        <v>1361</v>
      </c>
      <c r="H446" s="122">
        <v>43587</v>
      </c>
      <c r="I446" s="109">
        <v>19125</v>
      </c>
      <c r="J446" s="960" t="s">
        <v>869</v>
      </c>
      <c r="K446" s="965">
        <v>43588</v>
      </c>
      <c r="L446" s="104" t="s">
        <v>1972</v>
      </c>
      <c r="M446" s="110" t="s">
        <v>1973</v>
      </c>
      <c r="N446" s="104" t="s">
        <v>51</v>
      </c>
      <c r="O446" s="111">
        <v>305000</v>
      </c>
      <c r="P446" s="111">
        <f>O446*7/100</f>
        <v>21350</v>
      </c>
      <c r="Q446" s="111">
        <f>O446+P446</f>
        <v>326350</v>
      </c>
      <c r="R446" s="212"/>
      <c r="S446" s="165"/>
      <c r="T446" s="166"/>
      <c r="U446" s="167"/>
      <c r="V446" s="168"/>
      <c r="W446" s="231"/>
      <c r="X446" s="168"/>
      <c r="Y446" s="168"/>
      <c r="Z446" s="231"/>
      <c r="AA446" s="232"/>
      <c r="AB446" s="229">
        <v>19040144</v>
      </c>
      <c r="AC446" s="230">
        <v>61000</v>
      </c>
      <c r="AD446" s="220">
        <f t="shared" ref="AD446:AD456" si="111">AC446*7/100</f>
        <v>4270</v>
      </c>
      <c r="AE446" s="220">
        <f t="shared" ref="AE446:AE456" si="112">AC446+AD446</f>
        <v>65270</v>
      </c>
      <c r="AF446" s="221">
        <v>43582</v>
      </c>
      <c r="AG446" s="121" t="s">
        <v>869</v>
      </c>
      <c r="AH446" s="121"/>
      <c r="AI446" s="121"/>
      <c r="AJ446" s="222" t="s">
        <v>2035</v>
      </c>
      <c r="AK446" s="128">
        <v>1</v>
      </c>
      <c r="AL446" s="129" t="s">
        <v>1992</v>
      </c>
      <c r="AM446" s="130"/>
      <c r="AN446" s="130" t="s">
        <v>869</v>
      </c>
      <c r="AO446" s="131">
        <v>1</v>
      </c>
      <c r="AP446" s="132" t="s">
        <v>634</v>
      </c>
      <c r="AQ446" s="128"/>
      <c r="AR446" s="133"/>
      <c r="AS446" s="128"/>
      <c r="AT446" s="128"/>
      <c r="AU446" s="128"/>
      <c r="AV446" s="133"/>
      <c r="AW446" s="128"/>
      <c r="AX446" s="133"/>
      <c r="AY446" s="128"/>
      <c r="AZ446" s="128"/>
      <c r="BA446" s="128"/>
      <c r="BB446" s="133"/>
      <c r="BC446" s="128"/>
      <c r="BD446" s="133"/>
      <c r="BE446" s="128"/>
      <c r="BF446" s="128"/>
      <c r="BG446" s="128"/>
      <c r="BH446" s="133"/>
      <c r="BI446" s="128"/>
      <c r="BJ446" s="133"/>
      <c r="BK446" s="128"/>
      <c r="BL446" s="128"/>
      <c r="BM446" s="128"/>
      <c r="BN446" s="133"/>
      <c r="BO446" s="128"/>
      <c r="BP446" s="133"/>
      <c r="BQ446" s="128"/>
      <c r="BR446" s="128"/>
      <c r="BS446" s="128"/>
      <c r="BT446" s="133"/>
      <c r="BU446" s="128"/>
      <c r="BV446" s="133"/>
      <c r="BW446" s="128"/>
      <c r="BX446" s="128"/>
      <c r="BY446" s="128"/>
      <c r="BZ446" s="133"/>
      <c r="CA446" s="128"/>
      <c r="CB446" s="133"/>
      <c r="CC446" s="128"/>
      <c r="CD446" s="128"/>
      <c r="CE446" s="128"/>
      <c r="CF446" s="128"/>
    </row>
    <row r="447" spans="1:84" x14ac:dyDescent="0.5">
      <c r="A447" s="268"/>
      <c r="B447" s="181"/>
      <c r="C447" s="182"/>
      <c r="D447" s="183"/>
      <c r="E447" s="749"/>
      <c r="F447" s="938"/>
      <c r="G447" s="939"/>
      <c r="H447" s="181"/>
      <c r="I447" s="187"/>
      <c r="J447" s="961"/>
      <c r="K447" s="966"/>
      <c r="L447" s="181"/>
      <c r="M447" s="188"/>
      <c r="N447" s="181"/>
      <c r="O447" s="189"/>
      <c r="P447" s="189"/>
      <c r="Q447" s="189"/>
      <c r="R447" s="214"/>
      <c r="S447" s="191"/>
      <c r="T447" s="192"/>
      <c r="U447" s="193"/>
      <c r="V447" s="194"/>
      <c r="W447" s="235"/>
      <c r="X447" s="194"/>
      <c r="Y447" s="194"/>
      <c r="Z447" s="235"/>
      <c r="AA447" s="236"/>
      <c r="AB447" s="200">
        <v>19050146</v>
      </c>
      <c r="AC447" s="201">
        <v>244000</v>
      </c>
      <c r="AD447" s="202">
        <f t="shared" si="111"/>
        <v>17080</v>
      </c>
      <c r="AE447" s="202">
        <f t="shared" si="112"/>
        <v>261080</v>
      </c>
      <c r="AF447" s="203">
        <v>43588</v>
      </c>
      <c r="AG447" s="199" t="s">
        <v>869</v>
      </c>
      <c r="AH447" s="199"/>
      <c r="AI447" s="199"/>
      <c r="AJ447" s="180" t="s">
        <v>2176</v>
      </c>
      <c r="AK447" s="204"/>
      <c r="AL447" s="205"/>
      <c r="AM447" s="206"/>
      <c r="AN447" s="206"/>
      <c r="AO447" s="207"/>
      <c r="AP447" s="208"/>
      <c r="AQ447" s="204"/>
      <c r="AR447" s="210"/>
      <c r="AS447" s="204"/>
      <c r="AT447" s="204"/>
      <c r="AU447" s="204"/>
      <c r="AV447" s="210"/>
      <c r="AW447" s="204"/>
      <c r="AX447" s="210"/>
      <c r="AY447" s="204"/>
      <c r="AZ447" s="204"/>
      <c r="BA447" s="204"/>
      <c r="BB447" s="210"/>
      <c r="BC447" s="204"/>
      <c r="BD447" s="210"/>
      <c r="BE447" s="204"/>
      <c r="BF447" s="204"/>
      <c r="BG447" s="204"/>
      <c r="BH447" s="210"/>
      <c r="BI447" s="204"/>
      <c r="BJ447" s="210"/>
      <c r="BK447" s="204"/>
      <c r="BL447" s="204"/>
      <c r="BM447" s="204"/>
      <c r="BN447" s="210"/>
      <c r="BO447" s="204"/>
      <c r="BP447" s="210"/>
      <c r="BQ447" s="204"/>
      <c r="BR447" s="204"/>
      <c r="BS447" s="204"/>
      <c r="BT447" s="210"/>
      <c r="BU447" s="204"/>
      <c r="BV447" s="210"/>
      <c r="BW447" s="204"/>
      <c r="BX447" s="204"/>
      <c r="BY447" s="204"/>
      <c r="BZ447" s="210"/>
      <c r="CA447" s="204"/>
      <c r="CB447" s="210"/>
      <c r="CC447" s="204"/>
      <c r="CD447" s="204"/>
      <c r="CE447" s="204"/>
      <c r="CF447" s="204"/>
    </row>
    <row r="448" spans="1:84" x14ac:dyDescent="0.5">
      <c r="A448" s="227">
        <v>19046195</v>
      </c>
      <c r="B448" s="22">
        <v>19040373</v>
      </c>
      <c r="C448" s="23" t="s">
        <v>1383</v>
      </c>
      <c r="D448" s="24" t="s">
        <v>1323</v>
      </c>
      <c r="E448" s="884">
        <v>43595</v>
      </c>
      <c r="F448" s="932" t="s">
        <v>1324</v>
      </c>
      <c r="G448" s="933" t="s">
        <v>2115</v>
      </c>
      <c r="H448" s="62">
        <v>43634</v>
      </c>
      <c r="I448" s="27">
        <v>19158</v>
      </c>
      <c r="J448" s="931" t="s">
        <v>869</v>
      </c>
      <c r="K448" s="957">
        <v>43635</v>
      </c>
      <c r="L448" s="22" t="s">
        <v>1989</v>
      </c>
      <c r="M448" s="28" t="s">
        <v>1990</v>
      </c>
      <c r="N448" s="22" t="s">
        <v>52</v>
      </c>
      <c r="O448" s="29">
        <v>69900</v>
      </c>
      <c r="P448" s="29">
        <f>O448*7/100</f>
        <v>4893</v>
      </c>
      <c r="Q448" s="29">
        <f>O448+P448</f>
        <v>74793</v>
      </c>
      <c r="R448" s="30">
        <v>7000</v>
      </c>
      <c r="S448" s="31" t="s">
        <v>568</v>
      </c>
      <c r="T448" s="32">
        <f>O448-R448</f>
        <v>62900</v>
      </c>
      <c r="U448" s="33">
        <v>5</v>
      </c>
      <c r="V448" s="34">
        <f>T448*U448/100</f>
        <v>3145</v>
      </c>
      <c r="W448" s="35">
        <f>T448-V448</f>
        <v>59755</v>
      </c>
      <c r="X448" s="36">
        <v>0.31</v>
      </c>
      <c r="Y448" s="36">
        <f>W448*X448/100</f>
        <v>185.2405</v>
      </c>
      <c r="Z448" s="37">
        <v>0.2</v>
      </c>
      <c r="AA448" s="38">
        <f>W448*Z448/100</f>
        <v>119.51</v>
      </c>
      <c r="AB448" s="40">
        <v>19060213</v>
      </c>
      <c r="AC448" s="41">
        <v>69900</v>
      </c>
      <c r="AD448" s="52">
        <f t="shared" si="111"/>
        <v>4893</v>
      </c>
      <c r="AE448" s="52">
        <f t="shared" si="112"/>
        <v>74793</v>
      </c>
      <c r="AF448" s="53">
        <v>43630</v>
      </c>
      <c r="AG448" s="39" t="s">
        <v>869</v>
      </c>
      <c r="AH448" s="39"/>
      <c r="AI448" s="39"/>
      <c r="AJ448" s="21" t="s">
        <v>2352</v>
      </c>
      <c r="AK448" s="841">
        <v>1</v>
      </c>
      <c r="AL448" s="45" t="s">
        <v>599</v>
      </c>
      <c r="AM448" s="46"/>
      <c r="AN448" s="46" t="s">
        <v>869</v>
      </c>
      <c r="AO448" s="47">
        <v>1</v>
      </c>
      <c r="AP448" s="48" t="s">
        <v>634</v>
      </c>
      <c r="AQ448" s="841">
        <v>2</v>
      </c>
      <c r="AR448" s="40" t="s">
        <v>600</v>
      </c>
      <c r="AS448" s="47"/>
      <c r="AT448" s="47" t="s">
        <v>869</v>
      </c>
      <c r="AU448" s="47">
        <v>1</v>
      </c>
      <c r="AV448" s="49" t="s">
        <v>636</v>
      </c>
      <c r="AW448" s="844"/>
      <c r="AX448" s="54"/>
      <c r="AY448" s="844"/>
      <c r="AZ448" s="844"/>
      <c r="BA448" s="844"/>
      <c r="BB448" s="54"/>
      <c r="BC448" s="844"/>
      <c r="BD448" s="54"/>
      <c r="BE448" s="844"/>
      <c r="BF448" s="844"/>
      <c r="BG448" s="844"/>
      <c r="BH448" s="54"/>
      <c r="BI448" s="844"/>
      <c r="BJ448" s="54"/>
      <c r="BK448" s="844"/>
      <c r="BL448" s="844"/>
      <c r="BM448" s="844"/>
      <c r="BN448" s="54"/>
      <c r="BO448" s="844"/>
      <c r="BP448" s="54"/>
      <c r="BQ448" s="844"/>
      <c r="BR448" s="844"/>
      <c r="BS448" s="844"/>
      <c r="BT448" s="54"/>
      <c r="BU448" s="844"/>
      <c r="BV448" s="54"/>
      <c r="BW448" s="844"/>
      <c r="BX448" s="844"/>
      <c r="BY448" s="844"/>
      <c r="BZ448" s="54"/>
      <c r="CA448" s="844"/>
      <c r="CB448" s="54"/>
      <c r="CC448" s="844"/>
      <c r="CD448" s="844"/>
      <c r="CE448" s="844"/>
      <c r="CF448" s="844"/>
    </row>
    <row r="449" spans="1:85" x14ac:dyDescent="0.5">
      <c r="A449" s="227">
        <v>19046194</v>
      </c>
      <c r="B449" s="22">
        <v>19040370</v>
      </c>
      <c r="C449" s="23" t="s">
        <v>1384</v>
      </c>
      <c r="D449" s="24" t="s">
        <v>1323</v>
      </c>
      <c r="E449" s="884">
        <v>43593</v>
      </c>
      <c r="F449" s="932" t="s">
        <v>1324</v>
      </c>
      <c r="G449" s="933" t="s">
        <v>1384</v>
      </c>
      <c r="H449" s="62">
        <v>43593</v>
      </c>
      <c r="I449" s="27">
        <v>19126</v>
      </c>
      <c r="J449" s="931" t="s">
        <v>869</v>
      </c>
      <c r="K449" s="957">
        <v>43594</v>
      </c>
      <c r="L449" s="22" t="s">
        <v>1160</v>
      </c>
      <c r="M449" s="28" t="s">
        <v>1991</v>
      </c>
      <c r="N449" s="22" t="s">
        <v>50</v>
      </c>
      <c r="O449" s="29">
        <v>38114</v>
      </c>
      <c r="P449" s="29">
        <f>O449*7/100</f>
        <v>2667.98</v>
      </c>
      <c r="Q449" s="29">
        <f>O449+P449</f>
        <v>40781.980000000003</v>
      </c>
      <c r="R449" s="61"/>
      <c r="S449" s="96"/>
      <c r="T449" s="97"/>
      <c r="U449" s="98"/>
      <c r="V449" s="99"/>
      <c r="W449" s="35">
        <f>O449</f>
        <v>38114</v>
      </c>
      <c r="X449" s="36">
        <v>0.2</v>
      </c>
      <c r="Y449" s="36">
        <f>W449*X449/100</f>
        <v>76.228000000000009</v>
      </c>
      <c r="Z449" s="37">
        <v>0.2</v>
      </c>
      <c r="AA449" s="38">
        <f>W449*Z449/100</f>
        <v>76.228000000000009</v>
      </c>
      <c r="AB449" s="40">
        <v>19050184</v>
      </c>
      <c r="AC449" s="41">
        <v>38114</v>
      </c>
      <c r="AD449" s="52">
        <f t="shared" si="111"/>
        <v>2667.98</v>
      </c>
      <c r="AE449" s="52">
        <f t="shared" si="112"/>
        <v>40781.980000000003</v>
      </c>
      <c r="AF449" s="53">
        <v>43639</v>
      </c>
      <c r="AG449" s="39" t="s">
        <v>869</v>
      </c>
      <c r="AH449" s="39"/>
      <c r="AI449" s="39"/>
      <c r="AJ449" s="21" t="s">
        <v>2591</v>
      </c>
      <c r="AK449" s="841">
        <v>1</v>
      </c>
      <c r="AL449" s="45" t="s">
        <v>650</v>
      </c>
      <c r="AM449" s="46"/>
      <c r="AN449" s="46" t="s">
        <v>869</v>
      </c>
      <c r="AO449" s="47">
        <v>4</v>
      </c>
      <c r="AP449" s="48" t="s">
        <v>634</v>
      </c>
      <c r="AQ449" s="841">
        <v>2</v>
      </c>
      <c r="AR449" s="40" t="s">
        <v>600</v>
      </c>
      <c r="AS449" s="47"/>
      <c r="AT449" s="47" t="s">
        <v>869</v>
      </c>
      <c r="AU449" s="47">
        <v>1</v>
      </c>
      <c r="AV449" s="49" t="s">
        <v>636</v>
      </c>
      <c r="AW449" s="844"/>
      <c r="AX449" s="54"/>
      <c r="AY449" s="844"/>
      <c r="AZ449" s="844"/>
      <c r="BA449" s="844"/>
      <c r="BB449" s="54"/>
      <c r="BC449" s="844"/>
      <c r="BD449" s="54"/>
      <c r="BE449" s="844"/>
      <c r="BF449" s="844"/>
      <c r="BG449" s="844"/>
      <c r="BH449" s="54"/>
      <c r="BI449" s="844"/>
      <c r="BJ449" s="54"/>
      <c r="BK449" s="844"/>
      <c r="BL449" s="844"/>
      <c r="BM449" s="844"/>
      <c r="BN449" s="54"/>
      <c r="BO449" s="844"/>
      <c r="BP449" s="54"/>
      <c r="BQ449" s="844"/>
      <c r="BR449" s="844"/>
      <c r="BS449" s="844"/>
      <c r="BT449" s="54"/>
      <c r="BU449" s="844"/>
      <c r="BV449" s="54"/>
      <c r="BW449" s="844"/>
      <c r="BX449" s="844"/>
      <c r="BY449" s="844"/>
      <c r="BZ449" s="54"/>
      <c r="CA449" s="844"/>
      <c r="CB449" s="54"/>
      <c r="CC449" s="844"/>
      <c r="CD449" s="844"/>
      <c r="CE449" s="844"/>
      <c r="CF449" s="844"/>
    </row>
    <row r="450" spans="1:85" x14ac:dyDescent="0.5">
      <c r="A450" s="227">
        <v>19046193</v>
      </c>
      <c r="B450" s="22">
        <v>19040367</v>
      </c>
      <c r="C450" s="23" t="s">
        <v>1361</v>
      </c>
      <c r="D450" s="24" t="s">
        <v>1323</v>
      </c>
      <c r="E450" s="884">
        <v>43579</v>
      </c>
      <c r="F450" s="932" t="s">
        <v>1324</v>
      </c>
      <c r="G450" s="933" t="s">
        <v>1391</v>
      </c>
      <c r="H450" s="62">
        <v>43579</v>
      </c>
      <c r="I450" s="27">
        <v>19123</v>
      </c>
      <c r="J450" s="931" t="s">
        <v>869</v>
      </c>
      <c r="K450" s="957">
        <v>43579</v>
      </c>
      <c r="L450" s="22" t="s">
        <v>19</v>
      </c>
      <c r="M450" s="28" t="s">
        <v>1965</v>
      </c>
      <c r="N450" s="22" t="s">
        <v>51</v>
      </c>
      <c r="O450" s="29">
        <v>6400</v>
      </c>
      <c r="P450" s="29">
        <f t="shared" ref="P450:P458" si="113">O450*7/100</f>
        <v>448</v>
      </c>
      <c r="Q450" s="29">
        <f>O450+P450</f>
        <v>6848</v>
      </c>
      <c r="R450" s="61"/>
      <c r="S450" s="96"/>
      <c r="T450" s="97"/>
      <c r="U450" s="98"/>
      <c r="V450" s="99"/>
      <c r="W450" s="100"/>
      <c r="X450" s="99"/>
      <c r="Y450" s="99"/>
      <c r="Z450" s="100"/>
      <c r="AA450" s="101"/>
      <c r="AB450" s="40">
        <v>19040142</v>
      </c>
      <c r="AC450" s="41">
        <v>6400</v>
      </c>
      <c r="AD450" s="52">
        <f t="shared" si="111"/>
        <v>448</v>
      </c>
      <c r="AE450" s="52">
        <f t="shared" si="112"/>
        <v>6848</v>
      </c>
      <c r="AF450" s="53">
        <v>43610</v>
      </c>
      <c r="AG450" s="39" t="s">
        <v>869</v>
      </c>
      <c r="AH450" s="39"/>
      <c r="AI450" s="39"/>
      <c r="AJ450" s="21" t="s">
        <v>2349</v>
      </c>
      <c r="AK450" s="841">
        <v>1</v>
      </c>
      <c r="AL450" s="45" t="s">
        <v>1966</v>
      </c>
      <c r="AM450" s="46"/>
      <c r="AN450" s="46" t="s">
        <v>869</v>
      </c>
      <c r="AO450" s="47">
        <v>1</v>
      </c>
      <c r="AP450" s="48" t="s">
        <v>633</v>
      </c>
      <c r="AQ450" s="841"/>
      <c r="AR450" s="54"/>
      <c r="AS450" s="841"/>
      <c r="AT450" s="841"/>
      <c r="AU450" s="841"/>
      <c r="AV450" s="54"/>
      <c r="AW450" s="841"/>
      <c r="AX450" s="54"/>
      <c r="AY450" s="841"/>
      <c r="AZ450" s="841"/>
      <c r="BA450" s="841"/>
      <c r="BB450" s="54"/>
      <c r="BC450" s="841"/>
      <c r="BD450" s="54"/>
      <c r="BE450" s="841"/>
      <c r="BF450" s="841"/>
      <c r="BG450" s="841"/>
      <c r="BH450" s="54"/>
      <c r="BI450" s="841"/>
      <c r="BJ450" s="54"/>
      <c r="BK450" s="841"/>
      <c r="BL450" s="841"/>
      <c r="BM450" s="841"/>
      <c r="BN450" s="54"/>
      <c r="BO450" s="841"/>
      <c r="BP450" s="54"/>
      <c r="BQ450" s="841"/>
      <c r="BR450" s="841"/>
      <c r="BS450" s="841"/>
      <c r="BT450" s="54"/>
      <c r="BU450" s="841"/>
      <c r="BV450" s="54"/>
      <c r="BW450" s="841"/>
      <c r="BX450" s="841"/>
      <c r="BY450" s="841"/>
      <c r="BZ450" s="54"/>
      <c r="CA450" s="841"/>
      <c r="CB450" s="54"/>
      <c r="CC450" s="841"/>
      <c r="CD450" s="841"/>
      <c r="CE450" s="841"/>
      <c r="CF450" s="841"/>
    </row>
    <row r="451" spans="1:85" x14ac:dyDescent="0.5">
      <c r="A451" s="227">
        <v>19046192</v>
      </c>
      <c r="B451" s="22">
        <v>19040365</v>
      </c>
      <c r="C451" s="23" t="s">
        <v>1391</v>
      </c>
      <c r="D451" s="24" t="s">
        <v>1323</v>
      </c>
      <c r="E451" s="884">
        <v>43594</v>
      </c>
      <c r="F451" s="932" t="s">
        <v>1324</v>
      </c>
      <c r="G451" s="933" t="s">
        <v>1383</v>
      </c>
      <c r="H451" s="62">
        <v>43595</v>
      </c>
      <c r="I451" s="27">
        <v>19127</v>
      </c>
      <c r="J451" s="931" t="s">
        <v>869</v>
      </c>
      <c r="K451" s="957">
        <v>43596</v>
      </c>
      <c r="L451" s="22" t="s">
        <v>15</v>
      </c>
      <c r="M451" s="28" t="s">
        <v>1955</v>
      </c>
      <c r="N451" s="22" t="s">
        <v>51</v>
      </c>
      <c r="O451" s="29">
        <v>186740</v>
      </c>
      <c r="P451" s="29">
        <f t="shared" si="113"/>
        <v>13071.8</v>
      </c>
      <c r="Q451" s="29">
        <f>P451+O451</f>
        <v>199811.8</v>
      </c>
      <c r="R451" s="61"/>
      <c r="S451" s="96"/>
      <c r="T451" s="97"/>
      <c r="U451" s="98"/>
      <c r="V451" s="99"/>
      <c r="W451" s="100"/>
      <c r="X451" s="99"/>
      <c r="Y451" s="99"/>
      <c r="Z451" s="100"/>
      <c r="AA451" s="101"/>
      <c r="AB451" s="40">
        <v>19050171</v>
      </c>
      <c r="AC451" s="41">
        <v>186740</v>
      </c>
      <c r="AD451" s="52">
        <f t="shared" si="111"/>
        <v>13071.8</v>
      </c>
      <c r="AE451" s="52">
        <f t="shared" si="112"/>
        <v>199811.8</v>
      </c>
      <c r="AF451" s="53">
        <v>43639</v>
      </c>
      <c r="AG451" s="39" t="s">
        <v>869</v>
      </c>
      <c r="AH451" s="39"/>
      <c r="AI451" s="39"/>
      <c r="AJ451" s="21" t="s">
        <v>2348</v>
      </c>
      <c r="AK451" s="834">
        <v>1</v>
      </c>
      <c r="AL451" s="45" t="s">
        <v>1956</v>
      </c>
      <c r="AM451" s="46"/>
      <c r="AN451" s="46" t="s">
        <v>869</v>
      </c>
      <c r="AO451" s="47">
        <v>1</v>
      </c>
      <c r="AP451" s="48" t="s">
        <v>633</v>
      </c>
      <c r="AQ451" s="834">
        <v>2</v>
      </c>
      <c r="AR451" s="40" t="s">
        <v>1956</v>
      </c>
      <c r="AS451" s="47"/>
      <c r="AT451" s="47" t="s">
        <v>869</v>
      </c>
      <c r="AU451" s="47">
        <v>1</v>
      </c>
      <c r="AV451" s="49" t="s">
        <v>633</v>
      </c>
      <c r="AW451" s="834">
        <v>3</v>
      </c>
      <c r="AX451" s="40" t="s">
        <v>825</v>
      </c>
      <c r="AY451" s="47"/>
      <c r="AZ451" s="47"/>
      <c r="BA451" s="47">
        <v>1</v>
      </c>
      <c r="BB451" s="49" t="s">
        <v>633</v>
      </c>
      <c r="BC451" s="841"/>
      <c r="BD451" s="54"/>
      <c r="BE451" s="841"/>
      <c r="BF451" s="841"/>
      <c r="BG451" s="841"/>
      <c r="BH451" s="54"/>
      <c r="BI451" s="841"/>
      <c r="BJ451" s="54"/>
      <c r="BK451" s="841"/>
      <c r="BL451" s="841"/>
      <c r="BM451" s="841"/>
      <c r="BN451" s="54"/>
      <c r="BO451" s="841"/>
      <c r="BP451" s="54"/>
      <c r="BQ451" s="841"/>
      <c r="BR451" s="841"/>
      <c r="BS451" s="841"/>
      <c r="BT451" s="54"/>
      <c r="BU451" s="841"/>
      <c r="BV451" s="54"/>
      <c r="BW451" s="841"/>
      <c r="BX451" s="841"/>
      <c r="BY451" s="841"/>
      <c r="BZ451" s="54"/>
      <c r="CA451" s="841"/>
      <c r="CB451" s="54"/>
      <c r="CC451" s="841"/>
      <c r="CD451" s="841"/>
      <c r="CE451" s="841"/>
      <c r="CF451" s="841"/>
    </row>
    <row r="452" spans="1:85" x14ac:dyDescent="0.5">
      <c r="A452" s="227">
        <v>19046191</v>
      </c>
      <c r="B452" s="22">
        <v>19040364</v>
      </c>
      <c r="C452" s="55"/>
      <c r="D452" s="56"/>
      <c r="E452" s="910"/>
      <c r="F452" s="57"/>
      <c r="G452" s="58"/>
      <c r="H452" s="59"/>
      <c r="I452" s="60"/>
      <c r="J452" s="269"/>
      <c r="K452" s="59"/>
      <c r="L452" s="22" t="s">
        <v>275</v>
      </c>
      <c r="M452" s="28" t="s">
        <v>1957</v>
      </c>
      <c r="N452" s="22" t="s">
        <v>51</v>
      </c>
      <c r="O452" s="29">
        <v>17300</v>
      </c>
      <c r="P452" s="29">
        <f t="shared" si="113"/>
        <v>1211</v>
      </c>
      <c r="Q452" s="29">
        <f>P452+O452</f>
        <v>18511</v>
      </c>
      <c r="R452" s="61"/>
      <c r="S452" s="96"/>
      <c r="T452" s="97"/>
      <c r="U452" s="98"/>
      <c r="V452" s="99"/>
      <c r="W452" s="100"/>
      <c r="X452" s="99"/>
      <c r="Y452" s="99"/>
      <c r="Z452" s="100"/>
      <c r="AA452" s="101"/>
      <c r="AB452" s="40">
        <v>19050153</v>
      </c>
      <c r="AC452" s="41">
        <v>17300</v>
      </c>
      <c r="AD452" s="63">
        <f t="shared" si="111"/>
        <v>1211</v>
      </c>
      <c r="AE452" s="64">
        <f t="shared" si="112"/>
        <v>18511</v>
      </c>
      <c r="AF452" s="53">
        <v>43622</v>
      </c>
      <c r="AG452" s="39" t="s">
        <v>869</v>
      </c>
      <c r="AH452" s="39"/>
      <c r="AI452" s="39"/>
      <c r="AJ452" s="21" t="s">
        <v>2764</v>
      </c>
      <c r="AK452" s="834">
        <v>1</v>
      </c>
      <c r="AL452" s="45" t="s">
        <v>1958</v>
      </c>
      <c r="AM452" s="46"/>
      <c r="AN452" s="46"/>
      <c r="AO452" s="47">
        <v>1</v>
      </c>
      <c r="AP452" s="48" t="s">
        <v>628</v>
      </c>
      <c r="AQ452" s="841"/>
      <c r="AR452" s="54"/>
      <c r="AS452" s="841"/>
      <c r="AT452" s="841"/>
      <c r="AU452" s="841"/>
      <c r="AV452" s="54"/>
      <c r="AW452" s="841"/>
      <c r="AX452" s="54"/>
      <c r="AY452" s="841"/>
      <c r="AZ452" s="841"/>
      <c r="BA452" s="841"/>
      <c r="BB452" s="54"/>
      <c r="BC452" s="841"/>
      <c r="BD452" s="54"/>
      <c r="BE452" s="841"/>
      <c r="BF452" s="841"/>
      <c r="BG452" s="841"/>
      <c r="BH452" s="54"/>
      <c r="BI452" s="841"/>
      <c r="BJ452" s="54"/>
      <c r="BK452" s="841"/>
      <c r="BL452" s="841"/>
      <c r="BM452" s="841"/>
      <c r="BN452" s="54"/>
      <c r="BO452" s="841"/>
      <c r="BP452" s="54"/>
      <c r="BQ452" s="841"/>
      <c r="BR452" s="841"/>
      <c r="BS452" s="841"/>
      <c r="BT452" s="54"/>
      <c r="BU452" s="841"/>
      <c r="BV452" s="54"/>
      <c r="BW452" s="841"/>
      <c r="BX452" s="841"/>
      <c r="BY452" s="841"/>
      <c r="BZ452" s="54"/>
      <c r="CA452" s="841"/>
      <c r="CB452" s="54"/>
      <c r="CC452" s="841"/>
      <c r="CD452" s="841"/>
      <c r="CE452" s="841"/>
      <c r="CF452" s="841"/>
    </row>
    <row r="453" spans="1:85" x14ac:dyDescent="0.5">
      <c r="A453" s="259">
        <v>19046190</v>
      </c>
      <c r="B453" s="104">
        <v>19040328</v>
      </c>
      <c r="C453" s="105" t="s">
        <v>1390</v>
      </c>
      <c r="D453" s="106" t="s">
        <v>1323</v>
      </c>
      <c r="E453" s="302">
        <v>43600</v>
      </c>
      <c r="F453" s="936" t="s">
        <v>3368</v>
      </c>
      <c r="G453" s="937" t="s">
        <v>1356</v>
      </c>
      <c r="H453" s="211">
        <v>43840</v>
      </c>
      <c r="I453" s="164">
        <v>63006</v>
      </c>
      <c r="J453" s="960" t="s">
        <v>869</v>
      </c>
      <c r="K453" s="965">
        <v>43841</v>
      </c>
      <c r="L453" s="104" t="s">
        <v>1959</v>
      </c>
      <c r="M453" s="110" t="s">
        <v>1960</v>
      </c>
      <c r="N453" s="104" t="s">
        <v>52</v>
      </c>
      <c r="O453" s="111">
        <v>220000</v>
      </c>
      <c r="P453" s="111">
        <f t="shared" si="113"/>
        <v>15400</v>
      </c>
      <c r="Q453" s="111">
        <f>O453+P453</f>
        <v>235400</v>
      </c>
      <c r="R453" s="311">
        <v>21000</v>
      </c>
      <c r="S453" s="270" t="s">
        <v>568</v>
      </c>
      <c r="T453" s="114">
        <f>O453-R453</f>
        <v>199000</v>
      </c>
      <c r="U453" s="115">
        <v>3</v>
      </c>
      <c r="V453" s="116">
        <f>T453*U453/100</f>
        <v>5970</v>
      </c>
      <c r="W453" s="117">
        <f>T453-V453</f>
        <v>193030</v>
      </c>
      <c r="X453" s="118">
        <v>0.22</v>
      </c>
      <c r="Y453" s="118">
        <f>W453*X453/100</f>
        <v>424.666</v>
      </c>
      <c r="Z453" s="119">
        <v>0.2</v>
      </c>
      <c r="AA453" s="120">
        <f>W453*Z453/100</f>
        <v>386.06</v>
      </c>
      <c r="AB453" s="229">
        <v>19050145</v>
      </c>
      <c r="AC453" s="230">
        <v>66000</v>
      </c>
      <c r="AD453" s="220">
        <f t="shared" si="111"/>
        <v>4620</v>
      </c>
      <c r="AE453" s="220">
        <f t="shared" si="112"/>
        <v>70620</v>
      </c>
      <c r="AF453" s="221">
        <v>43587</v>
      </c>
      <c r="AG453" s="121" t="s">
        <v>869</v>
      </c>
      <c r="AH453" s="121"/>
      <c r="AI453" s="121"/>
      <c r="AJ453" s="222" t="s">
        <v>2165</v>
      </c>
      <c r="AK453" s="128">
        <v>1</v>
      </c>
      <c r="AL453" s="129" t="s">
        <v>879</v>
      </c>
      <c r="AM453" s="130"/>
      <c r="AN453" s="130" t="s">
        <v>869</v>
      </c>
      <c r="AO453" s="131">
        <v>1</v>
      </c>
      <c r="AP453" s="132" t="s">
        <v>634</v>
      </c>
      <c r="AQ453" s="128">
        <v>2</v>
      </c>
      <c r="AR453" s="123" t="s">
        <v>715</v>
      </c>
      <c r="AS453" s="131"/>
      <c r="AT453" s="131" t="s">
        <v>869</v>
      </c>
      <c r="AU453" s="131">
        <v>1</v>
      </c>
      <c r="AV453" s="169" t="s">
        <v>634</v>
      </c>
      <c r="AW453" s="128">
        <v>3</v>
      </c>
      <c r="AX453" s="123" t="s">
        <v>1603</v>
      </c>
      <c r="AY453" s="131" t="s">
        <v>869</v>
      </c>
      <c r="AZ453" s="131"/>
      <c r="BA453" s="131">
        <v>2</v>
      </c>
      <c r="BB453" s="169" t="s">
        <v>636</v>
      </c>
      <c r="BC453" s="128"/>
      <c r="BD453" s="133"/>
      <c r="BE453" s="128"/>
      <c r="BF453" s="128"/>
      <c r="BG453" s="128"/>
      <c r="BH453" s="133"/>
      <c r="BI453" s="128"/>
      <c r="BJ453" s="133"/>
      <c r="BK453" s="128"/>
      <c r="BL453" s="128"/>
      <c r="BM453" s="128"/>
      <c r="BN453" s="133"/>
      <c r="BO453" s="128"/>
      <c r="BP453" s="133"/>
      <c r="BQ453" s="128"/>
      <c r="BR453" s="128"/>
      <c r="BS453" s="128"/>
      <c r="BT453" s="133"/>
      <c r="BU453" s="128"/>
      <c r="BV453" s="133"/>
      <c r="BW453" s="128"/>
      <c r="BX453" s="128"/>
      <c r="BY453" s="128"/>
      <c r="BZ453" s="133"/>
      <c r="CA453" s="128"/>
      <c r="CB453" s="133"/>
      <c r="CC453" s="128"/>
      <c r="CD453" s="128"/>
      <c r="CE453" s="128"/>
      <c r="CF453" s="128"/>
    </row>
    <row r="454" spans="1:85" x14ac:dyDescent="0.5">
      <c r="A454" s="262"/>
      <c r="B454" s="135"/>
      <c r="C454" s="136"/>
      <c r="D454" s="137"/>
      <c r="E454" s="906"/>
      <c r="F454" s="940"/>
      <c r="G454" s="941"/>
      <c r="H454" s="170">
        <v>43840</v>
      </c>
      <c r="I454" s="251">
        <v>63007</v>
      </c>
      <c r="J454" s="963"/>
      <c r="K454" s="154"/>
      <c r="L454" s="135"/>
      <c r="M454" s="141"/>
      <c r="N454" s="135"/>
      <c r="O454" s="142"/>
      <c r="P454" s="142"/>
      <c r="Q454" s="142"/>
      <c r="R454" s="143"/>
      <c r="S454" s="632"/>
      <c r="T454" s="145"/>
      <c r="U454" s="146"/>
      <c r="V454" s="147"/>
      <c r="W454" s="148"/>
      <c r="X454" s="149"/>
      <c r="Y454" s="149"/>
      <c r="Z454" s="150"/>
      <c r="AA454" s="151"/>
      <c r="AB454" s="154">
        <v>19120507</v>
      </c>
      <c r="AC454" s="155">
        <v>154000</v>
      </c>
      <c r="AD454" s="156">
        <f t="shared" si="111"/>
        <v>10780</v>
      </c>
      <c r="AE454" s="156">
        <f t="shared" si="112"/>
        <v>164780</v>
      </c>
      <c r="AF454" s="157">
        <v>43812</v>
      </c>
      <c r="AG454" s="152" t="s">
        <v>869</v>
      </c>
      <c r="AH454" s="152"/>
      <c r="AI454" s="152"/>
      <c r="AJ454" s="134" t="s">
        <v>3293</v>
      </c>
      <c r="AK454" s="158"/>
      <c r="AL454" s="159"/>
      <c r="AM454" s="160"/>
      <c r="AN454" s="160"/>
      <c r="AO454" s="161"/>
      <c r="AP454" s="162"/>
      <c r="AQ454" s="158"/>
      <c r="AR454" s="154"/>
      <c r="AS454" s="161"/>
      <c r="AT454" s="161"/>
      <c r="AU454" s="161"/>
      <c r="AV454" s="177"/>
      <c r="AW454" s="158"/>
      <c r="AX454" s="154"/>
      <c r="AY454" s="161"/>
      <c r="AZ454" s="161"/>
      <c r="BA454" s="161"/>
      <c r="BB454" s="177"/>
      <c r="BC454" s="158"/>
      <c r="BD454" s="163"/>
      <c r="BE454" s="158"/>
      <c r="BF454" s="158"/>
      <c r="BG454" s="158"/>
      <c r="BH454" s="163"/>
      <c r="BI454" s="158"/>
      <c r="BJ454" s="163"/>
      <c r="BK454" s="158"/>
      <c r="BL454" s="158"/>
      <c r="BM454" s="158"/>
      <c r="BN454" s="163"/>
      <c r="BO454" s="158"/>
      <c r="BP454" s="163"/>
      <c r="BQ454" s="158"/>
      <c r="BR454" s="158"/>
      <c r="BS454" s="158"/>
      <c r="BT454" s="163"/>
      <c r="BU454" s="158"/>
      <c r="BV454" s="163"/>
      <c r="BW454" s="158"/>
      <c r="BX454" s="158"/>
      <c r="BY454" s="158"/>
      <c r="BZ454" s="163"/>
      <c r="CA454" s="158"/>
      <c r="CB454" s="163"/>
      <c r="CC454" s="158"/>
      <c r="CD454" s="158"/>
      <c r="CE454" s="158"/>
      <c r="CF454" s="158"/>
    </row>
    <row r="455" spans="1:85" x14ac:dyDescent="0.5">
      <c r="A455" s="268"/>
      <c r="B455" s="181"/>
      <c r="C455" s="182"/>
      <c r="D455" s="183"/>
      <c r="E455" s="749"/>
      <c r="F455" s="938"/>
      <c r="G455" s="939"/>
      <c r="H455" s="186">
        <v>43840</v>
      </c>
      <c r="I455" s="187">
        <v>63008</v>
      </c>
      <c r="J455" s="961"/>
      <c r="K455" s="200"/>
      <c r="L455" s="181"/>
      <c r="M455" s="188"/>
      <c r="N455" s="181"/>
      <c r="O455" s="189"/>
      <c r="P455" s="189"/>
      <c r="Q455" s="189"/>
      <c r="R455" s="190"/>
      <c r="S455" s="272"/>
      <c r="T455" s="216"/>
      <c r="U455" s="217"/>
      <c r="V455" s="218"/>
      <c r="W455" s="195"/>
      <c r="X455" s="196"/>
      <c r="Y455" s="196"/>
      <c r="Z455" s="197"/>
      <c r="AA455" s="198"/>
      <c r="AB455" s="200"/>
      <c r="AC455" s="201"/>
      <c r="AD455" s="202"/>
      <c r="AE455" s="202"/>
      <c r="AF455" s="203"/>
      <c r="AG455" s="199"/>
      <c r="AH455" s="199"/>
      <c r="AI455" s="199"/>
      <c r="AJ455" s="180"/>
      <c r="AK455" s="204"/>
      <c r="AL455" s="205"/>
      <c r="AM455" s="206"/>
      <c r="AN455" s="206"/>
      <c r="AO455" s="207"/>
      <c r="AP455" s="208"/>
      <c r="AQ455" s="204"/>
      <c r="AR455" s="200"/>
      <c r="AS455" s="207"/>
      <c r="AT455" s="207"/>
      <c r="AU455" s="207"/>
      <c r="AV455" s="209"/>
      <c r="AW455" s="204"/>
      <c r="AX455" s="200"/>
      <c r="AY455" s="207"/>
      <c r="AZ455" s="207"/>
      <c r="BA455" s="207"/>
      <c r="BB455" s="209"/>
      <c r="BC455" s="204"/>
      <c r="BD455" s="210"/>
      <c r="BE455" s="204"/>
      <c r="BF455" s="204"/>
      <c r="BG455" s="204"/>
      <c r="BH455" s="210"/>
      <c r="BI455" s="204"/>
      <c r="BJ455" s="210"/>
      <c r="BK455" s="204"/>
      <c r="BL455" s="204"/>
      <c r="BM455" s="204"/>
      <c r="BN455" s="210"/>
      <c r="BO455" s="204"/>
      <c r="BP455" s="210"/>
      <c r="BQ455" s="204"/>
      <c r="BR455" s="204"/>
      <c r="BS455" s="204"/>
      <c r="BT455" s="210"/>
      <c r="BU455" s="204"/>
      <c r="BV455" s="210"/>
      <c r="BW455" s="204"/>
      <c r="BX455" s="204"/>
      <c r="BY455" s="204"/>
      <c r="BZ455" s="210"/>
      <c r="CA455" s="204"/>
      <c r="CB455" s="210"/>
      <c r="CC455" s="204"/>
      <c r="CD455" s="204"/>
      <c r="CE455" s="204"/>
      <c r="CF455" s="204"/>
    </row>
    <row r="456" spans="1:85" x14ac:dyDescent="0.5">
      <c r="A456" s="227">
        <v>19046189</v>
      </c>
      <c r="B456" s="22">
        <v>19040360</v>
      </c>
      <c r="C456" s="23" t="s">
        <v>1389</v>
      </c>
      <c r="D456" s="24" t="s">
        <v>1323</v>
      </c>
      <c r="E456" s="884">
        <v>43588</v>
      </c>
      <c r="F456" s="932" t="s">
        <v>1324</v>
      </c>
      <c r="G456" s="933" t="s">
        <v>2584</v>
      </c>
      <c r="H456" s="62">
        <v>43708</v>
      </c>
      <c r="I456" s="27">
        <v>19262</v>
      </c>
      <c r="J456" s="931" t="s">
        <v>869</v>
      </c>
      <c r="K456" s="957">
        <v>43708</v>
      </c>
      <c r="L456" s="22" t="s">
        <v>119</v>
      </c>
      <c r="M456" s="28" t="s">
        <v>311</v>
      </c>
      <c r="N456" s="22" t="s">
        <v>51</v>
      </c>
      <c r="O456" s="29">
        <v>167200</v>
      </c>
      <c r="P456" s="29">
        <f t="shared" si="113"/>
        <v>11704</v>
      </c>
      <c r="Q456" s="29">
        <f>O456+P456</f>
        <v>178904</v>
      </c>
      <c r="R456" s="61"/>
      <c r="S456" s="96"/>
      <c r="T456" s="97"/>
      <c r="U456" s="98"/>
      <c r="V456" s="99"/>
      <c r="W456" s="100"/>
      <c r="X456" s="99"/>
      <c r="Y456" s="99"/>
      <c r="Z456" s="100"/>
      <c r="AA456" s="101"/>
      <c r="AB456" s="40">
        <v>19090321</v>
      </c>
      <c r="AC456" s="41">
        <v>167200</v>
      </c>
      <c r="AD456" s="63">
        <f t="shared" si="111"/>
        <v>11704</v>
      </c>
      <c r="AE456" s="63">
        <f t="shared" si="112"/>
        <v>178904</v>
      </c>
      <c r="AF456" s="53">
        <v>43710</v>
      </c>
      <c r="AG456" s="39" t="s">
        <v>869</v>
      </c>
      <c r="AH456" s="39"/>
      <c r="AI456" s="39"/>
      <c r="AJ456" s="21" t="s">
        <v>2699</v>
      </c>
      <c r="AK456" s="834">
        <v>1</v>
      </c>
      <c r="AL456" s="45" t="s">
        <v>1961</v>
      </c>
      <c r="AM456" s="46"/>
      <c r="AN456" s="46" t="s">
        <v>869</v>
      </c>
      <c r="AO456" s="47">
        <v>1</v>
      </c>
      <c r="AP456" s="48" t="s">
        <v>635</v>
      </c>
      <c r="AQ456" s="834">
        <v>2</v>
      </c>
      <c r="AR456" s="40" t="s">
        <v>1962</v>
      </c>
      <c r="AS456" s="47"/>
      <c r="AT456" s="47" t="s">
        <v>869</v>
      </c>
      <c r="AU456" s="47">
        <v>1</v>
      </c>
      <c r="AV456" s="49" t="s">
        <v>635</v>
      </c>
      <c r="AW456" s="834">
        <v>3</v>
      </c>
      <c r="AX456" s="40" t="s">
        <v>1963</v>
      </c>
      <c r="AY456" s="47"/>
      <c r="AZ456" s="47" t="s">
        <v>869</v>
      </c>
      <c r="BA456" s="47">
        <v>1</v>
      </c>
      <c r="BB456" s="49" t="s">
        <v>633</v>
      </c>
      <c r="BC456" s="834">
        <v>4</v>
      </c>
      <c r="BD456" s="40" t="s">
        <v>1964</v>
      </c>
      <c r="BE456" s="47"/>
      <c r="BF456" s="47" t="s">
        <v>869</v>
      </c>
      <c r="BG456" s="47">
        <v>1</v>
      </c>
      <c r="BH456" s="49" t="s">
        <v>633</v>
      </c>
      <c r="BI456" s="841"/>
      <c r="BJ456" s="54"/>
      <c r="BK456" s="841"/>
      <c r="BL456" s="841"/>
      <c r="BM456" s="841"/>
      <c r="BN456" s="54"/>
      <c r="BO456" s="841"/>
      <c r="BP456" s="54"/>
      <c r="BQ456" s="841"/>
      <c r="BR456" s="841"/>
      <c r="BS456" s="841"/>
      <c r="BT456" s="54"/>
      <c r="BU456" s="841"/>
      <c r="BV456" s="54"/>
      <c r="BW456" s="841"/>
      <c r="BX456" s="841"/>
      <c r="BY456" s="841"/>
      <c r="BZ456" s="54"/>
      <c r="CA456" s="841"/>
      <c r="CB456" s="54"/>
      <c r="CC456" s="841"/>
      <c r="CD456" s="841"/>
      <c r="CE456" s="841"/>
      <c r="CF456" s="841"/>
    </row>
    <row r="457" spans="1:85" x14ac:dyDescent="0.5">
      <c r="A457" s="227">
        <v>19046188</v>
      </c>
      <c r="B457" s="22">
        <v>19040355</v>
      </c>
      <c r="C457" s="55"/>
      <c r="D457" s="56"/>
      <c r="E457" s="910"/>
      <c r="F457" s="57"/>
      <c r="G457" s="58"/>
      <c r="H457" s="59"/>
      <c r="I457" s="60"/>
      <c r="J457" s="269"/>
      <c r="K457" s="59"/>
      <c r="L457" s="22" t="s">
        <v>1877</v>
      </c>
      <c r="M457" s="28" t="s">
        <v>1943</v>
      </c>
      <c r="N457" s="22" t="s">
        <v>51</v>
      </c>
      <c r="O457" s="29">
        <v>24000</v>
      </c>
      <c r="P457" s="29">
        <f t="shared" si="113"/>
        <v>1680</v>
      </c>
      <c r="Q457" s="29">
        <f>O457+P457</f>
        <v>25680</v>
      </c>
      <c r="R457" s="61"/>
      <c r="S457" s="96"/>
      <c r="T457" s="97"/>
      <c r="U457" s="98"/>
      <c r="V457" s="99"/>
      <c r="W457" s="100"/>
      <c r="X457" s="99"/>
      <c r="Y457" s="99"/>
      <c r="Z457" s="100"/>
      <c r="AA457" s="101"/>
      <c r="AB457" s="40">
        <v>19040133</v>
      </c>
      <c r="AC457" s="41">
        <v>24000</v>
      </c>
      <c r="AD457" s="63">
        <f>AC457*7/100</f>
        <v>1680</v>
      </c>
      <c r="AE457" s="64">
        <f>AC457+AD457</f>
        <v>25680</v>
      </c>
      <c r="AF457" s="53">
        <v>43572</v>
      </c>
      <c r="AG457" s="39" t="s">
        <v>869</v>
      </c>
      <c r="AH457" s="39"/>
      <c r="AI457" s="39"/>
      <c r="AJ457" s="21" t="s">
        <v>2168</v>
      </c>
      <c r="AK457" s="826">
        <v>1</v>
      </c>
      <c r="AL457" s="45" t="s">
        <v>1944</v>
      </c>
      <c r="AM457" s="46"/>
      <c r="AN457" s="46"/>
      <c r="AO457" s="47">
        <v>2</v>
      </c>
      <c r="AP457" s="48" t="s">
        <v>1485</v>
      </c>
      <c r="AQ457" s="826">
        <v>2</v>
      </c>
      <c r="AR457" s="40" t="s">
        <v>1681</v>
      </c>
      <c r="AS457" s="47"/>
      <c r="AT457" s="47"/>
      <c r="AU457" s="47">
        <v>3</v>
      </c>
      <c r="AV457" s="49" t="s">
        <v>1485</v>
      </c>
      <c r="AW457" s="837"/>
      <c r="AX457" s="54"/>
      <c r="AY457" s="837"/>
      <c r="AZ457" s="837"/>
      <c r="BA457" s="837"/>
      <c r="BB457" s="54"/>
      <c r="BC457" s="837"/>
      <c r="BD457" s="54"/>
      <c r="BE457" s="837"/>
      <c r="BF457" s="837"/>
      <c r="BG457" s="837"/>
      <c r="BH457" s="54"/>
      <c r="BI457" s="837"/>
      <c r="BJ457" s="54"/>
      <c r="BK457" s="837"/>
      <c r="BL457" s="837"/>
      <c r="BM457" s="837"/>
      <c r="BN457" s="54"/>
      <c r="BO457" s="837"/>
      <c r="BP457" s="54"/>
      <c r="BQ457" s="837"/>
      <c r="BR457" s="837"/>
      <c r="BS457" s="837"/>
      <c r="BT457" s="54"/>
      <c r="BU457" s="837"/>
      <c r="BV457" s="54"/>
      <c r="BW457" s="837"/>
      <c r="BX457" s="837"/>
      <c r="BY457" s="837"/>
      <c r="BZ457" s="54"/>
      <c r="CA457" s="837"/>
      <c r="CB457" s="54"/>
      <c r="CC457" s="837"/>
      <c r="CD457" s="837"/>
      <c r="CE457" s="837"/>
      <c r="CF457" s="837"/>
    </row>
    <row r="458" spans="1:85" x14ac:dyDescent="0.5">
      <c r="A458" s="21">
        <v>19046187</v>
      </c>
      <c r="B458" s="22">
        <v>19040343</v>
      </c>
      <c r="C458" s="23" t="s">
        <v>1351</v>
      </c>
      <c r="D458" s="24" t="s">
        <v>1323</v>
      </c>
      <c r="E458" s="884"/>
      <c r="F458" s="932"/>
      <c r="G458" s="933"/>
      <c r="H458" s="22"/>
      <c r="I458" s="27"/>
      <c r="J458" s="931"/>
      <c r="K458" s="40"/>
      <c r="L458" s="22" t="s">
        <v>154</v>
      </c>
      <c r="M458" s="28" t="s">
        <v>1967</v>
      </c>
      <c r="N458" s="22" t="s">
        <v>51</v>
      </c>
      <c r="O458" s="29">
        <v>24500</v>
      </c>
      <c r="P458" s="29">
        <f t="shared" si="113"/>
        <v>1715</v>
      </c>
      <c r="Q458" s="29">
        <f>O458+P458</f>
        <v>26215</v>
      </c>
      <c r="R458" s="61"/>
      <c r="S458" s="96"/>
      <c r="T458" s="97"/>
      <c r="U458" s="98"/>
      <c r="V458" s="99"/>
      <c r="W458" s="100"/>
      <c r="X458" s="99"/>
      <c r="Y458" s="99"/>
      <c r="Z458" s="100"/>
      <c r="AA458" s="101"/>
      <c r="AB458" s="40"/>
      <c r="AC458" s="41"/>
      <c r="AD458" s="42"/>
      <c r="AE458" s="42"/>
      <c r="AF458" s="43"/>
      <c r="AG458" s="39"/>
      <c r="AH458" s="39"/>
      <c r="AI458" s="39"/>
      <c r="AJ458" s="21"/>
      <c r="AK458" s="826">
        <v>1</v>
      </c>
      <c r="AL458" s="45" t="s">
        <v>1968</v>
      </c>
      <c r="AM458" s="46"/>
      <c r="AN458" s="46"/>
      <c r="AO458" s="47">
        <v>5</v>
      </c>
      <c r="AP458" s="48" t="s">
        <v>628</v>
      </c>
      <c r="AQ458" s="841"/>
      <c r="AR458" s="54"/>
      <c r="AS458" s="841"/>
      <c r="AT458" s="841"/>
      <c r="AU458" s="841"/>
      <c r="AV458" s="54"/>
      <c r="AW458" s="841"/>
      <c r="AX458" s="54"/>
      <c r="AY458" s="841"/>
      <c r="AZ458" s="841"/>
      <c r="BA458" s="841"/>
      <c r="BB458" s="54"/>
      <c r="BC458" s="841"/>
      <c r="BD458" s="54"/>
      <c r="BE458" s="841"/>
      <c r="BF458" s="841"/>
      <c r="BG458" s="841"/>
      <c r="BH458" s="54"/>
      <c r="BI458" s="841"/>
      <c r="BJ458" s="54"/>
      <c r="BK458" s="841"/>
      <c r="BL458" s="841"/>
      <c r="BM458" s="841"/>
      <c r="BN458" s="54"/>
      <c r="BO458" s="841"/>
      <c r="BP458" s="54"/>
      <c r="BQ458" s="841"/>
      <c r="BR458" s="841"/>
      <c r="BS458" s="841"/>
      <c r="BT458" s="54"/>
      <c r="BU458" s="841"/>
      <c r="BV458" s="54"/>
      <c r="BW458" s="841"/>
      <c r="BX458" s="841"/>
      <c r="BY458" s="841"/>
      <c r="BZ458" s="54"/>
      <c r="CA458" s="841"/>
      <c r="CB458" s="54"/>
      <c r="CC458" s="841"/>
      <c r="CD458" s="841"/>
      <c r="CE458" s="841"/>
      <c r="CF458" s="841"/>
    </row>
    <row r="459" spans="1:85" x14ac:dyDescent="0.5">
      <c r="A459" s="259">
        <v>19046186</v>
      </c>
      <c r="B459" s="104">
        <v>19030303</v>
      </c>
      <c r="C459" s="242"/>
      <c r="D459" s="243"/>
      <c r="E459" s="912"/>
      <c r="F459" s="244"/>
      <c r="G459" s="245"/>
      <c r="H459" s="246"/>
      <c r="I459" s="247"/>
      <c r="J459" s="306"/>
      <c r="K459" s="246"/>
      <c r="L459" s="104" t="s">
        <v>1942</v>
      </c>
      <c r="M459" s="110" t="s">
        <v>1945</v>
      </c>
      <c r="N459" s="104" t="s">
        <v>50</v>
      </c>
      <c r="O459" s="111">
        <v>373831.78</v>
      </c>
      <c r="P459" s="111">
        <f t="shared" ref="P459:P469" si="114">O459*7/100</f>
        <v>26168.224600000001</v>
      </c>
      <c r="Q459" s="111">
        <f>P459+O459</f>
        <v>400000.00460000004</v>
      </c>
      <c r="R459" s="212"/>
      <c r="S459" s="165"/>
      <c r="T459" s="166"/>
      <c r="U459" s="167"/>
      <c r="V459" s="168"/>
      <c r="W459" s="117">
        <f>O459-13000</f>
        <v>360831.78</v>
      </c>
      <c r="X459" s="118">
        <v>1</v>
      </c>
      <c r="Y459" s="118">
        <f>W459*X459/100</f>
        <v>3608.3178000000003</v>
      </c>
      <c r="Z459" s="231"/>
      <c r="AA459" s="232"/>
      <c r="AB459" s="229">
        <v>19040131</v>
      </c>
      <c r="AC459" s="230">
        <v>74766.36</v>
      </c>
      <c r="AD459" s="233">
        <f>AC459*7/100</f>
        <v>5233.6451999999999</v>
      </c>
      <c r="AE459" s="234">
        <f>AC459+AD459</f>
        <v>80000.0052</v>
      </c>
      <c r="AF459" s="221">
        <v>43566</v>
      </c>
      <c r="AG459" s="121" t="s">
        <v>869</v>
      </c>
      <c r="AH459" s="121"/>
      <c r="AI459" s="121"/>
      <c r="AJ459" s="222" t="s">
        <v>2041</v>
      </c>
      <c r="AK459" s="128">
        <v>1</v>
      </c>
      <c r="AL459" s="129" t="s">
        <v>1946</v>
      </c>
      <c r="AM459" s="130"/>
      <c r="AN459" s="130"/>
      <c r="AO459" s="131">
        <v>1</v>
      </c>
      <c r="AP459" s="132" t="s">
        <v>1947</v>
      </c>
      <c r="AQ459" s="128"/>
      <c r="AR459" s="133"/>
      <c r="AS459" s="128"/>
      <c r="AT459" s="128"/>
      <c r="AU459" s="128"/>
      <c r="AV459" s="133"/>
      <c r="AW459" s="128"/>
      <c r="AX459" s="133"/>
      <c r="AY459" s="128"/>
      <c r="AZ459" s="128"/>
      <c r="BA459" s="128"/>
      <c r="BB459" s="133"/>
      <c r="BC459" s="128"/>
      <c r="BD459" s="133"/>
      <c r="BE459" s="128"/>
      <c r="BF459" s="128"/>
      <c r="BG459" s="128"/>
      <c r="BH459" s="133"/>
      <c r="BI459" s="128"/>
      <c r="BJ459" s="133"/>
      <c r="BK459" s="128"/>
      <c r="BL459" s="128"/>
      <c r="BM459" s="128"/>
      <c r="BN459" s="133"/>
      <c r="BO459" s="128"/>
      <c r="BP459" s="133"/>
      <c r="BQ459" s="128"/>
      <c r="BR459" s="128"/>
      <c r="BS459" s="128"/>
      <c r="BT459" s="133"/>
      <c r="BU459" s="128"/>
      <c r="BV459" s="133"/>
      <c r="BW459" s="128"/>
      <c r="BX459" s="128"/>
      <c r="BY459" s="128"/>
      <c r="BZ459" s="133"/>
      <c r="CA459" s="128"/>
      <c r="CB459" s="133"/>
      <c r="CC459" s="128"/>
      <c r="CD459" s="128"/>
      <c r="CE459" s="128"/>
      <c r="CF459" s="128"/>
      <c r="CG459" s="51" t="s">
        <v>1952</v>
      </c>
    </row>
    <row r="460" spans="1:85" x14ac:dyDescent="0.5">
      <c r="A460" s="262"/>
      <c r="B460" s="135"/>
      <c r="C460" s="276"/>
      <c r="D460" s="277"/>
      <c r="E460" s="1054"/>
      <c r="F460" s="278"/>
      <c r="G460" s="279"/>
      <c r="H460" s="280"/>
      <c r="I460" s="281"/>
      <c r="J460" s="836"/>
      <c r="K460" s="280"/>
      <c r="L460" s="135"/>
      <c r="M460" s="141"/>
      <c r="N460" s="135"/>
      <c r="O460" s="142"/>
      <c r="P460" s="142"/>
      <c r="Q460" s="142"/>
      <c r="R460" s="213"/>
      <c r="S460" s="172"/>
      <c r="T460" s="173"/>
      <c r="U460" s="174"/>
      <c r="V460" s="175"/>
      <c r="W460" s="148"/>
      <c r="X460" s="149"/>
      <c r="Y460" s="149"/>
      <c r="Z460" s="282"/>
      <c r="AA460" s="283"/>
      <c r="AB460" s="292">
        <v>19050170</v>
      </c>
      <c r="AC460" s="293">
        <v>261682.24</v>
      </c>
      <c r="AD460" s="294">
        <f>AC460*7/100</f>
        <v>18317.756799999999</v>
      </c>
      <c r="AE460" s="532">
        <f>AC460+AD460</f>
        <v>279999.99679999996</v>
      </c>
      <c r="AF460" s="295">
        <v>43593</v>
      </c>
      <c r="AG460" s="296" t="s">
        <v>869</v>
      </c>
      <c r="AH460" s="296"/>
      <c r="AI460" s="296"/>
      <c r="AJ460" s="308" t="s">
        <v>2171</v>
      </c>
      <c r="AK460" s="158"/>
      <c r="AL460" s="159"/>
      <c r="AM460" s="160"/>
      <c r="AN460" s="160"/>
      <c r="AO460" s="161"/>
      <c r="AP460" s="162"/>
      <c r="AQ460" s="158"/>
      <c r="AR460" s="163"/>
      <c r="AS460" s="158"/>
      <c r="AT460" s="158"/>
      <c r="AU460" s="158"/>
      <c r="AV460" s="163"/>
      <c r="AW460" s="158"/>
      <c r="AX460" s="163"/>
      <c r="AY460" s="158"/>
      <c r="AZ460" s="158"/>
      <c r="BA460" s="158"/>
      <c r="BB460" s="163"/>
      <c r="BC460" s="158"/>
      <c r="BD460" s="163"/>
      <c r="BE460" s="158"/>
      <c r="BF460" s="158"/>
      <c r="BG460" s="158"/>
      <c r="BH460" s="163"/>
      <c r="BI460" s="158"/>
      <c r="BJ460" s="163"/>
      <c r="BK460" s="158"/>
      <c r="BL460" s="158"/>
      <c r="BM460" s="158"/>
      <c r="BN460" s="163"/>
      <c r="BO460" s="158"/>
      <c r="BP460" s="163"/>
      <c r="BQ460" s="158"/>
      <c r="BR460" s="158"/>
      <c r="BS460" s="158"/>
      <c r="BT460" s="163"/>
      <c r="BU460" s="158"/>
      <c r="BV460" s="163"/>
      <c r="BW460" s="158"/>
      <c r="BX460" s="158"/>
      <c r="BY460" s="158"/>
      <c r="BZ460" s="163"/>
      <c r="CA460" s="158"/>
      <c r="CB460" s="163"/>
      <c r="CC460" s="158"/>
      <c r="CD460" s="158"/>
      <c r="CE460" s="158"/>
      <c r="CF460" s="158"/>
    </row>
    <row r="461" spans="1:85" x14ac:dyDescent="0.5">
      <c r="A461" s="268"/>
      <c r="B461" s="181"/>
      <c r="C461" s="285"/>
      <c r="D461" s="286"/>
      <c r="E461" s="913"/>
      <c r="F461" s="287"/>
      <c r="G461" s="288"/>
      <c r="H461" s="289"/>
      <c r="I461" s="290"/>
      <c r="J461" s="832"/>
      <c r="K461" s="289"/>
      <c r="L461" s="181"/>
      <c r="M461" s="188"/>
      <c r="N461" s="181"/>
      <c r="O461" s="189"/>
      <c r="P461" s="189"/>
      <c r="Q461" s="189"/>
      <c r="R461" s="214"/>
      <c r="S461" s="191"/>
      <c r="T461" s="192"/>
      <c r="U461" s="193"/>
      <c r="V461" s="194"/>
      <c r="W461" s="195"/>
      <c r="X461" s="196"/>
      <c r="Y461" s="196"/>
      <c r="Z461" s="235"/>
      <c r="AA461" s="236"/>
      <c r="AB461" s="200">
        <v>19050187</v>
      </c>
      <c r="AC461" s="201">
        <v>37383.18</v>
      </c>
      <c r="AD461" s="237">
        <f>AC461*7/100</f>
        <v>2616.8226</v>
      </c>
      <c r="AE461" s="238">
        <f>AC461+AD461</f>
        <v>40000.0026</v>
      </c>
      <c r="AF461" s="203">
        <v>43615</v>
      </c>
      <c r="AG461" s="199" t="s">
        <v>869</v>
      </c>
      <c r="AH461" s="199"/>
      <c r="AI461" s="199"/>
      <c r="AJ461" s="180" t="s">
        <v>2356</v>
      </c>
      <c r="AK461" s="204"/>
      <c r="AL461" s="205"/>
      <c r="AM461" s="206"/>
      <c r="AN461" s="206"/>
      <c r="AO461" s="207"/>
      <c r="AP461" s="208"/>
      <c r="AQ461" s="204"/>
      <c r="AR461" s="210"/>
      <c r="AS461" s="204"/>
      <c r="AT461" s="204"/>
      <c r="AU461" s="204"/>
      <c r="AV461" s="210"/>
      <c r="AW461" s="204"/>
      <c r="AX461" s="210"/>
      <c r="AY461" s="204"/>
      <c r="AZ461" s="204"/>
      <c r="BA461" s="204"/>
      <c r="BB461" s="210"/>
      <c r="BC461" s="204"/>
      <c r="BD461" s="210"/>
      <c r="BE461" s="204"/>
      <c r="BF461" s="204"/>
      <c r="BG461" s="204"/>
      <c r="BH461" s="210"/>
      <c r="BI461" s="204"/>
      <c r="BJ461" s="210"/>
      <c r="BK461" s="204"/>
      <c r="BL461" s="204"/>
      <c r="BM461" s="204"/>
      <c r="BN461" s="210"/>
      <c r="BO461" s="204"/>
      <c r="BP461" s="210"/>
      <c r="BQ461" s="204"/>
      <c r="BR461" s="204"/>
      <c r="BS461" s="204"/>
      <c r="BT461" s="210"/>
      <c r="BU461" s="204"/>
      <c r="BV461" s="210"/>
      <c r="BW461" s="204"/>
      <c r="BX461" s="204"/>
      <c r="BY461" s="204"/>
      <c r="BZ461" s="210"/>
      <c r="CA461" s="204"/>
      <c r="CB461" s="210"/>
      <c r="CC461" s="204"/>
      <c r="CD461" s="204"/>
      <c r="CE461" s="204"/>
      <c r="CF461" s="204"/>
    </row>
    <row r="462" spans="1:85" s="95" customFormat="1" x14ac:dyDescent="0.5">
      <c r="A462" s="65">
        <v>19046185</v>
      </c>
      <c r="B462" s="66">
        <v>19040340</v>
      </c>
      <c r="C462" s="67" t="s">
        <v>1388</v>
      </c>
      <c r="D462" s="68" t="s">
        <v>1323</v>
      </c>
      <c r="E462" s="905">
        <v>43578</v>
      </c>
      <c r="F462" s="934"/>
      <c r="G462" s="935"/>
      <c r="H462" s="66"/>
      <c r="I462" s="71"/>
      <c r="J462" s="958"/>
      <c r="K462" s="84"/>
      <c r="L462" s="66" t="s">
        <v>20</v>
      </c>
      <c r="M462" s="72" t="s">
        <v>1948</v>
      </c>
      <c r="N462" s="66" t="s">
        <v>51</v>
      </c>
      <c r="O462" s="73">
        <v>26544</v>
      </c>
      <c r="P462" s="73">
        <f t="shared" si="114"/>
        <v>1858.08</v>
      </c>
      <c r="Q462" s="73">
        <f t="shared" ref="Q462:Q469" si="115">O462+P462</f>
        <v>28402.080000000002</v>
      </c>
      <c r="R462" s="318"/>
      <c r="S462" s="319"/>
      <c r="T462" s="320"/>
      <c r="U462" s="321"/>
      <c r="V462" s="322"/>
      <c r="W462" s="323"/>
      <c r="X462" s="322"/>
      <c r="Y462" s="322"/>
      <c r="Z462" s="323"/>
      <c r="AA462" s="324"/>
      <c r="AB462" s="84"/>
      <c r="AC462" s="85"/>
      <c r="AD462" s="86"/>
      <c r="AE462" s="86"/>
      <c r="AF462" s="87"/>
      <c r="AG462" s="83"/>
      <c r="AH462" s="83"/>
      <c r="AI462" s="83"/>
      <c r="AJ462" s="65"/>
      <c r="AK462" s="88">
        <v>1</v>
      </c>
      <c r="AL462" s="89" t="s">
        <v>1949</v>
      </c>
      <c r="AM462" s="90"/>
      <c r="AN462" s="90" t="s">
        <v>869</v>
      </c>
      <c r="AO462" s="91">
        <v>1</v>
      </c>
      <c r="AP462" s="92" t="s">
        <v>633</v>
      </c>
      <c r="AQ462" s="88"/>
      <c r="AR462" s="94"/>
      <c r="AS462" s="88"/>
      <c r="AT462" s="88"/>
      <c r="AU462" s="88"/>
      <c r="AV462" s="94"/>
      <c r="AW462" s="88"/>
      <c r="AX462" s="94"/>
      <c r="AY462" s="88"/>
      <c r="AZ462" s="88"/>
      <c r="BA462" s="88"/>
      <c r="BB462" s="94"/>
      <c r="BC462" s="88"/>
      <c r="BD462" s="94"/>
      <c r="BE462" s="88"/>
      <c r="BF462" s="88"/>
      <c r="BG462" s="88"/>
      <c r="BH462" s="94"/>
      <c r="BI462" s="88"/>
      <c r="BJ462" s="94"/>
      <c r="BK462" s="88"/>
      <c r="BL462" s="88"/>
      <c r="BM462" s="88"/>
      <c r="BN462" s="94"/>
      <c r="BO462" s="88"/>
      <c r="BP462" s="94"/>
      <c r="BQ462" s="88"/>
      <c r="BR462" s="88"/>
      <c r="BS462" s="88"/>
      <c r="BT462" s="94"/>
      <c r="BU462" s="88"/>
      <c r="BV462" s="94"/>
      <c r="BW462" s="88"/>
      <c r="BX462" s="88"/>
      <c r="BY462" s="88"/>
      <c r="BZ462" s="94"/>
      <c r="CA462" s="88"/>
      <c r="CB462" s="94"/>
      <c r="CC462" s="88"/>
      <c r="CD462" s="88"/>
      <c r="CE462" s="88"/>
      <c r="CF462" s="88"/>
    </row>
    <row r="463" spans="1:85" x14ac:dyDescent="0.5">
      <c r="A463" s="227">
        <v>19046184</v>
      </c>
      <c r="B463" s="22">
        <v>19040339</v>
      </c>
      <c r="C463" s="23" t="s">
        <v>1387</v>
      </c>
      <c r="D463" s="24" t="s">
        <v>1323</v>
      </c>
      <c r="E463" s="884">
        <v>43578</v>
      </c>
      <c r="F463" s="932" t="s">
        <v>1324</v>
      </c>
      <c r="G463" s="933" t="s">
        <v>1387</v>
      </c>
      <c r="H463" s="62">
        <v>43578</v>
      </c>
      <c r="I463" s="27">
        <v>19120</v>
      </c>
      <c r="J463" s="931" t="s">
        <v>869</v>
      </c>
      <c r="K463" s="957">
        <v>43578</v>
      </c>
      <c r="L463" s="22" t="s">
        <v>20</v>
      </c>
      <c r="M463" s="28" t="s">
        <v>1950</v>
      </c>
      <c r="N463" s="22" t="s">
        <v>51</v>
      </c>
      <c r="O463" s="29">
        <v>22272</v>
      </c>
      <c r="P463" s="29">
        <f t="shared" si="114"/>
        <v>1559.04</v>
      </c>
      <c r="Q463" s="29">
        <f t="shared" si="115"/>
        <v>23831.040000000001</v>
      </c>
      <c r="R463" s="61"/>
      <c r="S463" s="96"/>
      <c r="T463" s="97"/>
      <c r="U463" s="98"/>
      <c r="V463" s="99"/>
      <c r="W463" s="100"/>
      <c r="X463" s="99"/>
      <c r="Y463" s="99"/>
      <c r="Z463" s="100"/>
      <c r="AA463" s="101"/>
      <c r="AB463" s="40">
        <v>19040140</v>
      </c>
      <c r="AC463" s="41">
        <v>22272</v>
      </c>
      <c r="AD463" s="52">
        <f>AC463*7/100</f>
        <v>1559.04</v>
      </c>
      <c r="AE463" s="52">
        <f>AC463+AD463</f>
        <v>23831.040000000001</v>
      </c>
      <c r="AF463" s="53">
        <v>43610</v>
      </c>
      <c r="AG463" s="39" t="s">
        <v>869</v>
      </c>
      <c r="AH463" s="39"/>
      <c r="AI463" s="39"/>
      <c r="AJ463" s="21" t="s">
        <v>2370</v>
      </c>
      <c r="AK463" s="826">
        <v>1</v>
      </c>
      <c r="AL463" s="45" t="s">
        <v>1951</v>
      </c>
      <c r="AM463" s="46"/>
      <c r="AN463" s="46" t="s">
        <v>869</v>
      </c>
      <c r="AO463" s="47">
        <v>1</v>
      </c>
      <c r="AP463" s="48" t="s">
        <v>633</v>
      </c>
      <c r="AQ463" s="837"/>
      <c r="AR463" s="54"/>
      <c r="AS463" s="837"/>
      <c r="AT463" s="837"/>
      <c r="AU463" s="837"/>
      <c r="AV463" s="54"/>
      <c r="AW463" s="837"/>
      <c r="AX463" s="54"/>
      <c r="AY463" s="837"/>
      <c r="AZ463" s="837"/>
      <c r="BA463" s="837"/>
      <c r="BB463" s="54"/>
      <c r="BC463" s="837"/>
      <c r="BD463" s="54"/>
      <c r="BE463" s="837"/>
      <c r="BF463" s="837"/>
      <c r="BG463" s="837"/>
      <c r="BH463" s="54"/>
      <c r="BI463" s="837"/>
      <c r="BJ463" s="54"/>
      <c r="BK463" s="837"/>
      <c r="BL463" s="837"/>
      <c r="BM463" s="837"/>
      <c r="BN463" s="54"/>
      <c r="BO463" s="837"/>
      <c r="BP463" s="54"/>
      <c r="BQ463" s="837"/>
      <c r="BR463" s="837"/>
      <c r="BS463" s="837"/>
      <c r="BT463" s="54"/>
      <c r="BU463" s="837"/>
      <c r="BV463" s="54"/>
      <c r="BW463" s="837"/>
      <c r="BX463" s="837"/>
      <c r="BY463" s="837"/>
      <c r="BZ463" s="54"/>
      <c r="CA463" s="837"/>
      <c r="CB463" s="54"/>
      <c r="CC463" s="837"/>
      <c r="CD463" s="837"/>
      <c r="CE463" s="837"/>
      <c r="CF463" s="837"/>
    </row>
    <row r="464" spans="1:85" x14ac:dyDescent="0.5">
      <c r="A464" s="227">
        <v>19046183</v>
      </c>
      <c r="B464" s="22">
        <v>19040336</v>
      </c>
      <c r="C464" s="23" t="s">
        <v>1385</v>
      </c>
      <c r="D464" s="24" t="s">
        <v>1323</v>
      </c>
      <c r="E464" s="884">
        <v>43565</v>
      </c>
      <c r="F464" s="932" t="s">
        <v>1324</v>
      </c>
      <c r="G464" s="933" t="s">
        <v>1394</v>
      </c>
      <c r="H464" s="62">
        <v>43565</v>
      </c>
      <c r="I464" s="27">
        <v>19115</v>
      </c>
      <c r="J464" s="931" t="s">
        <v>869</v>
      </c>
      <c r="K464" s="957">
        <v>43565</v>
      </c>
      <c r="L464" s="22" t="s">
        <v>10</v>
      </c>
      <c r="M464" s="28" t="s">
        <v>1906</v>
      </c>
      <c r="N464" s="22" t="s">
        <v>51</v>
      </c>
      <c r="O464" s="29">
        <v>42000</v>
      </c>
      <c r="P464" s="29">
        <f t="shared" si="114"/>
        <v>2940</v>
      </c>
      <c r="Q464" s="29">
        <f t="shared" si="115"/>
        <v>44940</v>
      </c>
      <c r="R464" s="61"/>
      <c r="S464" s="96"/>
      <c r="T464" s="97"/>
      <c r="U464" s="98"/>
      <c r="V464" s="99"/>
      <c r="W464" s="100"/>
      <c r="X464" s="99"/>
      <c r="Y464" s="99"/>
      <c r="Z464" s="100"/>
      <c r="AA464" s="101"/>
      <c r="AB464" s="40">
        <v>19040129</v>
      </c>
      <c r="AC464" s="41">
        <v>42000</v>
      </c>
      <c r="AD464" s="63">
        <f>AC464*7/100</f>
        <v>2940</v>
      </c>
      <c r="AE464" s="64">
        <f>AC464+AD464</f>
        <v>44940</v>
      </c>
      <c r="AF464" s="53">
        <v>43609</v>
      </c>
      <c r="AG464" s="39" t="s">
        <v>869</v>
      </c>
      <c r="AH464" s="39"/>
      <c r="AI464" s="39"/>
      <c r="AJ464" s="21" t="s">
        <v>2049</v>
      </c>
      <c r="AK464" s="826">
        <v>1</v>
      </c>
      <c r="AL464" s="45" t="s">
        <v>1252</v>
      </c>
      <c r="AM464" s="46"/>
      <c r="AN464" s="46" t="s">
        <v>869</v>
      </c>
      <c r="AO464" s="47">
        <v>1</v>
      </c>
      <c r="AP464" s="48" t="s">
        <v>633</v>
      </c>
      <c r="AQ464" s="829"/>
      <c r="AR464" s="54"/>
      <c r="AS464" s="829"/>
      <c r="AT464" s="829"/>
      <c r="AU464" s="829"/>
      <c r="AV464" s="54"/>
      <c r="AW464" s="829"/>
      <c r="AX464" s="54"/>
      <c r="AY464" s="829"/>
      <c r="AZ464" s="829"/>
      <c r="BA464" s="829"/>
      <c r="BB464" s="54"/>
      <c r="BC464" s="829"/>
      <c r="BD464" s="54"/>
      <c r="BE464" s="829"/>
      <c r="BF464" s="829"/>
      <c r="BG464" s="829"/>
      <c r="BH464" s="54"/>
      <c r="BI464" s="829"/>
      <c r="BJ464" s="54"/>
      <c r="BK464" s="829"/>
      <c r="BL464" s="829"/>
      <c r="BM464" s="829"/>
      <c r="BN464" s="54"/>
      <c r="BO464" s="829"/>
      <c r="BP464" s="54"/>
      <c r="BQ464" s="829"/>
      <c r="BR464" s="829"/>
      <c r="BS464" s="829"/>
      <c r="BT464" s="54"/>
      <c r="BU464" s="829"/>
      <c r="BV464" s="54"/>
      <c r="BW464" s="829"/>
      <c r="BX464" s="829"/>
      <c r="BY464" s="829"/>
      <c r="BZ464" s="54"/>
      <c r="CA464" s="829"/>
      <c r="CB464" s="54"/>
      <c r="CC464" s="829"/>
      <c r="CD464" s="829"/>
      <c r="CE464" s="829"/>
      <c r="CF464" s="829"/>
    </row>
    <row r="465" spans="1:85" x14ac:dyDescent="0.5">
      <c r="A465" s="227">
        <v>19046182</v>
      </c>
      <c r="B465" s="22">
        <v>19040325</v>
      </c>
      <c r="C465" s="23" t="s">
        <v>1386</v>
      </c>
      <c r="D465" s="24" t="s">
        <v>1323</v>
      </c>
      <c r="E465" s="884">
        <v>43565</v>
      </c>
      <c r="F465" s="932" t="s">
        <v>1324</v>
      </c>
      <c r="G465" s="933" t="s">
        <v>1395</v>
      </c>
      <c r="H465" s="62">
        <v>43565</v>
      </c>
      <c r="I465" s="27">
        <v>19114</v>
      </c>
      <c r="J465" s="931" t="s">
        <v>869</v>
      </c>
      <c r="K465" s="957">
        <v>43565</v>
      </c>
      <c r="L465" s="22" t="s">
        <v>1221</v>
      </c>
      <c r="M465" s="28" t="s">
        <v>1907</v>
      </c>
      <c r="N465" s="22" t="s">
        <v>51</v>
      </c>
      <c r="O465" s="29">
        <v>63000</v>
      </c>
      <c r="P465" s="29">
        <f t="shared" si="114"/>
        <v>4410</v>
      </c>
      <c r="Q465" s="29">
        <f t="shared" si="115"/>
        <v>67410</v>
      </c>
      <c r="R465" s="61"/>
      <c r="S465" s="96"/>
      <c r="T465" s="97"/>
      <c r="U465" s="98"/>
      <c r="V465" s="99"/>
      <c r="W465" s="100"/>
      <c r="X465" s="99"/>
      <c r="Y465" s="99"/>
      <c r="Z465" s="100"/>
      <c r="AA465" s="101"/>
      <c r="AB465" s="40">
        <v>19040130</v>
      </c>
      <c r="AC465" s="41">
        <v>63000</v>
      </c>
      <c r="AD465" s="63">
        <f>AC465*7/100</f>
        <v>4410</v>
      </c>
      <c r="AE465" s="64">
        <f>AC465+AD465</f>
        <v>67410</v>
      </c>
      <c r="AF465" s="53">
        <v>43609</v>
      </c>
      <c r="AG465" s="39" t="s">
        <v>869</v>
      </c>
      <c r="AH465" s="39"/>
      <c r="AI465" s="39"/>
      <c r="AJ465" s="21" t="s">
        <v>2167</v>
      </c>
      <c r="AK465" s="826">
        <v>1</v>
      </c>
      <c r="AL465" s="45" t="s">
        <v>1908</v>
      </c>
      <c r="AM465" s="46" t="s">
        <v>869</v>
      </c>
      <c r="AN465" s="46"/>
      <c r="AO465" s="47">
        <v>1</v>
      </c>
      <c r="AP465" s="48" t="s">
        <v>635</v>
      </c>
      <c r="AQ465" s="829"/>
      <c r="AR465" s="54"/>
      <c r="AS465" s="829"/>
      <c r="AT465" s="829"/>
      <c r="AU465" s="829"/>
      <c r="AV465" s="54"/>
      <c r="AW465" s="829"/>
      <c r="AX465" s="54"/>
      <c r="AY465" s="829"/>
      <c r="AZ465" s="829"/>
      <c r="BA465" s="829"/>
      <c r="BB465" s="54"/>
      <c r="BC465" s="829"/>
      <c r="BD465" s="54"/>
      <c r="BE465" s="829"/>
      <c r="BF465" s="829"/>
      <c r="BG465" s="829"/>
      <c r="BH465" s="54"/>
      <c r="BI465" s="829"/>
      <c r="BJ465" s="54"/>
      <c r="BK465" s="829"/>
      <c r="BL465" s="829"/>
      <c r="BM465" s="829"/>
      <c r="BN465" s="54"/>
      <c r="BO465" s="829"/>
      <c r="BP465" s="54"/>
      <c r="BQ465" s="829"/>
      <c r="BR465" s="829"/>
      <c r="BS465" s="829"/>
      <c r="BT465" s="54"/>
      <c r="BU465" s="829"/>
      <c r="BV465" s="54"/>
      <c r="BW465" s="829"/>
      <c r="BX465" s="829"/>
      <c r="BY465" s="829"/>
      <c r="BZ465" s="54"/>
      <c r="CA465" s="829"/>
      <c r="CB465" s="54"/>
      <c r="CC465" s="829"/>
      <c r="CD465" s="829"/>
      <c r="CE465" s="829"/>
      <c r="CF465" s="829"/>
    </row>
    <row r="466" spans="1:85" x14ac:dyDescent="0.5">
      <c r="A466" s="259">
        <v>19046181</v>
      </c>
      <c r="B466" s="104">
        <v>19040322</v>
      </c>
      <c r="C466" s="105" t="s">
        <v>1392</v>
      </c>
      <c r="D466" s="106" t="s">
        <v>1323</v>
      </c>
      <c r="E466" s="302">
        <v>43580</v>
      </c>
      <c r="F466" s="936" t="s">
        <v>1324</v>
      </c>
      <c r="G466" s="937" t="s">
        <v>1377</v>
      </c>
      <c r="H466" s="122">
        <v>43608</v>
      </c>
      <c r="I466" s="109">
        <v>19134</v>
      </c>
      <c r="J466" s="960" t="s">
        <v>869</v>
      </c>
      <c r="K466" s="965">
        <v>43602</v>
      </c>
      <c r="L466" s="104" t="s">
        <v>543</v>
      </c>
      <c r="M466" s="110" t="s">
        <v>1909</v>
      </c>
      <c r="N466" s="104" t="s">
        <v>51</v>
      </c>
      <c r="O466" s="111">
        <v>600600</v>
      </c>
      <c r="P466" s="111" t="s">
        <v>402</v>
      </c>
      <c r="Q466" s="111">
        <f>O466</f>
        <v>600600</v>
      </c>
      <c r="R466" s="212"/>
      <c r="S466" s="165"/>
      <c r="T466" s="166"/>
      <c r="U466" s="167"/>
      <c r="V466" s="168"/>
      <c r="W466" s="231"/>
      <c r="X466" s="168"/>
      <c r="Y466" s="168"/>
      <c r="Z466" s="231"/>
      <c r="AA466" s="232"/>
      <c r="AB466" s="229" t="s">
        <v>2004</v>
      </c>
      <c r="AC466" s="230">
        <v>180180</v>
      </c>
      <c r="AD466" s="917" t="s">
        <v>402</v>
      </c>
      <c r="AE466" s="234">
        <f>AC466</f>
        <v>180180</v>
      </c>
      <c r="AF466" s="221">
        <v>43595</v>
      </c>
      <c r="AG466" s="121" t="s">
        <v>869</v>
      </c>
      <c r="AH466" s="121"/>
      <c r="AI466" s="121"/>
      <c r="AJ466" s="222" t="s">
        <v>2309</v>
      </c>
      <c r="AK466" s="128">
        <v>1</v>
      </c>
      <c r="AL466" s="129" t="s">
        <v>1910</v>
      </c>
      <c r="AM466" s="130" t="s">
        <v>869</v>
      </c>
      <c r="AN466" s="130"/>
      <c r="AO466" s="131">
        <v>1</v>
      </c>
      <c r="AP466" s="132" t="s">
        <v>1882</v>
      </c>
      <c r="AQ466" s="128"/>
      <c r="AR466" s="133"/>
      <c r="AS466" s="128"/>
      <c r="AT466" s="128"/>
      <c r="AU466" s="128"/>
      <c r="AV466" s="133"/>
      <c r="AW466" s="128"/>
      <c r="AX466" s="133"/>
      <c r="AY466" s="128"/>
      <c r="AZ466" s="128"/>
      <c r="BA466" s="128"/>
      <c r="BB466" s="133"/>
      <c r="BC466" s="128"/>
      <c r="BD466" s="133"/>
      <c r="BE466" s="128"/>
      <c r="BF466" s="128"/>
      <c r="BG466" s="128"/>
      <c r="BH466" s="133"/>
      <c r="BI466" s="128"/>
      <c r="BJ466" s="133"/>
      <c r="BK466" s="128"/>
      <c r="BL466" s="128"/>
      <c r="BM466" s="128"/>
      <c r="BN466" s="133"/>
      <c r="BO466" s="128"/>
      <c r="BP466" s="133"/>
      <c r="BQ466" s="128"/>
      <c r="BR466" s="128"/>
      <c r="BS466" s="128"/>
      <c r="BT466" s="133"/>
      <c r="BU466" s="128"/>
      <c r="BV466" s="133"/>
      <c r="BW466" s="128"/>
      <c r="BX466" s="128"/>
      <c r="BY466" s="128"/>
      <c r="BZ466" s="133"/>
      <c r="CA466" s="128"/>
      <c r="CB466" s="133"/>
      <c r="CC466" s="128"/>
      <c r="CD466" s="128"/>
      <c r="CE466" s="128"/>
      <c r="CF466" s="128"/>
    </row>
    <row r="467" spans="1:85" x14ac:dyDescent="0.5">
      <c r="A467" s="268"/>
      <c r="B467" s="181"/>
      <c r="C467" s="182"/>
      <c r="D467" s="183"/>
      <c r="E467" s="749"/>
      <c r="F467" s="938"/>
      <c r="G467" s="939"/>
      <c r="H467" s="186"/>
      <c r="I467" s="187"/>
      <c r="J467" s="961"/>
      <c r="K467" s="966"/>
      <c r="L467" s="181"/>
      <c r="M467" s="188"/>
      <c r="N467" s="181"/>
      <c r="O467" s="189"/>
      <c r="P467" s="189"/>
      <c r="Q467" s="189"/>
      <c r="R467" s="214"/>
      <c r="S467" s="191"/>
      <c r="T467" s="192"/>
      <c r="U467" s="193"/>
      <c r="V467" s="194"/>
      <c r="W467" s="235"/>
      <c r="X467" s="194"/>
      <c r="Y467" s="194"/>
      <c r="Z467" s="235"/>
      <c r="AA467" s="236"/>
      <c r="AB467" s="200">
        <v>19060223</v>
      </c>
      <c r="AC467" s="201">
        <v>420420</v>
      </c>
      <c r="AD467" s="916" t="s">
        <v>402</v>
      </c>
      <c r="AE467" s="238">
        <f>AC467</f>
        <v>420420</v>
      </c>
      <c r="AF467" s="203">
        <v>43641</v>
      </c>
      <c r="AG467" s="199" t="s">
        <v>869</v>
      </c>
      <c r="AH467" s="199"/>
      <c r="AI467" s="199"/>
      <c r="AJ467" s="843" t="s">
        <v>2355</v>
      </c>
      <c r="AK467" s="204"/>
      <c r="AL467" s="205"/>
      <c r="AM467" s="206"/>
      <c r="AN467" s="206"/>
      <c r="AO467" s="207"/>
      <c r="AP467" s="208"/>
      <c r="AQ467" s="204"/>
      <c r="AR467" s="210"/>
      <c r="AS467" s="204"/>
      <c r="AT467" s="204"/>
      <c r="AU467" s="204"/>
      <c r="AV467" s="210"/>
      <c r="AW467" s="204"/>
      <c r="AX467" s="210"/>
      <c r="AY467" s="204"/>
      <c r="AZ467" s="204"/>
      <c r="BA467" s="204"/>
      <c r="BB467" s="210"/>
      <c r="BC467" s="204"/>
      <c r="BD467" s="210"/>
      <c r="BE467" s="204"/>
      <c r="BF467" s="204"/>
      <c r="BG467" s="204"/>
      <c r="BH467" s="210"/>
      <c r="BI467" s="204"/>
      <c r="BJ467" s="210"/>
      <c r="BK467" s="204"/>
      <c r="BL467" s="204"/>
      <c r="BM467" s="204"/>
      <c r="BN467" s="210"/>
      <c r="BO467" s="204"/>
      <c r="BP467" s="210"/>
      <c r="BQ467" s="204"/>
      <c r="BR467" s="204"/>
      <c r="BS467" s="204"/>
      <c r="BT467" s="210"/>
      <c r="BU467" s="204"/>
      <c r="BV467" s="210"/>
      <c r="BW467" s="204"/>
      <c r="BX467" s="204"/>
      <c r="BY467" s="204"/>
      <c r="BZ467" s="210"/>
      <c r="CA467" s="204"/>
      <c r="CB467" s="210"/>
      <c r="CC467" s="204"/>
      <c r="CD467" s="204"/>
      <c r="CE467" s="204"/>
      <c r="CF467" s="204"/>
    </row>
    <row r="468" spans="1:85" x14ac:dyDescent="0.5">
      <c r="A468" s="227">
        <v>19046180</v>
      </c>
      <c r="B468" s="22">
        <v>19040319</v>
      </c>
      <c r="C468" s="23" t="s">
        <v>1393</v>
      </c>
      <c r="D468" s="24" t="s">
        <v>1323</v>
      </c>
      <c r="E468" s="884">
        <v>43574</v>
      </c>
      <c r="F468" s="932" t="s">
        <v>1324</v>
      </c>
      <c r="G468" s="933" t="s">
        <v>1392</v>
      </c>
      <c r="H468" s="62">
        <v>43574</v>
      </c>
      <c r="I468" s="27">
        <v>19117</v>
      </c>
      <c r="J468" s="931" t="s">
        <v>869</v>
      </c>
      <c r="K468" s="957">
        <v>43575</v>
      </c>
      <c r="L468" s="22" t="s">
        <v>304</v>
      </c>
      <c r="M468" s="28" t="s">
        <v>1901</v>
      </c>
      <c r="N468" s="22" t="s">
        <v>50</v>
      </c>
      <c r="O468" s="29">
        <v>37100</v>
      </c>
      <c r="P468" s="29">
        <f t="shared" si="114"/>
        <v>2597</v>
      </c>
      <c r="Q468" s="29">
        <f t="shared" si="115"/>
        <v>39697</v>
      </c>
      <c r="R468" s="61"/>
      <c r="S468" s="96"/>
      <c r="T468" s="97"/>
      <c r="U468" s="98"/>
      <c r="V468" s="99"/>
      <c r="W468" s="35">
        <f>O468</f>
        <v>37100</v>
      </c>
      <c r="X468" s="36">
        <v>0.5</v>
      </c>
      <c r="Y468" s="36">
        <f>W468*X468/100</f>
        <v>185.5</v>
      </c>
      <c r="Z468" s="37">
        <v>0.2</v>
      </c>
      <c r="AA468" s="38">
        <f>W468*Z468/100</f>
        <v>74.2</v>
      </c>
      <c r="AB468" s="40">
        <v>19040141</v>
      </c>
      <c r="AC468" s="41">
        <v>37100</v>
      </c>
      <c r="AD468" s="52">
        <f>AC468*7/100</f>
        <v>2597</v>
      </c>
      <c r="AE468" s="52">
        <f>AC468+AD468</f>
        <v>39697</v>
      </c>
      <c r="AF468" s="53">
        <v>43610</v>
      </c>
      <c r="AG468" s="39" t="s">
        <v>869</v>
      </c>
      <c r="AH468" s="39"/>
      <c r="AI468" s="39"/>
      <c r="AJ468" s="21" t="s">
        <v>2353</v>
      </c>
      <c r="AK468" s="748">
        <v>1</v>
      </c>
      <c r="AL468" s="45" t="s">
        <v>1902</v>
      </c>
      <c r="AM468" s="46"/>
      <c r="AN468" s="46" t="s">
        <v>869</v>
      </c>
      <c r="AO468" s="47">
        <v>1</v>
      </c>
      <c r="AP468" s="48" t="s">
        <v>634</v>
      </c>
      <c r="AQ468" s="828"/>
      <c r="AR468" s="54"/>
      <c r="AS468" s="828"/>
      <c r="AT468" s="828"/>
      <c r="AU468" s="828"/>
      <c r="AV468" s="54"/>
      <c r="AW468" s="828"/>
      <c r="AX468" s="54"/>
      <c r="AY468" s="828"/>
      <c r="AZ468" s="828"/>
      <c r="BA468" s="828"/>
      <c r="BB468" s="54"/>
      <c r="BC468" s="828"/>
      <c r="BD468" s="54"/>
      <c r="BE468" s="828"/>
      <c r="BF468" s="828"/>
      <c r="BG468" s="828"/>
      <c r="BH468" s="54"/>
      <c r="BI468" s="828"/>
      <c r="BJ468" s="54"/>
      <c r="BK468" s="828"/>
      <c r="BL468" s="828"/>
      <c r="BM468" s="828"/>
      <c r="BN468" s="54"/>
      <c r="BO468" s="828"/>
      <c r="BP468" s="54"/>
      <c r="BQ468" s="828"/>
      <c r="BR468" s="828"/>
      <c r="BS468" s="828"/>
      <c r="BT468" s="54"/>
      <c r="BU468" s="828"/>
      <c r="BV468" s="54"/>
      <c r="BW468" s="828"/>
      <c r="BX468" s="828"/>
      <c r="BY468" s="828"/>
      <c r="BZ468" s="54"/>
      <c r="CA468" s="828"/>
      <c r="CB468" s="54"/>
      <c r="CC468" s="828"/>
      <c r="CD468" s="828"/>
      <c r="CE468" s="828"/>
      <c r="CF468" s="828"/>
    </row>
    <row r="469" spans="1:85" x14ac:dyDescent="0.5">
      <c r="A469" s="227">
        <v>19046179</v>
      </c>
      <c r="B469" s="22">
        <v>19040313</v>
      </c>
      <c r="C469" s="55"/>
      <c r="D469" s="56"/>
      <c r="E469" s="910"/>
      <c r="F469" s="57"/>
      <c r="G469" s="58"/>
      <c r="H469" s="59"/>
      <c r="I469" s="60"/>
      <c r="J469" s="269"/>
      <c r="K469" s="59"/>
      <c r="L469" s="22" t="s">
        <v>1311</v>
      </c>
      <c r="M469" s="28" t="s">
        <v>1903</v>
      </c>
      <c r="N469" s="22" t="s">
        <v>51</v>
      </c>
      <c r="O469" s="29">
        <v>4750</v>
      </c>
      <c r="P469" s="29">
        <f t="shared" si="114"/>
        <v>332.5</v>
      </c>
      <c r="Q469" s="29">
        <f t="shared" si="115"/>
        <v>5082.5</v>
      </c>
      <c r="R469" s="61"/>
      <c r="S469" s="96"/>
      <c r="T469" s="97"/>
      <c r="U469" s="98"/>
      <c r="V469" s="99"/>
      <c r="W469" s="100"/>
      <c r="X469" s="99"/>
      <c r="Y469" s="99"/>
      <c r="Z469" s="100"/>
      <c r="AA469" s="101"/>
      <c r="AB469" s="40">
        <v>19040119</v>
      </c>
      <c r="AC469" s="41">
        <v>4750</v>
      </c>
      <c r="AD469" s="63">
        <f>AC469*7/100</f>
        <v>332.5</v>
      </c>
      <c r="AE469" s="64">
        <f>AC469+AD469</f>
        <v>5082.5</v>
      </c>
      <c r="AF469" s="53">
        <v>43557</v>
      </c>
      <c r="AG469" s="39" t="s">
        <v>869</v>
      </c>
      <c r="AH469" s="39"/>
      <c r="AI469" s="39"/>
      <c r="AJ469" s="21" t="s">
        <v>2040</v>
      </c>
      <c r="AK469" s="751">
        <v>1</v>
      </c>
      <c r="AL469" s="45" t="s">
        <v>1904</v>
      </c>
      <c r="AM469" s="46"/>
      <c r="AN469" s="46"/>
      <c r="AO469" s="47">
        <v>1</v>
      </c>
      <c r="AP469" s="48" t="s">
        <v>628</v>
      </c>
      <c r="AQ469" s="751">
        <v>2</v>
      </c>
      <c r="AR469" s="40" t="s">
        <v>1905</v>
      </c>
      <c r="AS469" s="47"/>
      <c r="AT469" s="47"/>
      <c r="AU469" s="47">
        <v>1</v>
      </c>
      <c r="AV469" s="49" t="s">
        <v>628</v>
      </c>
      <c r="AW469" s="828"/>
      <c r="AX469" s="54"/>
      <c r="AY469" s="828"/>
      <c r="AZ469" s="828"/>
      <c r="BA469" s="828"/>
      <c r="BB469" s="54"/>
      <c r="BC469" s="828"/>
      <c r="BD469" s="54"/>
      <c r="BE469" s="828"/>
      <c r="BF469" s="828"/>
      <c r="BG469" s="828"/>
      <c r="BH469" s="54"/>
      <c r="BI469" s="828"/>
      <c r="BJ469" s="54"/>
      <c r="BK469" s="828"/>
      <c r="BL469" s="828"/>
      <c r="BM469" s="828"/>
      <c r="BN469" s="54"/>
      <c r="BO469" s="828"/>
      <c r="BP469" s="54"/>
      <c r="BQ469" s="828"/>
      <c r="BR469" s="828"/>
      <c r="BS469" s="828"/>
      <c r="BT469" s="54"/>
      <c r="BU469" s="828"/>
      <c r="BV469" s="54"/>
      <c r="BW469" s="828"/>
      <c r="BX469" s="828"/>
      <c r="BY469" s="828"/>
      <c r="BZ469" s="54"/>
      <c r="CA469" s="828"/>
      <c r="CB469" s="54"/>
      <c r="CC469" s="828"/>
      <c r="CD469" s="828"/>
      <c r="CE469" s="828"/>
      <c r="CF469" s="828"/>
    </row>
    <row r="470" spans="1:85" x14ac:dyDescent="0.5">
      <c r="A470" s="227" t="s">
        <v>1897</v>
      </c>
      <c r="B470" s="22">
        <v>19030256</v>
      </c>
      <c r="C470" s="57"/>
      <c r="D470" s="56"/>
      <c r="E470" s="910"/>
      <c r="F470" s="57"/>
      <c r="G470" s="56"/>
      <c r="H470" s="59"/>
      <c r="I470" s="59"/>
      <c r="J470" s="1026"/>
      <c r="K470" s="59"/>
      <c r="L470" s="22" t="s">
        <v>1601</v>
      </c>
      <c r="M470" s="28" t="s">
        <v>1898</v>
      </c>
      <c r="N470" s="22" t="s">
        <v>51</v>
      </c>
      <c r="O470" s="29">
        <v>17125</v>
      </c>
      <c r="P470" s="29" t="s">
        <v>402</v>
      </c>
      <c r="Q470" s="29">
        <f>O470</f>
        <v>17125</v>
      </c>
      <c r="R470" s="61"/>
      <c r="S470" s="96"/>
      <c r="T470" s="97"/>
      <c r="U470" s="98"/>
      <c r="V470" s="99"/>
      <c r="W470" s="100"/>
      <c r="X470" s="99"/>
      <c r="Y470" s="99"/>
      <c r="Z470" s="100"/>
      <c r="AA470" s="101"/>
      <c r="AB470" s="59"/>
      <c r="AC470" s="867"/>
      <c r="AD470" s="96"/>
      <c r="AE470" s="96"/>
      <c r="AF470" s="868"/>
      <c r="AG470" s="39" t="s">
        <v>869</v>
      </c>
      <c r="AH470" s="39"/>
      <c r="AI470" s="39"/>
      <c r="AJ470" s="21"/>
      <c r="AK470" s="817">
        <v>1</v>
      </c>
      <c r="AL470" s="45" t="s">
        <v>1899</v>
      </c>
      <c r="AM470" s="46"/>
      <c r="AN470" s="46"/>
      <c r="AO470" s="47">
        <v>1</v>
      </c>
      <c r="AP470" s="48" t="s">
        <v>628</v>
      </c>
      <c r="AQ470" s="817">
        <v>2</v>
      </c>
      <c r="AR470" s="40" t="s">
        <v>1900</v>
      </c>
      <c r="AS470" s="47"/>
      <c r="AT470" s="47"/>
      <c r="AU470" s="47">
        <v>1</v>
      </c>
      <c r="AV470" s="49" t="s">
        <v>628</v>
      </c>
      <c r="AW470" s="818"/>
      <c r="AX470" s="54"/>
      <c r="AY470" s="818"/>
      <c r="AZ470" s="818"/>
      <c r="BA470" s="818"/>
      <c r="BB470" s="54"/>
      <c r="BC470" s="818"/>
      <c r="BD470" s="54"/>
      <c r="BE470" s="818"/>
      <c r="BF470" s="818"/>
      <c r="BG470" s="818"/>
      <c r="BH470" s="54"/>
      <c r="BI470" s="818"/>
      <c r="BJ470" s="54"/>
      <c r="BK470" s="818"/>
      <c r="BL470" s="818"/>
      <c r="BM470" s="818"/>
      <c r="BN470" s="54"/>
      <c r="BO470" s="818"/>
      <c r="BP470" s="54"/>
      <c r="BQ470" s="818"/>
      <c r="BR470" s="818"/>
      <c r="BS470" s="818"/>
      <c r="BT470" s="54"/>
      <c r="BU470" s="818"/>
      <c r="BV470" s="54"/>
      <c r="BW470" s="818"/>
      <c r="BX470" s="818"/>
      <c r="BY470" s="818"/>
      <c r="BZ470" s="54"/>
      <c r="CA470" s="818"/>
      <c r="CB470" s="54"/>
      <c r="CC470" s="818"/>
      <c r="CD470" s="818"/>
      <c r="CE470" s="818"/>
      <c r="CF470" s="818"/>
    </row>
    <row r="471" spans="1:85" x14ac:dyDescent="0.5">
      <c r="A471" s="259">
        <v>19036178</v>
      </c>
      <c r="B471" s="104">
        <v>19030300</v>
      </c>
      <c r="C471" s="105" t="s">
        <v>1394</v>
      </c>
      <c r="D471" s="106" t="s">
        <v>1323</v>
      </c>
      <c r="E471" s="302">
        <v>43585</v>
      </c>
      <c r="F471" s="936" t="s">
        <v>1324</v>
      </c>
      <c r="G471" s="937" t="s">
        <v>1376</v>
      </c>
      <c r="H471" s="211">
        <v>43608</v>
      </c>
      <c r="I471" s="164">
        <v>19135</v>
      </c>
      <c r="J471" s="960" t="s">
        <v>869</v>
      </c>
      <c r="K471" s="965">
        <v>43609</v>
      </c>
      <c r="L471" s="104" t="s">
        <v>1879</v>
      </c>
      <c r="M471" s="110" t="s">
        <v>1880</v>
      </c>
      <c r="N471" s="104" t="s">
        <v>50</v>
      </c>
      <c r="O471" s="111">
        <v>1100000</v>
      </c>
      <c r="P471" s="111">
        <f>O471*7/100</f>
        <v>77000</v>
      </c>
      <c r="Q471" s="111">
        <f>O471+P471</f>
        <v>1177000</v>
      </c>
      <c r="R471" s="212"/>
      <c r="S471" s="165"/>
      <c r="T471" s="166"/>
      <c r="U471" s="167"/>
      <c r="V471" s="168"/>
      <c r="W471" s="117">
        <f>O471</f>
        <v>1100000</v>
      </c>
      <c r="X471" s="118">
        <v>1</v>
      </c>
      <c r="Y471" s="118">
        <f>W471*X471/100</f>
        <v>11000</v>
      </c>
      <c r="Z471" s="119">
        <v>0.2</v>
      </c>
      <c r="AA471" s="120">
        <f>W471*Z471/100</f>
        <v>2200</v>
      </c>
      <c r="AB471" s="123">
        <v>19050178</v>
      </c>
      <c r="AC471" s="230">
        <v>330000</v>
      </c>
      <c r="AD471" s="220">
        <f>AC471*7/100</f>
        <v>23100</v>
      </c>
      <c r="AE471" s="220">
        <f>AC471+AD471</f>
        <v>353100</v>
      </c>
      <c r="AF471" s="221">
        <v>43599</v>
      </c>
      <c r="AG471" s="121" t="s">
        <v>869</v>
      </c>
      <c r="AH471" s="121"/>
      <c r="AI471" s="121"/>
      <c r="AJ471" s="222" t="s">
        <v>2373</v>
      </c>
      <c r="AK471" s="128">
        <v>1</v>
      </c>
      <c r="AL471" s="129" t="s">
        <v>1881</v>
      </c>
      <c r="AM471" s="130" t="s">
        <v>869</v>
      </c>
      <c r="AN471" s="130"/>
      <c r="AO471" s="131">
        <v>1</v>
      </c>
      <c r="AP471" s="132" t="s">
        <v>1882</v>
      </c>
      <c r="AQ471" s="128"/>
      <c r="AR471" s="133"/>
      <c r="AS471" s="128"/>
      <c r="AT471" s="128"/>
      <c r="AU471" s="128"/>
      <c r="AV471" s="133"/>
      <c r="AW471" s="128"/>
      <c r="AX471" s="133"/>
      <c r="AY471" s="128"/>
      <c r="AZ471" s="128"/>
      <c r="BA471" s="128"/>
      <c r="BB471" s="133"/>
      <c r="BC471" s="128"/>
      <c r="BD471" s="133"/>
      <c r="BE471" s="128"/>
      <c r="BF471" s="128"/>
      <c r="BG471" s="128"/>
      <c r="BH471" s="133"/>
      <c r="BI471" s="128"/>
      <c r="BJ471" s="133"/>
      <c r="BK471" s="128"/>
      <c r="BL471" s="128"/>
      <c r="BM471" s="128"/>
      <c r="BN471" s="133"/>
      <c r="BO471" s="128"/>
      <c r="BP471" s="133"/>
      <c r="BQ471" s="128"/>
      <c r="BR471" s="128"/>
      <c r="BS471" s="128"/>
      <c r="BT471" s="133"/>
      <c r="BU471" s="128"/>
      <c r="BV471" s="133"/>
      <c r="BW471" s="128"/>
      <c r="BX471" s="128"/>
      <c r="BY471" s="128"/>
      <c r="BZ471" s="133"/>
      <c r="CA471" s="128"/>
      <c r="CB471" s="133"/>
      <c r="CC471" s="128"/>
      <c r="CD471" s="128"/>
      <c r="CE471" s="128"/>
      <c r="CF471" s="128"/>
    </row>
    <row r="472" spans="1:85" x14ac:dyDescent="0.5">
      <c r="A472" s="262"/>
      <c r="B472" s="135"/>
      <c r="C472" s="136"/>
      <c r="D472" s="137"/>
      <c r="E472" s="906"/>
      <c r="F472" s="940"/>
      <c r="G472" s="941"/>
      <c r="H472" s="170">
        <v>43608</v>
      </c>
      <c r="I472" s="251">
        <v>19136</v>
      </c>
      <c r="J472" s="963"/>
      <c r="K472" s="964"/>
      <c r="L472" s="135"/>
      <c r="M472" s="141"/>
      <c r="N472" s="135"/>
      <c r="O472" s="142"/>
      <c r="P472" s="142"/>
      <c r="Q472" s="142"/>
      <c r="R472" s="213"/>
      <c r="S472" s="172"/>
      <c r="T472" s="173"/>
      <c r="U472" s="174"/>
      <c r="V472" s="175"/>
      <c r="W472" s="148"/>
      <c r="X472" s="149"/>
      <c r="Y472" s="149"/>
      <c r="Z472" s="150"/>
      <c r="AA472" s="151"/>
      <c r="AB472" s="292">
        <v>19050181</v>
      </c>
      <c r="AC472" s="155">
        <v>440000</v>
      </c>
      <c r="AD472" s="307">
        <f>AC472*7/100</f>
        <v>30800</v>
      </c>
      <c r="AE472" s="307">
        <f>AC472+AD472</f>
        <v>470800</v>
      </c>
      <c r="AF472" s="295">
        <v>43609</v>
      </c>
      <c r="AG472" s="296" t="s">
        <v>869</v>
      </c>
      <c r="AH472" s="296"/>
      <c r="AI472" s="296"/>
      <c r="AJ472" s="308" t="s">
        <v>2351</v>
      </c>
      <c r="AK472" s="158"/>
      <c r="AL472" s="159"/>
      <c r="AM472" s="160"/>
      <c r="AN472" s="160"/>
      <c r="AO472" s="161"/>
      <c r="AP472" s="162"/>
      <c r="AQ472" s="158"/>
      <c r="AR472" s="163"/>
      <c r="AS472" s="158"/>
      <c r="AT472" s="158"/>
      <c r="AU472" s="158"/>
      <c r="AV472" s="163"/>
      <c r="AW472" s="158"/>
      <c r="AX472" s="163"/>
      <c r="AY472" s="158"/>
      <c r="AZ472" s="158"/>
      <c r="BA472" s="158"/>
      <c r="BB472" s="163"/>
      <c r="BC472" s="158"/>
      <c r="BD472" s="163"/>
      <c r="BE472" s="158"/>
      <c r="BF472" s="158"/>
      <c r="BG472" s="158"/>
      <c r="BH472" s="163"/>
      <c r="BI472" s="158"/>
      <c r="BJ472" s="163"/>
      <c r="BK472" s="158"/>
      <c r="BL472" s="158"/>
      <c r="BM472" s="158"/>
      <c r="BN472" s="163"/>
      <c r="BO472" s="158"/>
      <c r="BP472" s="163"/>
      <c r="BQ472" s="158"/>
      <c r="BR472" s="158"/>
      <c r="BS472" s="158"/>
      <c r="BT472" s="163"/>
      <c r="BU472" s="158"/>
      <c r="BV472" s="163"/>
      <c r="BW472" s="158"/>
      <c r="BX472" s="158"/>
      <c r="BY472" s="158"/>
      <c r="BZ472" s="163"/>
      <c r="CA472" s="158"/>
      <c r="CB472" s="163"/>
      <c r="CC472" s="158"/>
      <c r="CD472" s="158"/>
      <c r="CE472" s="158"/>
      <c r="CF472" s="158"/>
    </row>
    <row r="473" spans="1:85" x14ac:dyDescent="0.5">
      <c r="A473" s="262"/>
      <c r="B473" s="135"/>
      <c r="C473" s="136"/>
      <c r="D473" s="137"/>
      <c r="E473" s="906"/>
      <c r="F473" s="940"/>
      <c r="G473" s="941"/>
      <c r="H473" s="179">
        <v>43608</v>
      </c>
      <c r="I473" s="140">
        <v>19137</v>
      </c>
      <c r="J473" s="963"/>
      <c r="K473" s="964"/>
      <c r="L473" s="135"/>
      <c r="M473" s="141"/>
      <c r="N473" s="135"/>
      <c r="O473" s="142"/>
      <c r="P473" s="142"/>
      <c r="Q473" s="142"/>
      <c r="R473" s="213"/>
      <c r="S473" s="172"/>
      <c r="T473" s="173"/>
      <c r="U473" s="174"/>
      <c r="V473" s="175"/>
      <c r="W473" s="148"/>
      <c r="X473" s="149"/>
      <c r="Y473" s="149"/>
      <c r="Z473" s="150"/>
      <c r="AA473" s="151"/>
      <c r="AB473" s="292">
        <v>19080267</v>
      </c>
      <c r="AC473" s="293">
        <v>110000</v>
      </c>
      <c r="AD473" s="307">
        <f>AC473*7/100</f>
        <v>7700</v>
      </c>
      <c r="AE473" s="307">
        <f>AC473+AD473</f>
        <v>117700</v>
      </c>
      <c r="AF473" s="295">
        <v>43682</v>
      </c>
      <c r="AG473" s="296" t="s">
        <v>869</v>
      </c>
      <c r="AH473" s="296"/>
      <c r="AI473" s="296"/>
      <c r="AJ473" s="308" t="s">
        <v>2713</v>
      </c>
      <c r="AK473" s="158"/>
      <c r="AL473" s="159"/>
      <c r="AM473" s="160"/>
      <c r="AN473" s="160"/>
      <c r="AO473" s="161"/>
      <c r="AP473" s="162"/>
      <c r="AQ473" s="158"/>
      <c r="AR473" s="163"/>
      <c r="AS473" s="158"/>
      <c r="AT473" s="158"/>
      <c r="AU473" s="158"/>
      <c r="AV473" s="163"/>
      <c r="AW473" s="158"/>
      <c r="AX473" s="163"/>
      <c r="AY473" s="158"/>
      <c r="AZ473" s="158"/>
      <c r="BA473" s="158"/>
      <c r="BB473" s="163"/>
      <c r="BC473" s="158"/>
      <c r="BD473" s="163"/>
      <c r="BE473" s="158"/>
      <c r="BF473" s="158"/>
      <c r="BG473" s="158"/>
      <c r="BH473" s="163"/>
      <c r="BI473" s="158"/>
      <c r="BJ473" s="163"/>
      <c r="BK473" s="158"/>
      <c r="BL473" s="158"/>
      <c r="BM473" s="158"/>
      <c r="BN473" s="163"/>
      <c r="BO473" s="158"/>
      <c r="BP473" s="163"/>
      <c r="BQ473" s="158"/>
      <c r="BR473" s="158"/>
      <c r="BS473" s="158"/>
      <c r="BT473" s="163"/>
      <c r="BU473" s="158"/>
      <c r="BV473" s="163"/>
      <c r="BW473" s="158"/>
      <c r="BX473" s="158"/>
      <c r="BY473" s="158"/>
      <c r="BZ473" s="163"/>
      <c r="CA473" s="158"/>
      <c r="CB473" s="163"/>
      <c r="CC473" s="158"/>
      <c r="CD473" s="158"/>
      <c r="CE473" s="158"/>
      <c r="CF473" s="158"/>
    </row>
    <row r="474" spans="1:85" x14ac:dyDescent="0.5">
      <c r="A474" s="268"/>
      <c r="B474" s="181"/>
      <c r="C474" s="182"/>
      <c r="D474" s="183"/>
      <c r="E474" s="749"/>
      <c r="F474" s="938"/>
      <c r="G474" s="939"/>
      <c r="H474" s="186"/>
      <c r="I474" s="187"/>
      <c r="J474" s="961"/>
      <c r="K474" s="966"/>
      <c r="L474" s="181"/>
      <c r="M474" s="188"/>
      <c r="N474" s="181"/>
      <c r="O474" s="189"/>
      <c r="P474" s="189"/>
      <c r="Q474" s="189"/>
      <c r="R474" s="214"/>
      <c r="S474" s="191"/>
      <c r="T474" s="192"/>
      <c r="U474" s="193"/>
      <c r="V474" s="194"/>
      <c r="W474" s="195"/>
      <c r="X474" s="196"/>
      <c r="Y474" s="196"/>
      <c r="Z474" s="197"/>
      <c r="AA474" s="198"/>
      <c r="AB474" s="200">
        <v>19100386</v>
      </c>
      <c r="AC474" s="201">
        <v>220000</v>
      </c>
      <c r="AD474" s="202">
        <f>AC474*7/100</f>
        <v>15400</v>
      </c>
      <c r="AE474" s="202">
        <f>AC474+AD474</f>
        <v>235400</v>
      </c>
      <c r="AF474" s="203"/>
      <c r="AG474" s="199" t="s">
        <v>869</v>
      </c>
      <c r="AH474" s="199"/>
      <c r="AI474" s="199"/>
      <c r="AJ474" s="180" t="s">
        <v>3342</v>
      </c>
      <c r="AK474" s="204"/>
      <c r="AL474" s="205"/>
      <c r="AM474" s="206"/>
      <c r="AN474" s="206"/>
      <c r="AO474" s="207"/>
      <c r="AP474" s="208"/>
      <c r="AQ474" s="204"/>
      <c r="AR474" s="210"/>
      <c r="AS474" s="204"/>
      <c r="AT474" s="204"/>
      <c r="AU474" s="204"/>
      <c r="AV474" s="210"/>
      <c r="AW474" s="204"/>
      <c r="AX474" s="210"/>
      <c r="AY474" s="204"/>
      <c r="AZ474" s="204"/>
      <c r="BA474" s="204"/>
      <c r="BB474" s="210"/>
      <c r="BC474" s="204"/>
      <c r="BD474" s="210"/>
      <c r="BE474" s="204"/>
      <c r="BF474" s="204"/>
      <c r="BG474" s="204"/>
      <c r="BH474" s="210"/>
      <c r="BI474" s="204"/>
      <c r="BJ474" s="210"/>
      <c r="BK474" s="204"/>
      <c r="BL474" s="204"/>
      <c r="BM474" s="204"/>
      <c r="BN474" s="210"/>
      <c r="BO474" s="204"/>
      <c r="BP474" s="210"/>
      <c r="BQ474" s="204"/>
      <c r="BR474" s="204"/>
      <c r="BS474" s="204"/>
      <c r="BT474" s="210"/>
      <c r="BU474" s="204"/>
      <c r="BV474" s="210"/>
      <c r="BW474" s="204"/>
      <c r="BX474" s="204"/>
      <c r="BY474" s="204"/>
      <c r="BZ474" s="210"/>
      <c r="CA474" s="204"/>
      <c r="CB474" s="210"/>
      <c r="CC474" s="204"/>
      <c r="CD474" s="204"/>
      <c r="CE474" s="204"/>
      <c r="CF474" s="204"/>
    </row>
    <row r="475" spans="1:85" x14ac:dyDescent="0.5">
      <c r="A475" s="227">
        <v>19036177</v>
      </c>
      <c r="B475" s="22">
        <v>19030310</v>
      </c>
      <c r="C475" s="23" t="s">
        <v>1395</v>
      </c>
      <c r="D475" s="24" t="s">
        <v>1323</v>
      </c>
      <c r="E475" s="884">
        <v>43554</v>
      </c>
      <c r="F475" s="932" t="s">
        <v>1324</v>
      </c>
      <c r="G475" s="933" t="s">
        <v>1400</v>
      </c>
      <c r="H475" s="62">
        <v>43554</v>
      </c>
      <c r="I475" s="27">
        <v>19105</v>
      </c>
      <c r="J475" s="931" t="s">
        <v>869</v>
      </c>
      <c r="K475" s="957">
        <v>43554</v>
      </c>
      <c r="L475" s="22" t="s">
        <v>1876</v>
      </c>
      <c r="M475" s="28" t="s">
        <v>1889</v>
      </c>
      <c r="N475" s="22" t="s">
        <v>50</v>
      </c>
      <c r="O475" s="29">
        <v>2250</v>
      </c>
      <c r="P475" s="29">
        <f>O475*7/100</f>
        <v>157.5</v>
      </c>
      <c r="Q475" s="29">
        <f>O475+P475</f>
        <v>2407.5</v>
      </c>
      <c r="R475" s="61"/>
      <c r="S475" s="96"/>
      <c r="T475" s="97"/>
      <c r="U475" s="98"/>
      <c r="V475" s="99"/>
      <c r="W475" s="35">
        <f>O475</f>
        <v>2250</v>
      </c>
      <c r="X475" s="36">
        <v>0.5</v>
      </c>
      <c r="Y475" s="36">
        <f>W475*X475/100</f>
        <v>11.25</v>
      </c>
      <c r="Z475" s="37">
        <v>0.2</v>
      </c>
      <c r="AA475" s="38">
        <f>W475*Z475/100</f>
        <v>4.5</v>
      </c>
      <c r="AB475" s="40">
        <v>19030108</v>
      </c>
      <c r="AC475" s="41">
        <v>2250</v>
      </c>
      <c r="AD475" s="52">
        <f>AC475*7/100</f>
        <v>157.5</v>
      </c>
      <c r="AE475" s="52">
        <f>AC475+AD475</f>
        <v>2407.5</v>
      </c>
      <c r="AF475" s="53">
        <v>43553</v>
      </c>
      <c r="AG475" s="39" t="s">
        <v>869</v>
      </c>
      <c r="AH475" s="39"/>
      <c r="AI475" s="39"/>
      <c r="AJ475" s="21" t="s">
        <v>1912</v>
      </c>
      <c r="AK475" s="817">
        <v>1</v>
      </c>
      <c r="AL475" s="45" t="s">
        <v>755</v>
      </c>
      <c r="AM475" s="46" t="s">
        <v>869</v>
      </c>
      <c r="AN475" s="46"/>
      <c r="AO475" s="47">
        <v>1</v>
      </c>
      <c r="AP475" s="48" t="s">
        <v>634</v>
      </c>
      <c r="AQ475" s="818"/>
      <c r="AR475" s="54"/>
      <c r="AS475" s="818"/>
      <c r="AT475" s="818"/>
      <c r="AU475" s="818"/>
      <c r="AV475" s="54"/>
      <c r="AW475" s="818"/>
      <c r="AX475" s="54"/>
      <c r="AY475" s="818"/>
      <c r="AZ475" s="818"/>
      <c r="BA475" s="818"/>
      <c r="BB475" s="54"/>
      <c r="BC475" s="818"/>
      <c r="BD475" s="54"/>
      <c r="BE475" s="818"/>
      <c r="BF475" s="818"/>
      <c r="BG475" s="818"/>
      <c r="BH475" s="54"/>
      <c r="BI475" s="818"/>
      <c r="BJ475" s="54"/>
      <c r="BK475" s="818"/>
      <c r="BL475" s="818"/>
      <c r="BM475" s="818"/>
      <c r="BN475" s="54"/>
      <c r="BO475" s="818"/>
      <c r="BP475" s="54"/>
      <c r="BQ475" s="818"/>
      <c r="BR475" s="818"/>
      <c r="BS475" s="818"/>
      <c r="BT475" s="54"/>
      <c r="BU475" s="818"/>
      <c r="BV475" s="54"/>
      <c r="BW475" s="818"/>
      <c r="BX475" s="818"/>
      <c r="BY475" s="818"/>
      <c r="BZ475" s="54"/>
      <c r="CA475" s="818"/>
      <c r="CB475" s="54"/>
      <c r="CC475" s="818"/>
      <c r="CD475" s="818"/>
      <c r="CE475" s="818"/>
      <c r="CF475" s="818"/>
    </row>
    <row r="476" spans="1:85" x14ac:dyDescent="0.5">
      <c r="A476" s="259">
        <v>19036176</v>
      </c>
      <c r="B476" s="104">
        <v>19030306</v>
      </c>
      <c r="C476" s="105" t="s">
        <v>1396</v>
      </c>
      <c r="D476" s="106" t="s">
        <v>1323</v>
      </c>
      <c r="E476" s="302">
        <v>43580</v>
      </c>
      <c r="F476" s="936" t="s">
        <v>1324</v>
      </c>
      <c r="G476" s="937" t="s">
        <v>2383</v>
      </c>
      <c r="H476" s="302">
        <v>43670</v>
      </c>
      <c r="I476" s="1124">
        <v>19212</v>
      </c>
      <c r="J476" s="960" t="s">
        <v>869</v>
      </c>
      <c r="K476" s="965"/>
      <c r="L476" s="104" t="s">
        <v>543</v>
      </c>
      <c r="M476" s="110" t="s">
        <v>1883</v>
      </c>
      <c r="N476" s="104" t="s">
        <v>51</v>
      </c>
      <c r="O476" s="111">
        <v>780000</v>
      </c>
      <c r="P476" s="111" t="s">
        <v>402</v>
      </c>
      <c r="Q476" s="111">
        <f>O476</f>
        <v>780000</v>
      </c>
      <c r="R476" s="212"/>
      <c r="S476" s="165"/>
      <c r="T476" s="166"/>
      <c r="U476" s="167"/>
      <c r="V476" s="168"/>
      <c r="W476" s="231"/>
      <c r="X476" s="168"/>
      <c r="Y476" s="168"/>
      <c r="Z476" s="231"/>
      <c r="AA476" s="232"/>
      <c r="AB476" s="229" t="s">
        <v>2895</v>
      </c>
      <c r="AC476" s="230">
        <v>390000</v>
      </c>
      <c r="AD476" s="233" t="s">
        <v>402</v>
      </c>
      <c r="AE476" s="233">
        <f>AC476</f>
        <v>390000</v>
      </c>
      <c r="AF476" s="221">
        <v>43738</v>
      </c>
      <c r="AG476" s="121" t="s">
        <v>869</v>
      </c>
      <c r="AH476" s="121"/>
      <c r="AI476" s="121"/>
      <c r="AJ476" s="222" t="s">
        <v>3051</v>
      </c>
      <c r="AK476" s="128">
        <v>1</v>
      </c>
      <c r="AL476" s="129" t="s">
        <v>818</v>
      </c>
      <c r="AM476" s="130" t="s">
        <v>869</v>
      </c>
      <c r="AN476" s="130"/>
      <c r="AO476" s="131">
        <v>1</v>
      </c>
      <c r="AP476" s="132" t="s">
        <v>1882</v>
      </c>
      <c r="AQ476" s="128"/>
      <c r="AR476" s="133"/>
      <c r="AS476" s="128"/>
      <c r="AT476" s="128"/>
      <c r="AU476" s="128"/>
      <c r="AV476" s="133"/>
      <c r="AW476" s="128"/>
      <c r="AX476" s="133"/>
      <c r="AY476" s="128"/>
      <c r="AZ476" s="128"/>
      <c r="BA476" s="128"/>
      <c r="BB476" s="133"/>
      <c r="BC476" s="128"/>
      <c r="BD476" s="133"/>
      <c r="BE476" s="128"/>
      <c r="BF476" s="128"/>
      <c r="BG476" s="128"/>
      <c r="BH476" s="133"/>
      <c r="BI476" s="128"/>
      <c r="BJ476" s="133"/>
      <c r="BK476" s="128"/>
      <c r="BL476" s="128"/>
      <c r="BM476" s="128"/>
      <c r="BN476" s="133"/>
      <c r="BO476" s="128"/>
      <c r="BP476" s="133"/>
      <c r="BQ476" s="128"/>
      <c r="BR476" s="128"/>
      <c r="BS476" s="128"/>
      <c r="BT476" s="133"/>
      <c r="BU476" s="128"/>
      <c r="BV476" s="133"/>
      <c r="BW476" s="128"/>
      <c r="BX476" s="128"/>
      <c r="BY476" s="128"/>
      <c r="BZ476" s="133"/>
      <c r="CA476" s="128"/>
      <c r="CB476" s="133"/>
      <c r="CC476" s="128"/>
      <c r="CD476" s="128"/>
      <c r="CE476" s="128"/>
      <c r="CF476" s="128"/>
    </row>
    <row r="477" spans="1:85" x14ac:dyDescent="0.5">
      <c r="A477" s="262"/>
      <c r="B477" s="135"/>
      <c r="C477" s="136"/>
      <c r="D477" s="137"/>
      <c r="E477" s="906"/>
      <c r="F477" s="940"/>
      <c r="G477" s="941"/>
      <c r="H477" s="906"/>
      <c r="I477" s="1138"/>
      <c r="J477" s="963"/>
      <c r="K477" s="964"/>
      <c r="L477" s="135"/>
      <c r="M477" s="141"/>
      <c r="N477" s="135"/>
      <c r="O477" s="142"/>
      <c r="P477" s="142"/>
      <c r="Q477" s="142"/>
      <c r="R477" s="213"/>
      <c r="S477" s="172"/>
      <c r="T477" s="173"/>
      <c r="U477" s="174"/>
      <c r="V477" s="175"/>
      <c r="W477" s="282"/>
      <c r="X477" s="175"/>
      <c r="Y477" s="175"/>
      <c r="Z477" s="282"/>
      <c r="AA477" s="283"/>
      <c r="AB477" s="292" t="s">
        <v>3184</v>
      </c>
      <c r="AC477" s="293">
        <v>150000</v>
      </c>
      <c r="AD477" s="294" t="s">
        <v>402</v>
      </c>
      <c r="AE477" s="294">
        <f>AC477</f>
        <v>150000</v>
      </c>
      <c r="AF477" s="295">
        <v>43798</v>
      </c>
      <c r="AG477" s="296" t="s">
        <v>869</v>
      </c>
      <c r="AH477" s="296"/>
      <c r="AI477" s="296"/>
      <c r="AJ477" s="308" t="s">
        <v>3343</v>
      </c>
      <c r="AK477" s="158"/>
      <c r="AL477" s="159"/>
      <c r="AM477" s="160"/>
      <c r="AN477" s="160"/>
      <c r="AO477" s="161"/>
      <c r="AP477" s="162"/>
      <c r="AQ477" s="158"/>
      <c r="AR477" s="163"/>
      <c r="AS477" s="158"/>
      <c r="AT477" s="158"/>
      <c r="AU477" s="158"/>
      <c r="AV477" s="163"/>
      <c r="AW477" s="158"/>
      <c r="AX477" s="163"/>
      <c r="AY477" s="158"/>
      <c r="AZ477" s="158"/>
      <c r="BA477" s="158"/>
      <c r="BB477" s="163"/>
      <c r="BC477" s="158"/>
      <c r="BD477" s="163"/>
      <c r="BE477" s="158"/>
      <c r="BF477" s="158"/>
      <c r="BG477" s="158"/>
      <c r="BH477" s="163"/>
      <c r="BI477" s="158"/>
      <c r="BJ477" s="163"/>
      <c r="BK477" s="158"/>
      <c r="BL477" s="158"/>
      <c r="BM477" s="158"/>
      <c r="BN477" s="163"/>
      <c r="BO477" s="158"/>
      <c r="BP477" s="163"/>
      <c r="BQ477" s="158"/>
      <c r="BR477" s="158"/>
      <c r="BS477" s="158"/>
      <c r="BT477" s="163"/>
      <c r="BU477" s="158"/>
      <c r="BV477" s="163"/>
      <c r="BW477" s="158"/>
      <c r="BX477" s="158"/>
      <c r="BY477" s="158"/>
      <c r="BZ477" s="163"/>
      <c r="CA477" s="158"/>
      <c r="CB477" s="163"/>
      <c r="CC477" s="158"/>
      <c r="CD477" s="158"/>
      <c r="CE477" s="158"/>
      <c r="CF477" s="158"/>
    </row>
    <row r="478" spans="1:85" x14ac:dyDescent="0.5">
      <c r="A478" s="268"/>
      <c r="B478" s="181"/>
      <c r="C478" s="182"/>
      <c r="D478" s="183"/>
      <c r="E478" s="749"/>
      <c r="F478" s="938"/>
      <c r="G478" s="939"/>
      <c r="H478" s="749"/>
      <c r="I478" s="1125"/>
      <c r="J478" s="961"/>
      <c r="K478" s="966"/>
      <c r="L478" s="181"/>
      <c r="M478" s="188"/>
      <c r="N478" s="181"/>
      <c r="O478" s="189"/>
      <c r="P478" s="189"/>
      <c r="Q478" s="189"/>
      <c r="R478" s="214"/>
      <c r="S478" s="191"/>
      <c r="T478" s="192"/>
      <c r="U478" s="193"/>
      <c r="V478" s="194"/>
      <c r="W478" s="235"/>
      <c r="X478" s="194"/>
      <c r="Y478" s="194"/>
      <c r="Z478" s="235"/>
      <c r="AA478" s="236"/>
      <c r="AB478" s="200" t="s">
        <v>3281</v>
      </c>
      <c r="AC478" s="201">
        <v>240000</v>
      </c>
      <c r="AD478" s="237" t="s">
        <v>402</v>
      </c>
      <c r="AE478" s="237">
        <f>AC478</f>
        <v>240000</v>
      </c>
      <c r="AF478" s="203">
        <v>43824</v>
      </c>
      <c r="AG478" s="199" t="s">
        <v>869</v>
      </c>
      <c r="AH478" s="199"/>
      <c r="AI478" s="199"/>
      <c r="AJ478" s="180" t="s">
        <v>3300</v>
      </c>
      <c r="AK478" s="204"/>
      <c r="AL478" s="205"/>
      <c r="AM478" s="206"/>
      <c r="AN478" s="206"/>
      <c r="AO478" s="207"/>
      <c r="AP478" s="208"/>
      <c r="AQ478" s="204"/>
      <c r="AR478" s="210"/>
      <c r="AS478" s="204"/>
      <c r="AT478" s="204"/>
      <c r="AU478" s="204"/>
      <c r="AV478" s="210"/>
      <c r="AW478" s="204"/>
      <c r="AX478" s="210"/>
      <c r="AY478" s="204"/>
      <c r="AZ478" s="204"/>
      <c r="BA478" s="204"/>
      <c r="BB478" s="210"/>
      <c r="BC478" s="204"/>
      <c r="BD478" s="210"/>
      <c r="BE478" s="204"/>
      <c r="BF478" s="204"/>
      <c r="BG478" s="204"/>
      <c r="BH478" s="210"/>
      <c r="BI478" s="204"/>
      <c r="BJ478" s="210"/>
      <c r="BK478" s="204"/>
      <c r="BL478" s="204"/>
      <c r="BM478" s="204"/>
      <c r="BN478" s="210"/>
      <c r="BO478" s="204"/>
      <c r="BP478" s="210"/>
      <c r="BQ478" s="204"/>
      <c r="BR478" s="204"/>
      <c r="BS478" s="204"/>
      <c r="BT478" s="210"/>
      <c r="BU478" s="204"/>
      <c r="BV478" s="210"/>
      <c r="BW478" s="204"/>
      <c r="BX478" s="204"/>
      <c r="BY478" s="204"/>
      <c r="BZ478" s="210"/>
      <c r="CA478" s="204"/>
      <c r="CB478" s="210"/>
      <c r="CC478" s="204"/>
      <c r="CD478" s="204"/>
      <c r="CE478" s="204"/>
      <c r="CF478" s="204"/>
    </row>
    <row r="479" spans="1:85" x14ac:dyDescent="0.5">
      <c r="A479" s="227">
        <v>19036175</v>
      </c>
      <c r="B479" s="22">
        <v>19030307</v>
      </c>
      <c r="C479" s="55"/>
      <c r="D479" s="56"/>
      <c r="E479" s="910"/>
      <c r="F479" s="57"/>
      <c r="G479" s="58"/>
      <c r="H479" s="59"/>
      <c r="I479" s="60"/>
      <c r="J479" s="269"/>
      <c r="K479" s="59"/>
      <c r="L479" s="22" t="s">
        <v>235</v>
      </c>
      <c r="M479" s="28" t="s">
        <v>1884</v>
      </c>
      <c r="N479" s="22" t="s">
        <v>51</v>
      </c>
      <c r="O479" s="29">
        <v>1600</v>
      </c>
      <c r="P479" s="29">
        <f t="shared" ref="P479:P487" si="116">O479*7/100</f>
        <v>112</v>
      </c>
      <c r="Q479" s="29">
        <f t="shared" ref="Q479:Q487" si="117">O479+P479</f>
        <v>1712</v>
      </c>
      <c r="R479" s="61"/>
      <c r="S479" s="96"/>
      <c r="T479" s="97"/>
      <c r="U479" s="98"/>
      <c r="V479" s="99"/>
      <c r="W479" s="100"/>
      <c r="X479" s="99"/>
      <c r="Y479" s="99"/>
      <c r="Z479" s="100"/>
      <c r="AA479" s="101"/>
      <c r="AB479" s="40">
        <v>19050164</v>
      </c>
      <c r="AC479" s="41">
        <v>1600</v>
      </c>
      <c r="AD479" s="63">
        <f t="shared" ref="AD479:AD489" si="118">AC479*7/100</f>
        <v>112</v>
      </c>
      <c r="AE479" s="64">
        <f t="shared" ref="AE479:AE489" si="119">AC479+AD479</f>
        <v>1712</v>
      </c>
      <c r="AF479" s="53">
        <v>43620</v>
      </c>
      <c r="AG479" s="39" t="s">
        <v>869</v>
      </c>
      <c r="AH479" s="39"/>
      <c r="AI479" s="39"/>
      <c r="AJ479" s="21" t="s">
        <v>3054</v>
      </c>
      <c r="AK479" s="817">
        <v>1</v>
      </c>
      <c r="AL479" s="45" t="s">
        <v>1885</v>
      </c>
      <c r="AM479" s="46"/>
      <c r="AN479" s="46"/>
      <c r="AO479" s="47">
        <v>2</v>
      </c>
      <c r="AP479" s="48" t="s">
        <v>628</v>
      </c>
      <c r="AQ479" s="818"/>
      <c r="AR479" s="54"/>
      <c r="AS479" s="818"/>
      <c r="AT479" s="818"/>
      <c r="AU479" s="818"/>
      <c r="AV479" s="54"/>
      <c r="AW479" s="818"/>
      <c r="AX479" s="54"/>
      <c r="AY479" s="818"/>
      <c r="AZ479" s="818"/>
      <c r="BA479" s="818"/>
      <c r="BB479" s="54"/>
      <c r="BC479" s="818"/>
      <c r="BD479" s="54"/>
      <c r="BE479" s="818"/>
      <c r="BF479" s="818"/>
      <c r="BG479" s="818"/>
      <c r="BH479" s="54"/>
      <c r="BI479" s="818"/>
      <c r="BJ479" s="54"/>
      <c r="BK479" s="818"/>
      <c r="BL479" s="818"/>
      <c r="BM479" s="818"/>
      <c r="BN479" s="54"/>
      <c r="BO479" s="818"/>
      <c r="BP479" s="54"/>
      <c r="BQ479" s="818"/>
      <c r="BR479" s="818"/>
      <c r="BS479" s="818"/>
      <c r="BT479" s="54"/>
      <c r="BU479" s="818"/>
      <c r="BV479" s="54"/>
      <c r="BW479" s="818"/>
      <c r="BX479" s="818"/>
      <c r="BY479" s="818"/>
      <c r="BZ479" s="54"/>
      <c r="CA479" s="818"/>
      <c r="CB479" s="54"/>
      <c r="CC479" s="818"/>
      <c r="CD479" s="818"/>
      <c r="CE479" s="818"/>
      <c r="CF479" s="818"/>
    </row>
    <row r="480" spans="1:85" x14ac:dyDescent="0.5">
      <c r="A480" s="259">
        <v>19036174</v>
      </c>
      <c r="B480" s="104">
        <v>19030301</v>
      </c>
      <c r="C480" s="242"/>
      <c r="D480" s="243"/>
      <c r="E480" s="912"/>
      <c r="F480" s="244"/>
      <c r="G480" s="245"/>
      <c r="H480" s="246"/>
      <c r="I480" s="247"/>
      <c r="J480" s="306"/>
      <c r="K480" s="246"/>
      <c r="L480" s="104" t="s">
        <v>1877</v>
      </c>
      <c r="M480" s="110" t="s">
        <v>1886</v>
      </c>
      <c r="N480" s="104" t="s">
        <v>51</v>
      </c>
      <c r="O480" s="111">
        <v>48600</v>
      </c>
      <c r="P480" s="111">
        <f t="shared" si="116"/>
        <v>3402</v>
      </c>
      <c r="Q480" s="111">
        <f t="shared" si="117"/>
        <v>52002</v>
      </c>
      <c r="R480" s="212"/>
      <c r="S480" s="165"/>
      <c r="T480" s="166"/>
      <c r="U480" s="167"/>
      <c r="V480" s="168"/>
      <c r="W480" s="231"/>
      <c r="X480" s="168"/>
      <c r="Y480" s="168"/>
      <c r="Z480" s="231"/>
      <c r="AA480" s="232"/>
      <c r="AB480" s="771">
        <v>19030109</v>
      </c>
      <c r="AC480" s="819">
        <v>48600</v>
      </c>
      <c r="AD480" s="821">
        <f t="shared" si="118"/>
        <v>3402</v>
      </c>
      <c r="AE480" s="821">
        <f t="shared" si="119"/>
        <v>52002</v>
      </c>
      <c r="AF480" s="822">
        <v>43560</v>
      </c>
      <c r="AG480" s="775"/>
      <c r="AH480" s="775"/>
      <c r="AI480" s="775" t="s">
        <v>869</v>
      </c>
      <c r="AJ480" s="776" t="s">
        <v>1878</v>
      </c>
      <c r="AK480" s="128">
        <v>1</v>
      </c>
      <c r="AL480" s="129" t="s">
        <v>1011</v>
      </c>
      <c r="AM480" s="130"/>
      <c r="AN480" s="130"/>
      <c r="AO480" s="131">
        <v>12</v>
      </c>
      <c r="AP480" s="132" t="s">
        <v>1485</v>
      </c>
      <c r="AQ480" s="128"/>
      <c r="AR480" s="133"/>
      <c r="AS480" s="128"/>
      <c r="AT480" s="128"/>
      <c r="AU480" s="128"/>
      <c r="AV480" s="133"/>
      <c r="AW480" s="128"/>
      <c r="AX480" s="133"/>
      <c r="AY480" s="128"/>
      <c r="AZ480" s="128"/>
      <c r="BA480" s="128"/>
      <c r="BB480" s="133"/>
      <c r="BC480" s="128"/>
      <c r="BD480" s="133"/>
      <c r="BE480" s="128"/>
      <c r="BF480" s="128"/>
      <c r="BG480" s="128"/>
      <c r="BH480" s="133"/>
      <c r="BI480" s="128"/>
      <c r="BJ480" s="133"/>
      <c r="BK480" s="128"/>
      <c r="BL480" s="128"/>
      <c r="BM480" s="128"/>
      <c r="BN480" s="133"/>
      <c r="BO480" s="128"/>
      <c r="BP480" s="133"/>
      <c r="BQ480" s="128"/>
      <c r="BR480" s="128"/>
      <c r="BS480" s="128"/>
      <c r="BT480" s="133"/>
      <c r="BU480" s="128"/>
      <c r="BV480" s="133"/>
      <c r="BW480" s="128"/>
      <c r="BX480" s="128"/>
      <c r="BY480" s="128"/>
      <c r="BZ480" s="133"/>
      <c r="CA480" s="128"/>
      <c r="CB480" s="133"/>
      <c r="CC480" s="128"/>
      <c r="CD480" s="128"/>
      <c r="CE480" s="128"/>
      <c r="CF480" s="128"/>
      <c r="CG480" s="239"/>
    </row>
    <row r="481" spans="1:84" x14ac:dyDescent="0.5">
      <c r="A481" s="268"/>
      <c r="B481" s="181"/>
      <c r="C481" s="285"/>
      <c r="D481" s="286"/>
      <c r="E481" s="913"/>
      <c r="F481" s="287"/>
      <c r="G481" s="288"/>
      <c r="H481" s="289"/>
      <c r="I481" s="290"/>
      <c r="J481" s="832"/>
      <c r="K481" s="289"/>
      <c r="L481" s="181"/>
      <c r="M481" s="188"/>
      <c r="N481" s="181"/>
      <c r="O481" s="189"/>
      <c r="P481" s="189"/>
      <c r="Q481" s="189"/>
      <c r="R481" s="214"/>
      <c r="S481" s="191"/>
      <c r="T481" s="192"/>
      <c r="U481" s="193"/>
      <c r="V481" s="194"/>
      <c r="W481" s="235"/>
      <c r="X481" s="194"/>
      <c r="Y481" s="194"/>
      <c r="Z481" s="235"/>
      <c r="AA481" s="236"/>
      <c r="AB481" s="200" t="s">
        <v>1954</v>
      </c>
      <c r="AC481" s="201">
        <v>48600</v>
      </c>
      <c r="AD481" s="202">
        <f t="shared" si="118"/>
        <v>3402</v>
      </c>
      <c r="AE481" s="202">
        <f t="shared" si="119"/>
        <v>52002</v>
      </c>
      <c r="AF481" s="203">
        <v>43574</v>
      </c>
      <c r="AG481" s="199" t="s">
        <v>869</v>
      </c>
      <c r="AH481" s="199"/>
      <c r="AI481" s="199"/>
      <c r="AJ481" s="180" t="s">
        <v>2168</v>
      </c>
      <c r="AK481" s="204"/>
      <c r="AL481" s="205"/>
      <c r="AM481" s="206"/>
      <c r="AN481" s="206"/>
      <c r="AO481" s="207"/>
      <c r="AP481" s="208"/>
      <c r="AQ481" s="204"/>
      <c r="AR481" s="210"/>
      <c r="AS481" s="204"/>
      <c r="AT481" s="204"/>
      <c r="AU481" s="204"/>
      <c r="AV481" s="210"/>
      <c r="AW481" s="204"/>
      <c r="AX481" s="210"/>
      <c r="AY481" s="204"/>
      <c r="AZ481" s="204"/>
      <c r="BA481" s="204"/>
      <c r="BB481" s="210"/>
      <c r="BC481" s="204"/>
      <c r="BD481" s="210"/>
      <c r="BE481" s="204"/>
      <c r="BF481" s="204"/>
      <c r="BG481" s="204"/>
      <c r="BH481" s="210"/>
      <c r="BI481" s="204"/>
      <c r="BJ481" s="210"/>
      <c r="BK481" s="204"/>
      <c r="BL481" s="204"/>
      <c r="BM481" s="204"/>
      <c r="BN481" s="210"/>
      <c r="BO481" s="204"/>
      <c r="BP481" s="210"/>
      <c r="BQ481" s="204"/>
      <c r="BR481" s="204"/>
      <c r="BS481" s="204"/>
      <c r="BT481" s="210"/>
      <c r="BU481" s="204"/>
      <c r="BV481" s="210"/>
      <c r="BW481" s="204"/>
      <c r="BX481" s="204"/>
      <c r="BY481" s="204"/>
      <c r="BZ481" s="210"/>
      <c r="CA481" s="204"/>
      <c r="CB481" s="210"/>
      <c r="CC481" s="204"/>
      <c r="CD481" s="204"/>
      <c r="CE481" s="204"/>
      <c r="CF481" s="204"/>
    </row>
    <row r="482" spans="1:84" x14ac:dyDescent="0.5">
      <c r="A482" s="259">
        <v>19036173</v>
      </c>
      <c r="B482" s="104">
        <v>19030302</v>
      </c>
      <c r="C482" s="105" t="s">
        <v>1397</v>
      </c>
      <c r="D482" s="106" t="s">
        <v>1323</v>
      </c>
      <c r="E482" s="302">
        <v>43563</v>
      </c>
      <c r="F482" s="946" t="s">
        <v>1324</v>
      </c>
      <c r="G482" s="947" t="s">
        <v>1382</v>
      </c>
      <c r="H482" s="211">
        <v>43599</v>
      </c>
      <c r="I482" s="164">
        <v>19128</v>
      </c>
      <c r="J482" s="960" t="s">
        <v>869</v>
      </c>
      <c r="K482" s="962">
        <v>43599</v>
      </c>
      <c r="L482" s="104" t="s">
        <v>23</v>
      </c>
      <c r="M482" s="110" t="s">
        <v>160</v>
      </c>
      <c r="N482" s="104" t="s">
        <v>51</v>
      </c>
      <c r="O482" s="111">
        <v>220000</v>
      </c>
      <c r="P482" s="111">
        <f t="shared" si="116"/>
        <v>15400</v>
      </c>
      <c r="Q482" s="111">
        <f t="shared" si="117"/>
        <v>235400</v>
      </c>
      <c r="R482" s="212"/>
      <c r="S482" s="165"/>
      <c r="T482" s="166"/>
      <c r="U482" s="167"/>
      <c r="V482" s="168"/>
      <c r="W482" s="231"/>
      <c r="X482" s="168"/>
      <c r="Y482" s="168"/>
      <c r="Z482" s="231"/>
      <c r="AA482" s="232"/>
      <c r="AB482" s="229">
        <v>19050179</v>
      </c>
      <c r="AC482" s="230">
        <v>72000</v>
      </c>
      <c r="AD482" s="220">
        <f t="shared" si="118"/>
        <v>5040</v>
      </c>
      <c r="AE482" s="220">
        <f t="shared" si="119"/>
        <v>77040</v>
      </c>
      <c r="AF482" s="221">
        <v>43629</v>
      </c>
      <c r="AG482" s="121" t="s">
        <v>869</v>
      </c>
      <c r="AH482" s="121"/>
      <c r="AI482" s="121"/>
      <c r="AJ482" s="222" t="s">
        <v>2354</v>
      </c>
      <c r="AK482" s="128">
        <v>1</v>
      </c>
      <c r="AL482" s="129" t="s">
        <v>1887</v>
      </c>
      <c r="AM482" s="130"/>
      <c r="AN482" s="130" t="s">
        <v>869</v>
      </c>
      <c r="AO482" s="131">
        <v>3</v>
      </c>
      <c r="AP482" s="132" t="s">
        <v>633</v>
      </c>
      <c r="AQ482" s="128">
        <v>2</v>
      </c>
      <c r="AR482" s="123" t="s">
        <v>1888</v>
      </c>
      <c r="AS482" s="131"/>
      <c r="AT482" s="131" t="s">
        <v>869</v>
      </c>
      <c r="AU482" s="131">
        <v>2</v>
      </c>
      <c r="AV482" s="169" t="s">
        <v>633</v>
      </c>
      <c r="AW482" s="128"/>
      <c r="AX482" s="133"/>
      <c r="AY482" s="128"/>
      <c r="AZ482" s="128"/>
      <c r="BA482" s="128"/>
      <c r="BB482" s="133"/>
      <c r="BC482" s="128"/>
      <c r="BD482" s="133"/>
      <c r="BE482" s="128"/>
      <c r="BF482" s="128"/>
      <c r="BG482" s="128"/>
      <c r="BH482" s="133"/>
      <c r="BI482" s="128"/>
      <c r="BJ482" s="133"/>
      <c r="BK482" s="128"/>
      <c r="BL482" s="128"/>
      <c r="BM482" s="128"/>
      <c r="BN482" s="133"/>
      <c r="BO482" s="128"/>
      <c r="BP482" s="133"/>
      <c r="BQ482" s="128"/>
      <c r="BR482" s="128"/>
      <c r="BS482" s="128"/>
      <c r="BT482" s="133"/>
      <c r="BU482" s="128"/>
      <c r="BV482" s="133"/>
      <c r="BW482" s="128"/>
      <c r="BX482" s="128"/>
      <c r="BY482" s="128"/>
      <c r="BZ482" s="133"/>
      <c r="CA482" s="128"/>
      <c r="CB482" s="133"/>
      <c r="CC482" s="128"/>
      <c r="CD482" s="128"/>
      <c r="CE482" s="128"/>
      <c r="CF482" s="128"/>
    </row>
    <row r="483" spans="1:84" x14ac:dyDescent="0.5">
      <c r="A483" s="262"/>
      <c r="B483" s="135"/>
      <c r="C483" s="136"/>
      <c r="D483" s="137"/>
      <c r="E483" s="906"/>
      <c r="F483" s="948" t="s">
        <v>1324</v>
      </c>
      <c r="G483" s="949" t="s">
        <v>2151</v>
      </c>
      <c r="H483" s="170">
        <v>43642</v>
      </c>
      <c r="I483" s="251">
        <v>19172</v>
      </c>
      <c r="J483" s="963"/>
      <c r="K483" s="969">
        <v>43642</v>
      </c>
      <c r="L483" s="135"/>
      <c r="M483" s="141"/>
      <c r="N483" s="135"/>
      <c r="O483" s="142"/>
      <c r="P483" s="142"/>
      <c r="Q483" s="142"/>
      <c r="R483" s="213"/>
      <c r="S483" s="172"/>
      <c r="T483" s="173"/>
      <c r="U483" s="174"/>
      <c r="V483" s="175"/>
      <c r="W483" s="282"/>
      <c r="X483" s="175"/>
      <c r="Y483" s="175"/>
      <c r="Z483" s="282"/>
      <c r="AA483" s="283"/>
      <c r="AB483" s="292">
        <v>19070226</v>
      </c>
      <c r="AC483" s="293">
        <v>92000</v>
      </c>
      <c r="AD483" s="307">
        <f t="shared" si="118"/>
        <v>6440</v>
      </c>
      <c r="AE483" s="307">
        <f t="shared" si="119"/>
        <v>98440</v>
      </c>
      <c r="AF483" s="295">
        <v>43677</v>
      </c>
      <c r="AG483" s="296" t="s">
        <v>869</v>
      </c>
      <c r="AH483" s="296"/>
      <c r="AI483" s="296"/>
      <c r="AJ483" s="308" t="s">
        <v>2736</v>
      </c>
      <c r="AK483" s="158"/>
      <c r="AL483" s="159"/>
      <c r="AM483" s="160"/>
      <c r="AN483" s="160"/>
      <c r="AO483" s="161"/>
      <c r="AP483" s="162"/>
      <c r="AQ483" s="158"/>
      <c r="AR483" s="154"/>
      <c r="AS483" s="161"/>
      <c r="AT483" s="161"/>
      <c r="AU483" s="161"/>
      <c r="AV483" s="177"/>
      <c r="AW483" s="158"/>
      <c r="AX483" s="163"/>
      <c r="AY483" s="158"/>
      <c r="AZ483" s="158"/>
      <c r="BA483" s="158"/>
      <c r="BB483" s="163"/>
      <c r="BC483" s="158"/>
      <c r="BD483" s="163"/>
      <c r="BE483" s="158"/>
      <c r="BF483" s="158"/>
      <c r="BG483" s="158"/>
      <c r="BH483" s="163"/>
      <c r="BI483" s="158"/>
      <c r="BJ483" s="163"/>
      <c r="BK483" s="158"/>
      <c r="BL483" s="158"/>
      <c r="BM483" s="158"/>
      <c r="BN483" s="163"/>
      <c r="BO483" s="158"/>
      <c r="BP483" s="163"/>
      <c r="BQ483" s="158"/>
      <c r="BR483" s="158"/>
      <c r="BS483" s="158"/>
      <c r="BT483" s="163"/>
      <c r="BU483" s="158"/>
      <c r="BV483" s="163"/>
      <c r="BW483" s="158"/>
      <c r="BX483" s="158"/>
      <c r="BY483" s="158"/>
      <c r="BZ483" s="163"/>
      <c r="CA483" s="158"/>
      <c r="CB483" s="163"/>
      <c r="CC483" s="158"/>
      <c r="CD483" s="158"/>
      <c r="CE483" s="158"/>
      <c r="CF483" s="158"/>
    </row>
    <row r="484" spans="1:84" x14ac:dyDescent="0.5">
      <c r="A484" s="268"/>
      <c r="B484" s="181"/>
      <c r="C484" s="182"/>
      <c r="D484" s="183"/>
      <c r="E484" s="749"/>
      <c r="F484" s="938" t="s">
        <v>1324</v>
      </c>
      <c r="G484" s="939" t="s">
        <v>2254</v>
      </c>
      <c r="H484" s="186">
        <v>43649</v>
      </c>
      <c r="I484" s="187">
        <v>19183</v>
      </c>
      <c r="J484" s="961"/>
      <c r="K484" s="966">
        <v>43649</v>
      </c>
      <c r="L484" s="181"/>
      <c r="M484" s="188"/>
      <c r="N484" s="181"/>
      <c r="O484" s="189"/>
      <c r="P484" s="189"/>
      <c r="Q484" s="189"/>
      <c r="R484" s="214"/>
      <c r="S484" s="191"/>
      <c r="T484" s="192"/>
      <c r="U484" s="193"/>
      <c r="V484" s="194"/>
      <c r="W484" s="235"/>
      <c r="X484" s="194"/>
      <c r="Y484" s="194"/>
      <c r="Z484" s="235"/>
      <c r="AA484" s="236"/>
      <c r="AB484" s="200">
        <v>19070243</v>
      </c>
      <c r="AC484" s="201">
        <v>56000</v>
      </c>
      <c r="AD484" s="202">
        <f t="shared" si="118"/>
        <v>3920</v>
      </c>
      <c r="AE484" s="202">
        <f t="shared" si="119"/>
        <v>59920</v>
      </c>
      <c r="AF484" s="203">
        <v>43685</v>
      </c>
      <c r="AG484" s="199" t="s">
        <v>869</v>
      </c>
      <c r="AH484" s="199"/>
      <c r="AI484" s="199"/>
      <c r="AJ484" s="180" t="s">
        <v>2715</v>
      </c>
      <c r="AK484" s="204"/>
      <c r="AL484" s="205"/>
      <c r="AM484" s="206"/>
      <c r="AN484" s="206"/>
      <c r="AO484" s="207"/>
      <c r="AP484" s="208"/>
      <c r="AQ484" s="204"/>
      <c r="AR484" s="200"/>
      <c r="AS484" s="207"/>
      <c r="AT484" s="207"/>
      <c r="AU484" s="207"/>
      <c r="AV484" s="209"/>
      <c r="AW484" s="204"/>
      <c r="AX484" s="210"/>
      <c r="AY484" s="204"/>
      <c r="AZ484" s="204"/>
      <c r="BA484" s="204"/>
      <c r="BB484" s="210"/>
      <c r="BC484" s="204"/>
      <c r="BD484" s="210"/>
      <c r="BE484" s="204"/>
      <c r="BF484" s="204"/>
      <c r="BG484" s="204"/>
      <c r="BH484" s="210"/>
      <c r="BI484" s="204"/>
      <c r="BJ484" s="210"/>
      <c r="BK484" s="204"/>
      <c r="BL484" s="204"/>
      <c r="BM484" s="204"/>
      <c r="BN484" s="210"/>
      <c r="BO484" s="204"/>
      <c r="BP484" s="210"/>
      <c r="BQ484" s="204"/>
      <c r="BR484" s="204"/>
      <c r="BS484" s="204"/>
      <c r="BT484" s="210"/>
      <c r="BU484" s="204"/>
      <c r="BV484" s="210"/>
      <c r="BW484" s="204"/>
      <c r="BX484" s="204"/>
      <c r="BY484" s="204"/>
      <c r="BZ484" s="210"/>
      <c r="CA484" s="204"/>
      <c r="CB484" s="210"/>
      <c r="CC484" s="204"/>
      <c r="CD484" s="204"/>
      <c r="CE484" s="204"/>
      <c r="CF484" s="204"/>
    </row>
    <row r="485" spans="1:84" x14ac:dyDescent="0.5">
      <c r="A485" s="227">
        <v>19036172</v>
      </c>
      <c r="B485" s="22">
        <v>19030298</v>
      </c>
      <c r="C485" s="23" t="s">
        <v>1353</v>
      </c>
      <c r="D485" s="24" t="s">
        <v>1323</v>
      </c>
      <c r="E485" s="910"/>
      <c r="F485" s="57"/>
      <c r="G485" s="58"/>
      <c r="H485" s="59"/>
      <c r="I485" s="60"/>
      <c r="J485" s="931" t="s">
        <v>869</v>
      </c>
      <c r="K485" s="40"/>
      <c r="L485" s="22" t="s">
        <v>154</v>
      </c>
      <c r="M485" s="28" t="s">
        <v>415</v>
      </c>
      <c r="N485" s="22" t="s">
        <v>51</v>
      </c>
      <c r="O485" s="29">
        <v>29000</v>
      </c>
      <c r="P485" s="29">
        <f t="shared" si="116"/>
        <v>2030</v>
      </c>
      <c r="Q485" s="29">
        <f t="shared" si="117"/>
        <v>31030</v>
      </c>
      <c r="R485" s="61"/>
      <c r="S485" s="96"/>
      <c r="T485" s="97"/>
      <c r="U485" s="98"/>
      <c r="V485" s="99"/>
      <c r="W485" s="100"/>
      <c r="X485" s="99"/>
      <c r="Y485" s="99"/>
      <c r="Z485" s="100"/>
      <c r="AA485" s="101"/>
      <c r="AB485" s="40">
        <v>19040127</v>
      </c>
      <c r="AC485" s="41">
        <v>29000</v>
      </c>
      <c r="AD485" s="63">
        <f t="shared" si="118"/>
        <v>2030</v>
      </c>
      <c r="AE485" s="64">
        <f t="shared" si="119"/>
        <v>31030</v>
      </c>
      <c r="AF485" s="53">
        <v>43593</v>
      </c>
      <c r="AG485" s="39" t="s">
        <v>869</v>
      </c>
      <c r="AH485" s="39"/>
      <c r="AI485" s="39"/>
      <c r="AJ485" s="21" t="s">
        <v>2172</v>
      </c>
      <c r="AK485" s="753">
        <v>1</v>
      </c>
      <c r="AL485" s="45" t="s">
        <v>1890</v>
      </c>
      <c r="AM485" s="46"/>
      <c r="AN485" s="46"/>
      <c r="AO485" s="47">
        <v>1</v>
      </c>
      <c r="AP485" s="48" t="s">
        <v>636</v>
      </c>
      <c r="AQ485" s="818"/>
      <c r="AR485" s="54"/>
      <c r="AS485" s="818"/>
      <c r="AT485" s="818"/>
      <c r="AU485" s="818"/>
      <c r="AV485" s="54"/>
      <c r="AW485" s="818"/>
      <c r="AX485" s="54"/>
      <c r="AY485" s="818"/>
      <c r="AZ485" s="818"/>
      <c r="BA485" s="818"/>
      <c r="BB485" s="54"/>
      <c r="BC485" s="818"/>
      <c r="BD485" s="54"/>
      <c r="BE485" s="818"/>
      <c r="BF485" s="818"/>
      <c r="BG485" s="818"/>
      <c r="BH485" s="54"/>
      <c r="BI485" s="818"/>
      <c r="BJ485" s="54"/>
      <c r="BK485" s="818"/>
      <c r="BL485" s="818"/>
      <c r="BM485" s="818"/>
      <c r="BN485" s="54"/>
      <c r="BO485" s="818"/>
      <c r="BP485" s="54"/>
      <c r="BQ485" s="818"/>
      <c r="BR485" s="818"/>
      <c r="BS485" s="818"/>
      <c r="BT485" s="54"/>
      <c r="BU485" s="818"/>
      <c r="BV485" s="54"/>
      <c r="BW485" s="818"/>
      <c r="BX485" s="818"/>
      <c r="BY485" s="818"/>
      <c r="BZ485" s="54"/>
      <c r="CA485" s="818"/>
      <c r="CB485" s="54"/>
      <c r="CC485" s="818"/>
      <c r="CD485" s="818"/>
      <c r="CE485" s="818"/>
      <c r="CF485" s="818"/>
    </row>
    <row r="486" spans="1:84" x14ac:dyDescent="0.5">
      <c r="A486" s="227">
        <v>19036171</v>
      </c>
      <c r="B486" s="22">
        <v>19030297</v>
      </c>
      <c r="C486" s="23" t="s">
        <v>1355</v>
      </c>
      <c r="D486" s="24" t="s">
        <v>1891</v>
      </c>
      <c r="E486" s="884"/>
      <c r="F486" s="932"/>
      <c r="G486" s="933"/>
      <c r="H486" s="62">
        <v>43642</v>
      </c>
      <c r="I486" s="27">
        <v>19171</v>
      </c>
      <c r="J486" s="931"/>
      <c r="K486" s="40"/>
      <c r="L486" s="22" t="s">
        <v>154</v>
      </c>
      <c r="M486" s="28" t="s">
        <v>1892</v>
      </c>
      <c r="N486" s="22" t="s">
        <v>51</v>
      </c>
      <c r="O486" s="29">
        <v>80000</v>
      </c>
      <c r="P486" s="29">
        <f t="shared" si="116"/>
        <v>5600</v>
      </c>
      <c r="Q486" s="29">
        <f t="shared" si="117"/>
        <v>85600</v>
      </c>
      <c r="R486" s="61"/>
      <c r="S486" s="96"/>
      <c r="T486" s="97"/>
      <c r="U486" s="98"/>
      <c r="V486" s="99"/>
      <c r="W486" s="100"/>
      <c r="X486" s="99"/>
      <c r="Y486" s="99"/>
      <c r="Z486" s="100"/>
      <c r="AA486" s="101"/>
      <c r="AB486" s="40">
        <v>19070227</v>
      </c>
      <c r="AC486" s="41">
        <v>80000</v>
      </c>
      <c r="AD486" s="63">
        <f t="shared" si="118"/>
        <v>5600</v>
      </c>
      <c r="AE486" s="63">
        <f t="shared" si="119"/>
        <v>85600</v>
      </c>
      <c r="AF486" s="53">
        <v>43677</v>
      </c>
      <c r="AG486" s="39" t="s">
        <v>869</v>
      </c>
      <c r="AH486" s="39"/>
      <c r="AI486" s="39"/>
      <c r="AJ486" s="21" t="s">
        <v>2707</v>
      </c>
      <c r="AK486" s="817">
        <v>1</v>
      </c>
      <c r="AL486" s="45" t="s">
        <v>1893</v>
      </c>
      <c r="AM486" s="46"/>
      <c r="AN486" s="46"/>
      <c r="AO486" s="47">
        <v>10</v>
      </c>
      <c r="AP486" s="48" t="s">
        <v>628</v>
      </c>
      <c r="AQ486" s="817">
        <v>2</v>
      </c>
      <c r="AR486" s="40" t="s">
        <v>1894</v>
      </c>
      <c r="AS486" s="47"/>
      <c r="AT486" s="47"/>
      <c r="AU486" s="47">
        <v>10</v>
      </c>
      <c r="AV486" s="49" t="s">
        <v>628</v>
      </c>
      <c r="AW486" s="817">
        <v>3</v>
      </c>
      <c r="AX486" s="40" t="s">
        <v>1895</v>
      </c>
      <c r="AY486" s="47"/>
      <c r="AZ486" s="47"/>
      <c r="BA486" s="47">
        <v>10</v>
      </c>
      <c r="BB486" s="49" t="s">
        <v>628</v>
      </c>
      <c r="BC486" s="818"/>
      <c r="BD486" s="54"/>
      <c r="BE486" s="818"/>
      <c r="BF486" s="818"/>
      <c r="BG486" s="818"/>
      <c r="BH486" s="54"/>
      <c r="BI486" s="818"/>
      <c r="BJ486" s="54"/>
      <c r="BK486" s="818"/>
      <c r="BL486" s="818"/>
      <c r="BM486" s="818"/>
      <c r="BN486" s="54"/>
      <c r="BO486" s="818"/>
      <c r="BP486" s="54"/>
      <c r="BQ486" s="818"/>
      <c r="BR486" s="818"/>
      <c r="BS486" s="818"/>
      <c r="BT486" s="54"/>
      <c r="BU486" s="818"/>
      <c r="BV486" s="54"/>
      <c r="BW486" s="818"/>
      <c r="BX486" s="818"/>
      <c r="BY486" s="818"/>
      <c r="BZ486" s="54"/>
      <c r="CA486" s="818"/>
      <c r="CB486" s="54"/>
      <c r="CC486" s="818"/>
      <c r="CD486" s="818"/>
      <c r="CE486" s="818"/>
      <c r="CF486" s="818"/>
    </row>
    <row r="487" spans="1:84" x14ac:dyDescent="0.5">
      <c r="A487" s="227">
        <v>19036170</v>
      </c>
      <c r="B487" s="22">
        <v>19030296</v>
      </c>
      <c r="C487" s="23" t="s">
        <v>1352</v>
      </c>
      <c r="D487" s="24" t="s">
        <v>1323</v>
      </c>
      <c r="E487" s="884"/>
      <c r="F487" s="932" t="s">
        <v>1324</v>
      </c>
      <c r="G487" s="933" t="s">
        <v>1374</v>
      </c>
      <c r="H487" s="62">
        <v>43609</v>
      </c>
      <c r="I487" s="27">
        <v>19139</v>
      </c>
      <c r="J487" s="931" t="s">
        <v>869</v>
      </c>
      <c r="K487" s="957">
        <v>43609</v>
      </c>
      <c r="L487" s="22" t="s">
        <v>154</v>
      </c>
      <c r="M487" s="28" t="s">
        <v>1320</v>
      </c>
      <c r="N487" s="22" t="s">
        <v>51</v>
      </c>
      <c r="O487" s="29">
        <v>37000</v>
      </c>
      <c r="P487" s="29">
        <f t="shared" si="116"/>
        <v>2590</v>
      </c>
      <c r="Q487" s="29">
        <f t="shared" si="117"/>
        <v>39590</v>
      </c>
      <c r="R487" s="61"/>
      <c r="S487" s="96"/>
      <c r="T487" s="97"/>
      <c r="U487" s="98"/>
      <c r="V487" s="99"/>
      <c r="W487" s="100"/>
      <c r="X487" s="99"/>
      <c r="Y487" s="99"/>
      <c r="Z487" s="100"/>
      <c r="AA487" s="101"/>
      <c r="AB487" s="40">
        <v>19060188</v>
      </c>
      <c r="AC487" s="41">
        <v>37000</v>
      </c>
      <c r="AD487" s="52">
        <f t="shared" si="118"/>
        <v>2590</v>
      </c>
      <c r="AE487" s="52">
        <f t="shared" si="119"/>
        <v>39590</v>
      </c>
      <c r="AF487" s="53">
        <v>43653</v>
      </c>
      <c r="AG487" s="39" t="s">
        <v>869</v>
      </c>
      <c r="AH487" s="39"/>
      <c r="AI487" s="39"/>
      <c r="AJ487" s="21" t="s">
        <v>2738</v>
      </c>
      <c r="AK487" s="753">
        <v>1</v>
      </c>
      <c r="AL487" s="45" t="s">
        <v>1896</v>
      </c>
      <c r="AM487" s="46"/>
      <c r="AN487" s="46"/>
      <c r="AO487" s="47">
        <v>10</v>
      </c>
      <c r="AP487" s="48" t="s">
        <v>628</v>
      </c>
      <c r="AQ487" s="818"/>
      <c r="AR487" s="54"/>
      <c r="AS487" s="818"/>
      <c r="AT487" s="818"/>
      <c r="AU487" s="818"/>
      <c r="AV487" s="54"/>
      <c r="AW487" s="818"/>
      <c r="AX487" s="54"/>
      <c r="AY487" s="818"/>
      <c r="AZ487" s="818"/>
      <c r="BA487" s="818"/>
      <c r="BB487" s="54"/>
      <c r="BC487" s="818"/>
      <c r="BD487" s="54"/>
      <c r="BE487" s="818"/>
      <c r="BF487" s="818"/>
      <c r="BG487" s="818"/>
      <c r="BH487" s="54"/>
      <c r="BI487" s="818"/>
      <c r="BJ487" s="54"/>
      <c r="BK487" s="818"/>
      <c r="BL487" s="818"/>
      <c r="BM487" s="818"/>
      <c r="BN487" s="54"/>
      <c r="BO487" s="818"/>
      <c r="BP487" s="54"/>
      <c r="BQ487" s="818"/>
      <c r="BR487" s="818"/>
      <c r="BS487" s="818"/>
      <c r="BT487" s="54"/>
      <c r="BU487" s="818"/>
      <c r="BV487" s="54"/>
      <c r="BW487" s="818"/>
      <c r="BX487" s="818"/>
      <c r="BY487" s="818"/>
      <c r="BZ487" s="54"/>
      <c r="CA487" s="818"/>
      <c r="CB487" s="54"/>
      <c r="CC487" s="818"/>
      <c r="CD487" s="818"/>
      <c r="CE487" s="818"/>
      <c r="CF487" s="818"/>
    </row>
    <row r="488" spans="1:84" x14ac:dyDescent="0.5">
      <c r="A488" s="259">
        <v>19036169</v>
      </c>
      <c r="B488" s="104" t="s">
        <v>1824</v>
      </c>
      <c r="C488" s="105" t="s">
        <v>1398</v>
      </c>
      <c r="D488" s="106" t="s">
        <v>1323</v>
      </c>
      <c r="E488" s="302">
        <v>43581</v>
      </c>
      <c r="F488" s="936" t="s">
        <v>1324</v>
      </c>
      <c r="G488" s="937" t="s">
        <v>1390</v>
      </c>
      <c r="H488" s="122">
        <v>43580</v>
      </c>
      <c r="I488" s="109">
        <v>19124</v>
      </c>
      <c r="J488" s="960" t="s">
        <v>869</v>
      </c>
      <c r="K488" s="965">
        <v>43581</v>
      </c>
      <c r="L488" s="104" t="s">
        <v>296</v>
      </c>
      <c r="M488" s="110" t="s">
        <v>1825</v>
      </c>
      <c r="N488" s="104" t="s">
        <v>52</v>
      </c>
      <c r="O488" s="111">
        <v>467289.72</v>
      </c>
      <c r="P488" s="111">
        <f t="shared" ref="P488:P499" si="120">O488*7/100</f>
        <v>32710.2804</v>
      </c>
      <c r="Q488" s="111">
        <f t="shared" ref="Q488:Q499" si="121">O488+P488</f>
        <v>500000.00039999996</v>
      </c>
      <c r="R488" s="212"/>
      <c r="S488" s="113" t="s">
        <v>1840</v>
      </c>
      <c r="T488" s="114">
        <f>O488</f>
        <v>467289.72</v>
      </c>
      <c r="U488" s="115">
        <v>5</v>
      </c>
      <c r="V488" s="116">
        <f>T488*U488/100</f>
        <v>23364.485999999997</v>
      </c>
      <c r="W488" s="117">
        <f>T488-V488</f>
        <v>443925.234</v>
      </c>
      <c r="X488" s="118">
        <v>0.25</v>
      </c>
      <c r="Y488" s="118">
        <f t="shared" ref="Y488:Y501" si="122">W488*X488/100</f>
        <v>1109.813085</v>
      </c>
      <c r="Z488" s="119">
        <v>0.2</v>
      </c>
      <c r="AA488" s="120">
        <f t="shared" ref="AA488:AA501" si="123">W488*Z488/100</f>
        <v>887.85046800000009</v>
      </c>
      <c r="AB488" s="229">
        <v>19040122</v>
      </c>
      <c r="AC488" s="230">
        <v>140186.92000000001</v>
      </c>
      <c r="AD488" s="233">
        <f t="shared" si="118"/>
        <v>9813.0843999999997</v>
      </c>
      <c r="AE488" s="234">
        <f t="shared" si="119"/>
        <v>150000.00440000001</v>
      </c>
      <c r="AF488" s="221">
        <v>43557</v>
      </c>
      <c r="AG488" s="121" t="s">
        <v>869</v>
      </c>
      <c r="AH488" s="121"/>
      <c r="AI488" s="121"/>
      <c r="AJ488" s="222" t="s">
        <v>2244</v>
      </c>
      <c r="AK488" s="128">
        <v>1</v>
      </c>
      <c r="AL488" s="129" t="s">
        <v>1826</v>
      </c>
      <c r="AM488" s="130"/>
      <c r="AN488" s="130" t="s">
        <v>869</v>
      </c>
      <c r="AO488" s="131">
        <v>1</v>
      </c>
      <c r="AP488" s="132" t="s">
        <v>634</v>
      </c>
      <c r="AQ488" s="128">
        <v>2</v>
      </c>
      <c r="AR488" s="123" t="s">
        <v>814</v>
      </c>
      <c r="AS488" s="131"/>
      <c r="AT488" s="131" t="s">
        <v>869</v>
      </c>
      <c r="AU488" s="131">
        <v>1</v>
      </c>
      <c r="AV488" s="169" t="s">
        <v>634</v>
      </c>
      <c r="AW488" s="128">
        <v>3</v>
      </c>
      <c r="AX488" s="123" t="s">
        <v>815</v>
      </c>
      <c r="AY488" s="131"/>
      <c r="AZ488" s="131" t="s">
        <v>869</v>
      </c>
      <c r="BA488" s="131">
        <v>2</v>
      </c>
      <c r="BB488" s="169" t="s">
        <v>636</v>
      </c>
      <c r="BC488" s="128">
        <v>4</v>
      </c>
      <c r="BD488" s="123" t="s">
        <v>880</v>
      </c>
      <c r="BE488" s="131"/>
      <c r="BF488" s="131" t="s">
        <v>869</v>
      </c>
      <c r="BG488" s="131">
        <v>1</v>
      </c>
      <c r="BH488" s="169" t="s">
        <v>636</v>
      </c>
      <c r="BI488" s="128">
        <v>5</v>
      </c>
      <c r="BJ488" s="123" t="s">
        <v>883</v>
      </c>
      <c r="BK488" s="131"/>
      <c r="BL488" s="131" t="s">
        <v>869</v>
      </c>
      <c r="BM488" s="131">
        <v>1</v>
      </c>
      <c r="BN488" s="169" t="s">
        <v>636</v>
      </c>
      <c r="BO488" s="128"/>
      <c r="BP488" s="133"/>
      <c r="BQ488" s="128"/>
      <c r="BR488" s="128"/>
      <c r="BS488" s="128"/>
      <c r="BT488" s="133"/>
      <c r="BU488" s="128"/>
      <c r="BV488" s="133"/>
      <c r="BW488" s="128"/>
      <c r="BX488" s="128"/>
      <c r="BY488" s="128"/>
      <c r="BZ488" s="133"/>
      <c r="CA488" s="128"/>
      <c r="CB488" s="133"/>
      <c r="CC488" s="128"/>
      <c r="CD488" s="128"/>
      <c r="CE488" s="128"/>
      <c r="CF488" s="128"/>
    </row>
    <row r="489" spans="1:84" x14ac:dyDescent="0.5">
      <c r="A489" s="268"/>
      <c r="B489" s="181"/>
      <c r="C489" s="182"/>
      <c r="D489" s="183"/>
      <c r="E489" s="749"/>
      <c r="F489" s="938"/>
      <c r="G489" s="939"/>
      <c r="H489" s="181"/>
      <c r="I489" s="187"/>
      <c r="J489" s="961"/>
      <c r="K489" s="200"/>
      <c r="L489" s="181"/>
      <c r="M489" s="188"/>
      <c r="N489" s="181"/>
      <c r="O489" s="189"/>
      <c r="P489" s="189"/>
      <c r="Q489" s="189"/>
      <c r="R489" s="214"/>
      <c r="S489" s="215"/>
      <c r="T489" s="216"/>
      <c r="U489" s="217"/>
      <c r="V489" s="218"/>
      <c r="W489" s="195"/>
      <c r="X489" s="196"/>
      <c r="Y489" s="196"/>
      <c r="Z489" s="197"/>
      <c r="AA489" s="198"/>
      <c r="AB489" s="200">
        <v>19040132</v>
      </c>
      <c r="AC489" s="201">
        <v>327102.8</v>
      </c>
      <c r="AD489" s="237">
        <f t="shared" si="118"/>
        <v>22897.196</v>
      </c>
      <c r="AE489" s="238">
        <f t="shared" si="119"/>
        <v>349999.99599999998</v>
      </c>
      <c r="AF489" s="203">
        <v>43572</v>
      </c>
      <c r="AG489" s="199" t="s">
        <v>869</v>
      </c>
      <c r="AH489" s="199"/>
      <c r="AI489" s="199"/>
      <c r="AJ489" s="180" t="s">
        <v>2243</v>
      </c>
      <c r="AK489" s="204"/>
      <c r="AL489" s="205"/>
      <c r="AM489" s="206"/>
      <c r="AN489" s="206"/>
      <c r="AO489" s="207"/>
      <c r="AP489" s="208"/>
      <c r="AQ489" s="204"/>
      <c r="AR489" s="200"/>
      <c r="AS489" s="207"/>
      <c r="AT489" s="207"/>
      <c r="AU489" s="207"/>
      <c r="AV489" s="209"/>
      <c r="AW489" s="204"/>
      <c r="AX489" s="200"/>
      <c r="AY489" s="207"/>
      <c r="AZ489" s="207"/>
      <c r="BA489" s="207"/>
      <c r="BB489" s="209"/>
      <c r="BC489" s="204"/>
      <c r="BD489" s="200"/>
      <c r="BE489" s="207"/>
      <c r="BF489" s="207"/>
      <c r="BG489" s="207"/>
      <c r="BH489" s="209"/>
      <c r="BI489" s="204"/>
      <c r="BJ489" s="200"/>
      <c r="BK489" s="207"/>
      <c r="BL489" s="207"/>
      <c r="BM489" s="207"/>
      <c r="BN489" s="209"/>
      <c r="BO489" s="204"/>
      <c r="BP489" s="210"/>
      <c r="BQ489" s="204"/>
      <c r="BR489" s="204"/>
      <c r="BS489" s="204"/>
      <c r="BT489" s="210"/>
      <c r="BU489" s="204"/>
      <c r="BV489" s="210"/>
      <c r="BW489" s="204"/>
      <c r="BX489" s="204"/>
      <c r="BY489" s="204"/>
      <c r="BZ489" s="210"/>
      <c r="CA489" s="204"/>
      <c r="CB489" s="210"/>
      <c r="CC489" s="204"/>
      <c r="CD489" s="204"/>
      <c r="CE489" s="204"/>
      <c r="CF489" s="204"/>
    </row>
    <row r="490" spans="1:84" s="95" customFormat="1" x14ac:dyDescent="0.5">
      <c r="A490" s="65">
        <v>19036168</v>
      </c>
      <c r="B490" s="66">
        <v>19030294</v>
      </c>
      <c r="C490" s="67" t="s">
        <v>1404</v>
      </c>
      <c r="D490" s="68" t="s">
        <v>1323</v>
      </c>
      <c r="E490" s="905">
        <v>43580</v>
      </c>
      <c r="F490" s="934"/>
      <c r="G490" s="935"/>
      <c r="H490" s="66"/>
      <c r="I490" s="71"/>
      <c r="J490" s="958"/>
      <c r="K490" s="84"/>
      <c r="L490" s="66" t="s">
        <v>1827</v>
      </c>
      <c r="M490" s="72" t="s">
        <v>1828</v>
      </c>
      <c r="N490" s="66" t="s">
        <v>1523</v>
      </c>
      <c r="O490" s="73">
        <v>1348000</v>
      </c>
      <c r="P490" s="73">
        <f t="shared" si="120"/>
        <v>94360</v>
      </c>
      <c r="Q490" s="73">
        <f t="shared" si="121"/>
        <v>1442360</v>
      </c>
      <c r="R490" s="318"/>
      <c r="S490" s="319"/>
      <c r="T490" s="320"/>
      <c r="U490" s="321"/>
      <c r="V490" s="322"/>
      <c r="W490" s="79">
        <f t="shared" ref="W490:W499" si="124">O490</f>
        <v>1348000</v>
      </c>
      <c r="X490" s="80">
        <v>0.21</v>
      </c>
      <c r="Y490" s="80">
        <f t="shared" si="122"/>
        <v>2830.8</v>
      </c>
      <c r="Z490" s="81">
        <v>0.2</v>
      </c>
      <c r="AA490" s="82">
        <f t="shared" si="123"/>
        <v>2696</v>
      </c>
      <c r="AB490" s="84"/>
      <c r="AC490" s="85"/>
      <c r="AD490" s="86"/>
      <c r="AE490" s="86"/>
      <c r="AF490" s="87"/>
      <c r="AG490" s="83"/>
      <c r="AH490" s="83"/>
      <c r="AI490" s="83"/>
      <c r="AJ490" s="65"/>
      <c r="AK490" s="88">
        <v>1</v>
      </c>
      <c r="AL490" s="89" t="s">
        <v>1829</v>
      </c>
      <c r="AM490" s="90"/>
      <c r="AN490" s="90" t="s">
        <v>869</v>
      </c>
      <c r="AO490" s="91">
        <v>5</v>
      </c>
      <c r="AP490" s="92" t="s">
        <v>634</v>
      </c>
      <c r="AQ490" s="88">
        <v>2</v>
      </c>
      <c r="AR490" s="84" t="s">
        <v>1830</v>
      </c>
      <c r="AS490" s="91"/>
      <c r="AT490" s="91" t="s">
        <v>869</v>
      </c>
      <c r="AU490" s="91">
        <v>1</v>
      </c>
      <c r="AV490" s="93" t="s">
        <v>634</v>
      </c>
      <c r="AW490" s="88">
        <v>3</v>
      </c>
      <c r="AX490" s="84" t="s">
        <v>1831</v>
      </c>
      <c r="AY490" s="91"/>
      <c r="AZ490" s="91" t="s">
        <v>869</v>
      </c>
      <c r="BA490" s="91">
        <v>2</v>
      </c>
      <c r="BB490" s="93" t="s">
        <v>634</v>
      </c>
      <c r="BC490" s="88">
        <v>4</v>
      </c>
      <c r="BD490" s="84" t="s">
        <v>1832</v>
      </c>
      <c r="BE490" s="91"/>
      <c r="BF490" s="91" t="s">
        <v>869</v>
      </c>
      <c r="BG490" s="91">
        <v>1</v>
      </c>
      <c r="BH490" s="93" t="s">
        <v>634</v>
      </c>
      <c r="BI490" s="88">
        <v>5</v>
      </c>
      <c r="BJ490" s="84" t="s">
        <v>1833</v>
      </c>
      <c r="BK490" s="91"/>
      <c r="BL490" s="91" t="s">
        <v>869</v>
      </c>
      <c r="BM490" s="91">
        <v>2</v>
      </c>
      <c r="BN490" s="93" t="s">
        <v>634</v>
      </c>
      <c r="BO490" s="88">
        <v>6</v>
      </c>
      <c r="BP490" s="84" t="s">
        <v>1834</v>
      </c>
      <c r="BQ490" s="91"/>
      <c r="BR490" s="91" t="s">
        <v>869</v>
      </c>
      <c r="BS490" s="91">
        <v>2</v>
      </c>
      <c r="BT490" s="93" t="s">
        <v>634</v>
      </c>
      <c r="BU490" s="88"/>
      <c r="BV490" s="94"/>
      <c r="BW490" s="88"/>
      <c r="BX490" s="88"/>
      <c r="BY490" s="88"/>
      <c r="BZ490" s="94"/>
      <c r="CA490" s="88"/>
      <c r="CB490" s="94"/>
      <c r="CC490" s="88"/>
      <c r="CD490" s="88"/>
      <c r="CE490" s="88"/>
      <c r="CF490" s="88"/>
    </row>
    <row r="491" spans="1:84" x14ac:dyDescent="0.5">
      <c r="A491" s="259">
        <v>19036167</v>
      </c>
      <c r="B491" s="104">
        <v>19030292</v>
      </c>
      <c r="C491" s="105" t="s">
        <v>1399</v>
      </c>
      <c r="D491" s="106" t="s">
        <v>1323</v>
      </c>
      <c r="E491" s="302">
        <v>43577</v>
      </c>
      <c r="F491" s="936" t="s">
        <v>1324</v>
      </c>
      <c r="G491" s="937" t="s">
        <v>1389</v>
      </c>
      <c r="H491" s="122">
        <v>43578</v>
      </c>
      <c r="I491" s="109">
        <v>19122</v>
      </c>
      <c r="J491" s="960" t="s">
        <v>869</v>
      </c>
      <c r="K491" s="965">
        <v>43579</v>
      </c>
      <c r="L491" s="104" t="s">
        <v>1160</v>
      </c>
      <c r="M491" s="110" t="s">
        <v>1835</v>
      </c>
      <c r="N491" s="104" t="s">
        <v>50</v>
      </c>
      <c r="O491" s="111">
        <v>26752</v>
      </c>
      <c r="P491" s="111">
        <f t="shared" si="120"/>
        <v>1872.64</v>
      </c>
      <c r="Q491" s="111">
        <f t="shared" si="121"/>
        <v>28624.639999999999</v>
      </c>
      <c r="R491" s="212"/>
      <c r="S491" s="165"/>
      <c r="T491" s="166"/>
      <c r="U491" s="167"/>
      <c r="V491" s="168"/>
      <c r="W491" s="117">
        <f t="shared" si="124"/>
        <v>26752</v>
      </c>
      <c r="X491" s="118">
        <v>0.21</v>
      </c>
      <c r="Y491" s="118">
        <f t="shared" si="122"/>
        <v>56.179200000000002</v>
      </c>
      <c r="Z491" s="119">
        <v>0.2</v>
      </c>
      <c r="AA491" s="120">
        <f t="shared" si="123"/>
        <v>53.504000000000005</v>
      </c>
      <c r="AB491" s="229">
        <v>19030107</v>
      </c>
      <c r="AC491" s="230">
        <v>8025.6</v>
      </c>
      <c r="AD491" s="275">
        <f t="shared" ref="AD491:AD501" si="125">AC491*7/100</f>
        <v>561.79200000000003</v>
      </c>
      <c r="AE491" s="234">
        <f t="shared" ref="AE491:AE501" si="126">AC491+AD491</f>
        <v>8587.3919999999998</v>
      </c>
      <c r="AF491" s="221">
        <v>43551</v>
      </c>
      <c r="AG491" s="121" t="s">
        <v>869</v>
      </c>
      <c r="AH491" s="121"/>
      <c r="AI491" s="121"/>
      <c r="AJ491" s="222" t="s">
        <v>2043</v>
      </c>
      <c r="AK491" s="128">
        <v>1</v>
      </c>
      <c r="AL491" s="129" t="s">
        <v>650</v>
      </c>
      <c r="AM491" s="130"/>
      <c r="AN491" s="130" t="s">
        <v>869</v>
      </c>
      <c r="AO491" s="131">
        <v>1</v>
      </c>
      <c r="AP491" s="132" t="s">
        <v>634</v>
      </c>
      <c r="AQ491" s="128">
        <v>2</v>
      </c>
      <c r="AR491" s="123" t="s">
        <v>890</v>
      </c>
      <c r="AS491" s="131"/>
      <c r="AT491" s="131" t="s">
        <v>869</v>
      </c>
      <c r="AU491" s="131">
        <v>1</v>
      </c>
      <c r="AV491" s="169" t="s">
        <v>634</v>
      </c>
      <c r="AW491" s="128">
        <v>3</v>
      </c>
      <c r="AX491" s="123" t="s">
        <v>883</v>
      </c>
      <c r="AY491" s="131"/>
      <c r="AZ491" s="131" t="s">
        <v>869</v>
      </c>
      <c r="BA491" s="131">
        <v>1</v>
      </c>
      <c r="BB491" s="169" t="s">
        <v>636</v>
      </c>
      <c r="BC491" s="128"/>
      <c r="BD491" s="133"/>
      <c r="BE491" s="128"/>
      <c r="BF491" s="128"/>
      <c r="BG491" s="128"/>
      <c r="BH491" s="133"/>
      <c r="BI491" s="128"/>
      <c r="BJ491" s="133"/>
      <c r="BK491" s="128"/>
      <c r="BL491" s="128"/>
      <c r="BM491" s="128"/>
      <c r="BN491" s="133"/>
      <c r="BO491" s="128"/>
      <c r="BP491" s="133"/>
      <c r="BQ491" s="128"/>
      <c r="BR491" s="128"/>
      <c r="BS491" s="128"/>
      <c r="BT491" s="133"/>
      <c r="BU491" s="128"/>
      <c r="BV491" s="133"/>
      <c r="BW491" s="128"/>
      <c r="BX491" s="128"/>
      <c r="BY491" s="128"/>
      <c r="BZ491" s="133"/>
      <c r="CA491" s="128"/>
      <c r="CB491" s="133"/>
      <c r="CC491" s="128"/>
      <c r="CD491" s="128"/>
      <c r="CE491" s="128"/>
      <c r="CF491" s="128"/>
    </row>
    <row r="492" spans="1:84" x14ac:dyDescent="0.5">
      <c r="A492" s="262"/>
      <c r="B492" s="135"/>
      <c r="C492" s="136"/>
      <c r="D492" s="137"/>
      <c r="E492" s="906"/>
      <c r="F492" s="940"/>
      <c r="G492" s="941"/>
      <c r="H492" s="179"/>
      <c r="I492" s="140"/>
      <c r="J492" s="963"/>
      <c r="K492" s="964"/>
      <c r="L492" s="135"/>
      <c r="M492" s="141"/>
      <c r="N492" s="135"/>
      <c r="O492" s="142"/>
      <c r="P492" s="142"/>
      <c r="Q492" s="142"/>
      <c r="R492" s="213"/>
      <c r="S492" s="172"/>
      <c r="T492" s="173"/>
      <c r="U492" s="174"/>
      <c r="V492" s="175"/>
      <c r="W492" s="148"/>
      <c r="X492" s="149"/>
      <c r="Y492" s="149"/>
      <c r="Z492" s="150"/>
      <c r="AA492" s="151"/>
      <c r="AB492" s="154">
        <v>19040139</v>
      </c>
      <c r="AC492" s="155">
        <v>18726.400000000001</v>
      </c>
      <c r="AD492" s="156">
        <f>AC492*7/100</f>
        <v>1310.8480000000002</v>
      </c>
      <c r="AE492" s="263">
        <f>AC492+AD492</f>
        <v>20037.248000000003</v>
      </c>
      <c r="AF492" s="157">
        <v>43610</v>
      </c>
      <c r="AG492" s="152" t="s">
        <v>869</v>
      </c>
      <c r="AH492" s="152"/>
      <c r="AI492" s="152"/>
      <c r="AJ492" s="842" t="s">
        <v>2358</v>
      </c>
      <c r="AK492" s="158"/>
      <c r="AL492" s="159"/>
      <c r="AM492" s="160"/>
      <c r="AN492" s="160"/>
      <c r="AO492" s="161"/>
      <c r="AP492" s="162"/>
      <c r="AQ492" s="158"/>
      <c r="AR492" s="154"/>
      <c r="AS492" s="161"/>
      <c r="AT492" s="161"/>
      <c r="AU492" s="161"/>
      <c r="AV492" s="177"/>
      <c r="AW492" s="158"/>
      <c r="AX492" s="154"/>
      <c r="AY492" s="161"/>
      <c r="AZ492" s="161"/>
      <c r="BA492" s="161"/>
      <c r="BB492" s="177"/>
      <c r="BC492" s="158"/>
      <c r="BD492" s="163"/>
      <c r="BE492" s="158"/>
      <c r="BF492" s="158"/>
      <c r="BG492" s="158"/>
      <c r="BH492" s="163"/>
      <c r="BI492" s="158"/>
      <c r="BJ492" s="163"/>
      <c r="BK492" s="158"/>
      <c r="BL492" s="158"/>
      <c r="BM492" s="158"/>
      <c r="BN492" s="163"/>
      <c r="BO492" s="158"/>
      <c r="BP492" s="163"/>
      <c r="BQ492" s="158"/>
      <c r="BR492" s="158"/>
      <c r="BS492" s="158"/>
      <c r="BT492" s="163"/>
      <c r="BU492" s="158"/>
      <c r="BV492" s="163"/>
      <c r="BW492" s="158"/>
      <c r="BX492" s="158"/>
      <c r="BY492" s="158"/>
      <c r="BZ492" s="163"/>
      <c r="CA492" s="158"/>
      <c r="CB492" s="163"/>
      <c r="CC492" s="158"/>
      <c r="CD492" s="158"/>
      <c r="CE492" s="158"/>
      <c r="CF492" s="158"/>
    </row>
    <row r="493" spans="1:84" x14ac:dyDescent="0.5">
      <c r="A493" s="259">
        <v>19036166</v>
      </c>
      <c r="B493" s="104">
        <v>19030291</v>
      </c>
      <c r="C493" s="105" t="s">
        <v>1400</v>
      </c>
      <c r="D493" s="106" t="s">
        <v>1323</v>
      </c>
      <c r="E493" s="302">
        <v>43577</v>
      </c>
      <c r="F493" s="936" t="s">
        <v>1324</v>
      </c>
      <c r="G493" s="937" t="s">
        <v>1388</v>
      </c>
      <c r="H493" s="122">
        <v>43578</v>
      </c>
      <c r="I493" s="109">
        <v>19121</v>
      </c>
      <c r="J493" s="960" t="s">
        <v>869</v>
      </c>
      <c r="K493" s="965">
        <v>43579</v>
      </c>
      <c r="L493" s="104" t="s">
        <v>1160</v>
      </c>
      <c r="M493" s="110" t="s">
        <v>1836</v>
      </c>
      <c r="N493" s="104" t="s">
        <v>50</v>
      </c>
      <c r="O493" s="111">
        <v>26334</v>
      </c>
      <c r="P493" s="111">
        <f t="shared" si="120"/>
        <v>1843.38</v>
      </c>
      <c r="Q493" s="111">
        <f t="shared" si="121"/>
        <v>28177.38</v>
      </c>
      <c r="R493" s="212"/>
      <c r="S493" s="165"/>
      <c r="T493" s="166"/>
      <c r="U493" s="167"/>
      <c r="V493" s="168"/>
      <c r="W493" s="117">
        <f t="shared" si="124"/>
        <v>26334</v>
      </c>
      <c r="X493" s="118">
        <v>0.21</v>
      </c>
      <c r="Y493" s="118">
        <f t="shared" si="122"/>
        <v>55.301399999999994</v>
      </c>
      <c r="Z493" s="119">
        <v>0.2</v>
      </c>
      <c r="AA493" s="120">
        <f t="shared" si="123"/>
        <v>52.667999999999999</v>
      </c>
      <c r="AB493" s="229">
        <v>19030106</v>
      </c>
      <c r="AC493" s="230">
        <v>7900.2</v>
      </c>
      <c r="AD493" s="275">
        <f t="shared" si="125"/>
        <v>553.01400000000001</v>
      </c>
      <c r="AE493" s="234">
        <f t="shared" si="126"/>
        <v>8453.2139999999999</v>
      </c>
      <c r="AF493" s="221">
        <v>43551</v>
      </c>
      <c r="AG493" s="121" t="s">
        <v>869</v>
      </c>
      <c r="AH493" s="121"/>
      <c r="AI493" s="121"/>
      <c r="AJ493" s="222" t="s">
        <v>2043</v>
      </c>
      <c r="AK493" s="128">
        <v>1</v>
      </c>
      <c r="AL493" s="129" t="s">
        <v>600</v>
      </c>
      <c r="AM493" s="130"/>
      <c r="AN493" s="130" t="s">
        <v>869</v>
      </c>
      <c r="AO493" s="131">
        <v>1</v>
      </c>
      <c r="AP493" s="132" t="s">
        <v>636</v>
      </c>
      <c r="AQ493" s="128">
        <v>2</v>
      </c>
      <c r="AR493" s="123" t="s">
        <v>650</v>
      </c>
      <c r="AS493" s="131"/>
      <c r="AT493" s="131" t="s">
        <v>869</v>
      </c>
      <c r="AU493" s="131">
        <v>2</v>
      </c>
      <c r="AV493" s="169" t="s">
        <v>634</v>
      </c>
      <c r="AW493" s="128"/>
      <c r="AX493" s="133"/>
      <c r="AY493" s="128"/>
      <c r="AZ493" s="128"/>
      <c r="BA493" s="128"/>
      <c r="BB493" s="133"/>
      <c r="BC493" s="128"/>
      <c r="BD493" s="133"/>
      <c r="BE493" s="128"/>
      <c r="BF493" s="128"/>
      <c r="BG493" s="128"/>
      <c r="BH493" s="133"/>
      <c r="BI493" s="128"/>
      <c r="BJ493" s="133"/>
      <c r="BK493" s="128"/>
      <c r="BL493" s="128"/>
      <c r="BM493" s="128"/>
      <c r="BN493" s="133"/>
      <c r="BO493" s="128"/>
      <c r="BP493" s="133"/>
      <c r="BQ493" s="128"/>
      <c r="BR493" s="128"/>
      <c r="BS493" s="128"/>
      <c r="BT493" s="133"/>
      <c r="BU493" s="128"/>
      <c r="BV493" s="133"/>
      <c r="BW493" s="128"/>
      <c r="BX493" s="128"/>
      <c r="BY493" s="128"/>
      <c r="BZ493" s="133"/>
      <c r="CA493" s="128"/>
      <c r="CB493" s="133"/>
      <c r="CC493" s="128"/>
      <c r="CD493" s="128"/>
      <c r="CE493" s="128"/>
      <c r="CF493" s="128"/>
    </row>
    <row r="494" spans="1:84" x14ac:dyDescent="0.5">
      <c r="A494" s="268"/>
      <c r="B494" s="181"/>
      <c r="C494" s="182"/>
      <c r="D494" s="183"/>
      <c r="E494" s="749"/>
      <c r="F494" s="938"/>
      <c r="G494" s="939"/>
      <c r="H494" s="186"/>
      <c r="I494" s="187"/>
      <c r="J494" s="961"/>
      <c r="K494" s="966"/>
      <c r="L494" s="181"/>
      <c r="M494" s="188"/>
      <c r="N494" s="181"/>
      <c r="O494" s="189"/>
      <c r="P494" s="189"/>
      <c r="Q494" s="189"/>
      <c r="R494" s="214"/>
      <c r="S494" s="191"/>
      <c r="T494" s="192"/>
      <c r="U494" s="193"/>
      <c r="V494" s="194"/>
      <c r="W494" s="195"/>
      <c r="X494" s="196"/>
      <c r="Y494" s="196"/>
      <c r="Z494" s="197"/>
      <c r="AA494" s="198"/>
      <c r="AB494" s="200">
        <v>19040138</v>
      </c>
      <c r="AC494" s="201">
        <v>18433.8</v>
      </c>
      <c r="AD494" s="237">
        <f t="shared" si="125"/>
        <v>1290.366</v>
      </c>
      <c r="AE494" s="238">
        <f t="shared" si="126"/>
        <v>19724.165999999997</v>
      </c>
      <c r="AF494" s="203">
        <v>43610</v>
      </c>
      <c r="AG494" s="199" t="s">
        <v>869</v>
      </c>
      <c r="AH494" s="199"/>
      <c r="AI494" s="199"/>
      <c r="AJ494" s="843" t="s">
        <v>2358</v>
      </c>
      <c r="AK494" s="204"/>
      <c r="AL494" s="205"/>
      <c r="AM494" s="206"/>
      <c r="AN494" s="206"/>
      <c r="AO494" s="207"/>
      <c r="AP494" s="208"/>
      <c r="AQ494" s="204"/>
      <c r="AR494" s="200"/>
      <c r="AS494" s="207"/>
      <c r="AT494" s="207"/>
      <c r="AU494" s="207"/>
      <c r="AV494" s="209"/>
      <c r="AW494" s="204"/>
      <c r="AX494" s="210"/>
      <c r="AY494" s="204"/>
      <c r="AZ494" s="204"/>
      <c r="BA494" s="204"/>
      <c r="BB494" s="210"/>
      <c r="BC494" s="204"/>
      <c r="BD494" s="210"/>
      <c r="BE494" s="204"/>
      <c r="BF494" s="204"/>
      <c r="BG494" s="204"/>
      <c r="BH494" s="210"/>
      <c r="BI494" s="204"/>
      <c r="BJ494" s="210"/>
      <c r="BK494" s="204"/>
      <c r="BL494" s="204"/>
      <c r="BM494" s="204"/>
      <c r="BN494" s="210"/>
      <c r="BO494" s="204"/>
      <c r="BP494" s="210"/>
      <c r="BQ494" s="204"/>
      <c r="BR494" s="204"/>
      <c r="BS494" s="204"/>
      <c r="BT494" s="210"/>
      <c r="BU494" s="204"/>
      <c r="BV494" s="210"/>
      <c r="BW494" s="204"/>
      <c r="BX494" s="204"/>
      <c r="BY494" s="204"/>
      <c r="BZ494" s="210"/>
      <c r="CA494" s="204"/>
      <c r="CB494" s="210"/>
      <c r="CC494" s="204"/>
      <c r="CD494" s="204"/>
      <c r="CE494" s="204"/>
      <c r="CF494" s="204"/>
    </row>
    <row r="495" spans="1:84" x14ac:dyDescent="0.5">
      <c r="A495" s="259">
        <v>19036165</v>
      </c>
      <c r="B495" s="104">
        <v>19030293</v>
      </c>
      <c r="C495" s="105" t="s">
        <v>1401</v>
      </c>
      <c r="D495" s="106" t="s">
        <v>1323</v>
      </c>
      <c r="E495" s="302">
        <v>43584</v>
      </c>
      <c r="F495" s="936" t="s">
        <v>1324</v>
      </c>
      <c r="G495" s="937" t="s">
        <v>2159</v>
      </c>
      <c r="H495" s="211">
        <v>43644</v>
      </c>
      <c r="I495" s="164">
        <v>19179</v>
      </c>
      <c r="J495" s="960" t="s">
        <v>869</v>
      </c>
      <c r="K495" s="965">
        <v>43652</v>
      </c>
      <c r="L495" s="104" t="s">
        <v>1160</v>
      </c>
      <c r="M495" s="110" t="s">
        <v>1837</v>
      </c>
      <c r="N495" s="104" t="s">
        <v>50</v>
      </c>
      <c r="O495" s="111">
        <v>94392</v>
      </c>
      <c r="P495" s="111">
        <f t="shared" si="120"/>
        <v>6607.44</v>
      </c>
      <c r="Q495" s="111">
        <f t="shared" si="121"/>
        <v>100999.44</v>
      </c>
      <c r="R495" s="212"/>
      <c r="S495" s="165"/>
      <c r="T495" s="166"/>
      <c r="U495" s="167"/>
      <c r="V495" s="168"/>
      <c r="W495" s="117">
        <f t="shared" si="124"/>
        <v>94392</v>
      </c>
      <c r="X495" s="118">
        <v>0.21</v>
      </c>
      <c r="Y495" s="118">
        <f t="shared" si="122"/>
        <v>198.22319999999999</v>
      </c>
      <c r="Z495" s="119">
        <v>0.2</v>
      </c>
      <c r="AA495" s="120">
        <f t="shared" si="123"/>
        <v>188.78400000000002</v>
      </c>
      <c r="AB495" s="229">
        <v>19030105</v>
      </c>
      <c r="AC495" s="230">
        <v>28317.599999999999</v>
      </c>
      <c r="AD495" s="233">
        <f t="shared" si="125"/>
        <v>1982.2319999999997</v>
      </c>
      <c r="AE495" s="234">
        <f t="shared" si="126"/>
        <v>30299.831999999999</v>
      </c>
      <c r="AF495" s="221">
        <v>43551</v>
      </c>
      <c r="AG495" s="121" t="s">
        <v>869</v>
      </c>
      <c r="AH495" s="121"/>
      <c r="AI495" s="121"/>
      <c r="AJ495" s="222" t="s">
        <v>2043</v>
      </c>
      <c r="AK495" s="128">
        <v>1</v>
      </c>
      <c r="AL495" s="129" t="s">
        <v>883</v>
      </c>
      <c r="AM495" s="130"/>
      <c r="AN495" s="130" t="s">
        <v>869</v>
      </c>
      <c r="AO495" s="131">
        <v>1</v>
      </c>
      <c r="AP495" s="132" t="s">
        <v>636</v>
      </c>
      <c r="AQ495" s="128">
        <v>2</v>
      </c>
      <c r="AR495" s="123" t="s">
        <v>600</v>
      </c>
      <c r="AS495" s="131"/>
      <c r="AT495" s="131" t="s">
        <v>869</v>
      </c>
      <c r="AU495" s="131">
        <v>1</v>
      </c>
      <c r="AV495" s="169" t="s">
        <v>636</v>
      </c>
      <c r="AW495" s="128">
        <v>3</v>
      </c>
      <c r="AX495" s="123" t="s">
        <v>720</v>
      </c>
      <c r="AY495" s="131"/>
      <c r="AZ495" s="131" t="s">
        <v>869</v>
      </c>
      <c r="BA495" s="131">
        <v>1</v>
      </c>
      <c r="BB495" s="169" t="s">
        <v>636</v>
      </c>
      <c r="BC495" s="128">
        <v>4</v>
      </c>
      <c r="BD495" s="123" t="s">
        <v>650</v>
      </c>
      <c r="BE495" s="131"/>
      <c r="BF495" s="131" t="s">
        <v>869</v>
      </c>
      <c r="BG495" s="131">
        <v>2</v>
      </c>
      <c r="BH495" s="169" t="s">
        <v>634</v>
      </c>
      <c r="BI495" s="128"/>
      <c r="BJ495" s="133"/>
      <c r="BK495" s="128"/>
      <c r="BL495" s="128"/>
      <c r="BM495" s="128"/>
      <c r="BN495" s="133"/>
      <c r="BO495" s="128"/>
      <c r="BP495" s="133"/>
      <c r="BQ495" s="128"/>
      <c r="BR495" s="128"/>
      <c r="BS495" s="128"/>
      <c r="BT495" s="133"/>
      <c r="BU495" s="128"/>
      <c r="BV495" s="133"/>
      <c r="BW495" s="128"/>
      <c r="BX495" s="128"/>
      <c r="BY495" s="128"/>
      <c r="BZ495" s="133"/>
      <c r="CA495" s="128"/>
      <c r="CB495" s="133"/>
      <c r="CC495" s="128"/>
      <c r="CD495" s="128"/>
      <c r="CE495" s="128"/>
      <c r="CF495" s="128"/>
    </row>
    <row r="496" spans="1:84" x14ac:dyDescent="0.5">
      <c r="A496" s="262"/>
      <c r="B496" s="135"/>
      <c r="C496" s="136"/>
      <c r="D496" s="137"/>
      <c r="E496" s="906"/>
      <c r="F496" s="940"/>
      <c r="G496" s="941"/>
      <c r="H496" s="179">
        <v>43644</v>
      </c>
      <c r="I496" s="140">
        <v>19180</v>
      </c>
      <c r="J496" s="963"/>
      <c r="K496" s="964"/>
      <c r="L496" s="135"/>
      <c r="M496" s="141"/>
      <c r="N496" s="135"/>
      <c r="O496" s="142"/>
      <c r="P496" s="142"/>
      <c r="Q496" s="142"/>
      <c r="R496" s="213"/>
      <c r="S496" s="172"/>
      <c r="T496" s="173"/>
      <c r="U496" s="174"/>
      <c r="V496" s="175"/>
      <c r="W496" s="148"/>
      <c r="X496" s="149"/>
      <c r="Y496" s="149"/>
      <c r="Z496" s="150"/>
      <c r="AA496" s="151"/>
      <c r="AB496" s="154">
        <v>19070251</v>
      </c>
      <c r="AC496" s="155">
        <v>66074.399999999994</v>
      </c>
      <c r="AD496" s="253">
        <f>AC496*7/100</f>
        <v>4625.2079999999996</v>
      </c>
      <c r="AE496" s="263">
        <f>AC496+AD496</f>
        <v>70699.607999999993</v>
      </c>
      <c r="AF496" s="157">
        <v>43694</v>
      </c>
      <c r="AG496" s="152" t="s">
        <v>869</v>
      </c>
      <c r="AH496" s="152"/>
      <c r="AI496" s="152"/>
      <c r="AJ496" s="842" t="s">
        <v>2592</v>
      </c>
      <c r="AK496" s="158"/>
      <c r="AL496" s="159"/>
      <c r="AM496" s="160"/>
      <c r="AN496" s="160"/>
      <c r="AO496" s="161"/>
      <c r="AP496" s="162"/>
      <c r="AQ496" s="158"/>
      <c r="AR496" s="154"/>
      <c r="AS496" s="161"/>
      <c r="AT496" s="161"/>
      <c r="AU496" s="161"/>
      <c r="AV496" s="177"/>
      <c r="AW496" s="158"/>
      <c r="AX496" s="154"/>
      <c r="AY496" s="161"/>
      <c r="AZ496" s="161"/>
      <c r="BA496" s="161"/>
      <c r="BB496" s="177"/>
      <c r="BC496" s="158"/>
      <c r="BD496" s="154"/>
      <c r="BE496" s="161"/>
      <c r="BF496" s="161"/>
      <c r="BG496" s="161"/>
      <c r="BH496" s="177"/>
      <c r="BI496" s="158"/>
      <c r="BJ496" s="163"/>
      <c r="BK496" s="158"/>
      <c r="BL496" s="158"/>
      <c r="BM496" s="158"/>
      <c r="BN496" s="163"/>
      <c r="BO496" s="158"/>
      <c r="BP496" s="163"/>
      <c r="BQ496" s="158"/>
      <c r="BR496" s="158"/>
      <c r="BS496" s="158"/>
      <c r="BT496" s="163"/>
      <c r="BU496" s="158"/>
      <c r="BV496" s="163"/>
      <c r="BW496" s="158"/>
      <c r="BX496" s="158"/>
      <c r="BY496" s="158"/>
      <c r="BZ496" s="163"/>
      <c r="CA496" s="158"/>
      <c r="CB496" s="163"/>
      <c r="CC496" s="158"/>
      <c r="CD496" s="158"/>
      <c r="CE496" s="158"/>
      <c r="CF496" s="158"/>
    </row>
    <row r="497" spans="1:84" x14ac:dyDescent="0.5">
      <c r="A497" s="259">
        <v>19036164</v>
      </c>
      <c r="B497" s="104">
        <v>19030290</v>
      </c>
      <c r="C497" s="105" t="s">
        <v>1402</v>
      </c>
      <c r="D497" s="106" t="s">
        <v>1323</v>
      </c>
      <c r="E497" s="302">
        <v>43573</v>
      </c>
      <c r="F497" s="936" t="s">
        <v>1324</v>
      </c>
      <c r="G497" s="937" t="s">
        <v>1385</v>
      </c>
      <c r="H497" s="122">
        <v>43574</v>
      </c>
      <c r="I497" s="109">
        <v>19119</v>
      </c>
      <c r="J497" s="960" t="s">
        <v>869</v>
      </c>
      <c r="K497" s="965">
        <v>43575</v>
      </c>
      <c r="L497" s="104" t="s">
        <v>1160</v>
      </c>
      <c r="M497" s="110" t="s">
        <v>1838</v>
      </c>
      <c r="N497" s="104" t="s">
        <v>50</v>
      </c>
      <c r="O497" s="111">
        <v>32224</v>
      </c>
      <c r="P497" s="111">
        <f t="shared" si="120"/>
        <v>2255.6799999999998</v>
      </c>
      <c r="Q497" s="111">
        <f t="shared" si="121"/>
        <v>34479.68</v>
      </c>
      <c r="R497" s="212"/>
      <c r="S497" s="165"/>
      <c r="T497" s="166"/>
      <c r="U497" s="167"/>
      <c r="V497" s="168"/>
      <c r="W497" s="117">
        <f t="shared" si="124"/>
        <v>32224</v>
      </c>
      <c r="X497" s="118">
        <v>0.21</v>
      </c>
      <c r="Y497" s="118">
        <f t="shared" si="122"/>
        <v>67.670400000000001</v>
      </c>
      <c r="Z497" s="119">
        <v>0.2</v>
      </c>
      <c r="AA497" s="120">
        <f t="shared" si="123"/>
        <v>64.448000000000008</v>
      </c>
      <c r="AB497" s="229">
        <v>19030104</v>
      </c>
      <c r="AC497" s="230">
        <v>9667.2000000000007</v>
      </c>
      <c r="AD497" s="275">
        <f t="shared" si="125"/>
        <v>676.70400000000006</v>
      </c>
      <c r="AE497" s="234">
        <f t="shared" si="126"/>
        <v>10343.904</v>
      </c>
      <c r="AF497" s="221">
        <v>43551</v>
      </c>
      <c r="AG497" s="121" t="s">
        <v>869</v>
      </c>
      <c r="AH497" s="121"/>
      <c r="AI497" s="121"/>
      <c r="AJ497" s="222" t="s">
        <v>2043</v>
      </c>
      <c r="AK497" s="128">
        <v>1</v>
      </c>
      <c r="AL497" s="129" t="s">
        <v>650</v>
      </c>
      <c r="AM497" s="130"/>
      <c r="AN497" s="130" t="s">
        <v>869</v>
      </c>
      <c r="AO497" s="131">
        <v>3</v>
      </c>
      <c r="AP497" s="132" t="s">
        <v>634</v>
      </c>
      <c r="AQ497" s="128">
        <v>2</v>
      </c>
      <c r="AR497" s="123" t="s">
        <v>600</v>
      </c>
      <c r="AS497" s="131"/>
      <c r="AT497" s="131" t="s">
        <v>869</v>
      </c>
      <c r="AU497" s="131">
        <v>1</v>
      </c>
      <c r="AV497" s="169" t="s">
        <v>636</v>
      </c>
      <c r="AW497" s="128"/>
      <c r="AX497" s="133"/>
      <c r="AY497" s="128"/>
      <c r="AZ497" s="128"/>
      <c r="BA497" s="128"/>
      <c r="BB497" s="133"/>
      <c r="BC497" s="128"/>
      <c r="BD497" s="133"/>
      <c r="BE497" s="128"/>
      <c r="BF497" s="128"/>
      <c r="BG497" s="128"/>
      <c r="BH497" s="133"/>
      <c r="BI497" s="128"/>
      <c r="BJ497" s="133"/>
      <c r="BK497" s="128"/>
      <c r="BL497" s="128"/>
      <c r="BM497" s="128"/>
      <c r="BN497" s="133"/>
      <c r="BO497" s="128"/>
      <c r="BP497" s="133"/>
      <c r="BQ497" s="128"/>
      <c r="BR497" s="128"/>
      <c r="BS497" s="128"/>
      <c r="BT497" s="133"/>
      <c r="BU497" s="128"/>
      <c r="BV497" s="133"/>
      <c r="BW497" s="128"/>
      <c r="BX497" s="128"/>
      <c r="BY497" s="128"/>
      <c r="BZ497" s="133"/>
      <c r="CA497" s="128"/>
      <c r="CB497" s="133"/>
      <c r="CC497" s="128"/>
      <c r="CD497" s="128"/>
      <c r="CE497" s="128"/>
      <c r="CF497" s="128"/>
    </row>
    <row r="498" spans="1:84" x14ac:dyDescent="0.5">
      <c r="A498" s="262"/>
      <c r="B498" s="135"/>
      <c r="C498" s="136"/>
      <c r="D498" s="137"/>
      <c r="E498" s="906"/>
      <c r="F498" s="940"/>
      <c r="G498" s="941"/>
      <c r="H498" s="179"/>
      <c r="I498" s="140"/>
      <c r="J498" s="963"/>
      <c r="K498" s="964"/>
      <c r="L498" s="135"/>
      <c r="M498" s="141"/>
      <c r="N498" s="135"/>
      <c r="O498" s="142"/>
      <c r="P498" s="142"/>
      <c r="Q498" s="142"/>
      <c r="R498" s="213"/>
      <c r="S498" s="172"/>
      <c r="T498" s="173"/>
      <c r="U498" s="174"/>
      <c r="V498" s="175"/>
      <c r="W498" s="148"/>
      <c r="X498" s="149"/>
      <c r="Y498" s="149"/>
      <c r="Z498" s="150"/>
      <c r="AA498" s="151"/>
      <c r="AB498" s="154">
        <v>19040137</v>
      </c>
      <c r="AC498" s="155">
        <v>22556.799999999999</v>
      </c>
      <c r="AD498" s="253">
        <f t="shared" si="125"/>
        <v>1578.9760000000001</v>
      </c>
      <c r="AE498" s="263">
        <f t="shared" si="126"/>
        <v>24135.775999999998</v>
      </c>
      <c r="AF498" s="157">
        <v>43610</v>
      </c>
      <c r="AG498" s="152" t="s">
        <v>869</v>
      </c>
      <c r="AH498" s="152"/>
      <c r="AI498" s="152"/>
      <c r="AJ498" s="842" t="s">
        <v>2358</v>
      </c>
      <c r="AK498" s="158"/>
      <c r="AL498" s="159"/>
      <c r="AM498" s="160"/>
      <c r="AN498" s="160"/>
      <c r="AO498" s="161"/>
      <c r="AP498" s="162"/>
      <c r="AQ498" s="158"/>
      <c r="AR498" s="154"/>
      <c r="AS498" s="161"/>
      <c r="AT498" s="161"/>
      <c r="AU498" s="161"/>
      <c r="AV498" s="177"/>
      <c r="AW498" s="158"/>
      <c r="AX498" s="163"/>
      <c r="AY498" s="158"/>
      <c r="AZ498" s="158"/>
      <c r="BA498" s="158"/>
      <c r="BB498" s="163"/>
      <c r="BC498" s="158"/>
      <c r="BD498" s="163"/>
      <c r="BE498" s="158"/>
      <c r="BF498" s="158"/>
      <c r="BG498" s="158"/>
      <c r="BH498" s="163"/>
      <c r="BI498" s="158"/>
      <c r="BJ498" s="163"/>
      <c r="BK498" s="158"/>
      <c r="BL498" s="158"/>
      <c r="BM498" s="158"/>
      <c r="BN498" s="163"/>
      <c r="BO498" s="158"/>
      <c r="BP498" s="163"/>
      <c r="BQ498" s="158"/>
      <c r="BR498" s="158"/>
      <c r="BS498" s="158"/>
      <c r="BT498" s="163"/>
      <c r="BU498" s="158"/>
      <c r="BV498" s="163"/>
      <c r="BW498" s="158"/>
      <c r="BX498" s="158"/>
      <c r="BY498" s="158"/>
      <c r="BZ498" s="163"/>
      <c r="CA498" s="158"/>
      <c r="CB498" s="163"/>
      <c r="CC498" s="158"/>
      <c r="CD498" s="158"/>
      <c r="CE498" s="158"/>
      <c r="CF498" s="158"/>
    </row>
    <row r="499" spans="1:84" x14ac:dyDescent="0.5">
      <c r="A499" s="259">
        <v>19036163</v>
      </c>
      <c r="B499" s="104">
        <v>19030289</v>
      </c>
      <c r="C499" s="105" t="s">
        <v>1403</v>
      </c>
      <c r="D499" s="106" t="s">
        <v>1323</v>
      </c>
      <c r="E499" s="302">
        <v>43573</v>
      </c>
      <c r="F499" s="936" t="s">
        <v>1324</v>
      </c>
      <c r="G499" s="937" t="s">
        <v>1386</v>
      </c>
      <c r="H499" s="122">
        <v>43574</v>
      </c>
      <c r="I499" s="109">
        <v>19118</v>
      </c>
      <c r="J499" s="960" t="s">
        <v>869</v>
      </c>
      <c r="K499" s="965">
        <v>43575</v>
      </c>
      <c r="L499" s="104" t="s">
        <v>1160</v>
      </c>
      <c r="M499" s="110" t="s">
        <v>1839</v>
      </c>
      <c r="N499" s="104" t="s">
        <v>50</v>
      </c>
      <c r="O499" s="111">
        <v>32224</v>
      </c>
      <c r="P499" s="111">
        <f t="shared" si="120"/>
        <v>2255.6799999999998</v>
      </c>
      <c r="Q499" s="111">
        <f t="shared" si="121"/>
        <v>34479.68</v>
      </c>
      <c r="R499" s="212"/>
      <c r="S499" s="165"/>
      <c r="T499" s="166"/>
      <c r="U499" s="167"/>
      <c r="V499" s="168"/>
      <c r="W499" s="117">
        <f t="shared" si="124"/>
        <v>32224</v>
      </c>
      <c r="X499" s="118">
        <v>0.21</v>
      </c>
      <c r="Y499" s="118">
        <f t="shared" si="122"/>
        <v>67.670400000000001</v>
      </c>
      <c r="Z499" s="119">
        <v>0.2</v>
      </c>
      <c r="AA499" s="120">
        <f t="shared" si="123"/>
        <v>64.448000000000008</v>
      </c>
      <c r="AB499" s="229">
        <v>19030103</v>
      </c>
      <c r="AC499" s="230">
        <v>9667.2000000000007</v>
      </c>
      <c r="AD499" s="275">
        <f t="shared" si="125"/>
        <v>676.70400000000006</v>
      </c>
      <c r="AE499" s="234">
        <f t="shared" si="126"/>
        <v>10343.904</v>
      </c>
      <c r="AF499" s="221">
        <v>43551</v>
      </c>
      <c r="AG499" s="121" t="s">
        <v>869</v>
      </c>
      <c r="AH499" s="121"/>
      <c r="AI499" s="121"/>
      <c r="AJ499" s="222" t="s">
        <v>2043</v>
      </c>
      <c r="AK499" s="128">
        <v>1</v>
      </c>
      <c r="AL499" s="129" t="s">
        <v>600</v>
      </c>
      <c r="AM499" s="130"/>
      <c r="AN499" s="130" t="s">
        <v>869</v>
      </c>
      <c r="AO499" s="131">
        <v>1</v>
      </c>
      <c r="AP499" s="132" t="s">
        <v>636</v>
      </c>
      <c r="AQ499" s="128">
        <v>2</v>
      </c>
      <c r="AR499" s="123" t="s">
        <v>650</v>
      </c>
      <c r="AS499" s="131"/>
      <c r="AT499" s="131" t="s">
        <v>869</v>
      </c>
      <c r="AU499" s="131">
        <v>3</v>
      </c>
      <c r="AV499" s="169" t="s">
        <v>634</v>
      </c>
      <c r="AW499" s="128"/>
      <c r="AX499" s="133"/>
      <c r="AY499" s="128"/>
      <c r="AZ499" s="128"/>
      <c r="BA499" s="128"/>
      <c r="BB499" s="133"/>
      <c r="BC499" s="128"/>
      <c r="BD499" s="133"/>
      <c r="BE499" s="128"/>
      <c r="BF499" s="128"/>
      <c r="BG499" s="128"/>
      <c r="BH499" s="133"/>
      <c r="BI499" s="128"/>
      <c r="BJ499" s="133"/>
      <c r="BK499" s="128"/>
      <c r="BL499" s="128"/>
      <c r="BM499" s="128"/>
      <c r="BN499" s="133"/>
      <c r="BO499" s="128"/>
      <c r="BP499" s="133"/>
      <c r="BQ499" s="128"/>
      <c r="BR499" s="128"/>
      <c r="BS499" s="128"/>
      <c r="BT499" s="133"/>
      <c r="BU499" s="128"/>
      <c r="BV499" s="133"/>
      <c r="BW499" s="128"/>
      <c r="BX499" s="128"/>
      <c r="BY499" s="128"/>
      <c r="BZ499" s="133"/>
      <c r="CA499" s="128"/>
      <c r="CB499" s="133"/>
      <c r="CC499" s="128"/>
      <c r="CD499" s="128"/>
      <c r="CE499" s="128"/>
      <c r="CF499" s="128"/>
    </row>
    <row r="500" spans="1:84" x14ac:dyDescent="0.5">
      <c r="A500" s="262"/>
      <c r="B500" s="135"/>
      <c r="C500" s="136"/>
      <c r="D500" s="137"/>
      <c r="E500" s="906"/>
      <c r="F500" s="940"/>
      <c r="G500" s="941"/>
      <c r="H500" s="179"/>
      <c r="I500" s="140"/>
      <c r="J500" s="963"/>
      <c r="K500" s="964"/>
      <c r="L500" s="135"/>
      <c r="M500" s="141"/>
      <c r="N500" s="135"/>
      <c r="O500" s="142"/>
      <c r="P500" s="142"/>
      <c r="Q500" s="142"/>
      <c r="R500" s="213"/>
      <c r="S500" s="172"/>
      <c r="T500" s="173"/>
      <c r="U500" s="174"/>
      <c r="V500" s="175"/>
      <c r="W500" s="148"/>
      <c r="X500" s="149"/>
      <c r="Y500" s="149"/>
      <c r="Z500" s="150"/>
      <c r="AA500" s="151"/>
      <c r="AB500" s="154">
        <v>19040136</v>
      </c>
      <c r="AC500" s="155">
        <v>22556.799999999999</v>
      </c>
      <c r="AD500" s="253">
        <f t="shared" si="125"/>
        <v>1578.9760000000001</v>
      </c>
      <c r="AE500" s="263">
        <f t="shared" si="126"/>
        <v>24135.775999999998</v>
      </c>
      <c r="AF500" s="157">
        <v>43610</v>
      </c>
      <c r="AG500" s="152" t="s">
        <v>869</v>
      </c>
      <c r="AH500" s="152"/>
      <c r="AI500" s="152"/>
      <c r="AJ500" s="842" t="s">
        <v>2358</v>
      </c>
      <c r="AK500" s="158"/>
      <c r="AL500" s="159"/>
      <c r="AM500" s="160"/>
      <c r="AN500" s="160"/>
      <c r="AO500" s="161"/>
      <c r="AP500" s="162"/>
      <c r="AQ500" s="158"/>
      <c r="AR500" s="154"/>
      <c r="AS500" s="161"/>
      <c r="AT500" s="161"/>
      <c r="AU500" s="161"/>
      <c r="AV500" s="177"/>
      <c r="AW500" s="158"/>
      <c r="AX500" s="163"/>
      <c r="AY500" s="158"/>
      <c r="AZ500" s="158"/>
      <c r="BA500" s="158"/>
      <c r="BB500" s="163"/>
      <c r="BC500" s="158"/>
      <c r="BD500" s="163"/>
      <c r="BE500" s="158"/>
      <c r="BF500" s="158"/>
      <c r="BG500" s="158"/>
      <c r="BH500" s="163"/>
      <c r="BI500" s="158"/>
      <c r="BJ500" s="163"/>
      <c r="BK500" s="158"/>
      <c r="BL500" s="158"/>
      <c r="BM500" s="158"/>
      <c r="BN500" s="163"/>
      <c r="BO500" s="158"/>
      <c r="BP500" s="163"/>
      <c r="BQ500" s="158"/>
      <c r="BR500" s="158"/>
      <c r="BS500" s="158"/>
      <c r="BT500" s="163"/>
      <c r="BU500" s="158"/>
      <c r="BV500" s="163"/>
      <c r="BW500" s="158"/>
      <c r="BX500" s="158"/>
      <c r="BY500" s="158"/>
      <c r="BZ500" s="163"/>
      <c r="CA500" s="158"/>
      <c r="CB500" s="163"/>
      <c r="CC500" s="158"/>
      <c r="CD500" s="158"/>
      <c r="CE500" s="158"/>
      <c r="CF500" s="158"/>
    </row>
    <row r="501" spans="1:84" x14ac:dyDescent="0.5">
      <c r="A501" s="259">
        <v>19036162</v>
      </c>
      <c r="B501" s="104">
        <v>19030288</v>
      </c>
      <c r="C501" s="105" t="s">
        <v>1405</v>
      </c>
      <c r="D501" s="106" t="s">
        <v>1323</v>
      </c>
      <c r="E501" s="302">
        <v>43551</v>
      </c>
      <c r="F501" s="936" t="s">
        <v>1324</v>
      </c>
      <c r="G501" s="937" t="s">
        <v>1402</v>
      </c>
      <c r="H501" s="211">
        <v>43551</v>
      </c>
      <c r="I501" s="164">
        <v>19103</v>
      </c>
      <c r="J501" s="960" t="s">
        <v>869</v>
      </c>
      <c r="K501" s="965">
        <v>43552</v>
      </c>
      <c r="L501" s="104" t="s">
        <v>1812</v>
      </c>
      <c r="M501" s="110" t="s">
        <v>1114</v>
      </c>
      <c r="N501" s="104" t="s">
        <v>1523</v>
      </c>
      <c r="O501" s="111">
        <v>157000</v>
      </c>
      <c r="P501" s="111">
        <f t="shared" ref="P501:P509" si="127">O501*7/100</f>
        <v>10990</v>
      </c>
      <c r="Q501" s="111">
        <f t="shared" ref="Q501:Q509" si="128">O501+P501</f>
        <v>167990</v>
      </c>
      <c r="R501" s="311">
        <v>14000</v>
      </c>
      <c r="S501" s="165"/>
      <c r="T501" s="166"/>
      <c r="U501" s="167"/>
      <c r="V501" s="168"/>
      <c r="W501" s="117">
        <f>O501-R501</f>
        <v>143000</v>
      </c>
      <c r="X501" s="118">
        <v>0.49</v>
      </c>
      <c r="Y501" s="118">
        <f t="shared" si="122"/>
        <v>700.7</v>
      </c>
      <c r="Z501" s="119">
        <v>0.2</v>
      </c>
      <c r="AA501" s="120">
        <f t="shared" si="123"/>
        <v>286</v>
      </c>
      <c r="AB501" s="123">
        <v>19030097</v>
      </c>
      <c r="AC501" s="124">
        <v>157000</v>
      </c>
      <c r="AD501" s="125">
        <f t="shared" si="125"/>
        <v>10990</v>
      </c>
      <c r="AE501" s="125">
        <f t="shared" si="126"/>
        <v>167990</v>
      </c>
      <c r="AF501" s="126">
        <v>43549</v>
      </c>
      <c r="AG501" s="127" t="s">
        <v>869</v>
      </c>
      <c r="AH501" s="127"/>
      <c r="AI501" s="127"/>
      <c r="AJ501" s="103" t="s">
        <v>1845</v>
      </c>
      <c r="AK501" s="128">
        <v>1</v>
      </c>
      <c r="AL501" s="129" t="s">
        <v>833</v>
      </c>
      <c r="AM501" s="130"/>
      <c r="AN501" s="130" t="s">
        <v>869</v>
      </c>
      <c r="AO501" s="131">
        <v>2</v>
      </c>
      <c r="AP501" s="132" t="s">
        <v>634</v>
      </c>
      <c r="AQ501" s="128">
        <v>2</v>
      </c>
      <c r="AR501" s="123" t="s">
        <v>660</v>
      </c>
      <c r="AS501" s="131"/>
      <c r="AT501" s="131" t="s">
        <v>869</v>
      </c>
      <c r="AU501" s="131">
        <v>2</v>
      </c>
      <c r="AV501" s="169" t="s">
        <v>634</v>
      </c>
      <c r="AW501" s="128"/>
      <c r="AX501" s="133"/>
      <c r="AY501" s="128"/>
      <c r="AZ501" s="128"/>
      <c r="BA501" s="128"/>
      <c r="BB501" s="133"/>
      <c r="BC501" s="128"/>
      <c r="BD501" s="133"/>
      <c r="BE501" s="128"/>
      <c r="BF501" s="128"/>
      <c r="BG501" s="128"/>
      <c r="BH501" s="133"/>
      <c r="BI501" s="128"/>
      <c r="BJ501" s="133"/>
      <c r="BK501" s="128"/>
      <c r="BL501" s="128"/>
      <c r="BM501" s="128"/>
      <c r="BN501" s="133"/>
      <c r="BO501" s="128"/>
      <c r="BP501" s="133"/>
      <c r="BQ501" s="128"/>
      <c r="BR501" s="128"/>
      <c r="BS501" s="128"/>
      <c r="BT501" s="133"/>
      <c r="BU501" s="128"/>
      <c r="BV501" s="133"/>
      <c r="BW501" s="128"/>
      <c r="BX501" s="128"/>
      <c r="BY501" s="128"/>
      <c r="BZ501" s="133"/>
      <c r="CA501" s="128"/>
      <c r="CB501" s="133"/>
      <c r="CC501" s="128"/>
      <c r="CD501" s="128"/>
      <c r="CE501" s="128"/>
      <c r="CF501" s="128"/>
    </row>
    <row r="502" spans="1:84" x14ac:dyDescent="0.5">
      <c r="A502" s="268"/>
      <c r="B502" s="181"/>
      <c r="C502" s="182"/>
      <c r="D502" s="183"/>
      <c r="E502" s="749"/>
      <c r="F502" s="938"/>
      <c r="G502" s="939"/>
      <c r="H502" s="186">
        <v>43551</v>
      </c>
      <c r="I502" s="187">
        <v>19104</v>
      </c>
      <c r="J502" s="961"/>
      <c r="K502" s="966"/>
      <c r="L502" s="181"/>
      <c r="M502" s="188"/>
      <c r="N502" s="181"/>
      <c r="O502" s="189"/>
      <c r="P502" s="189"/>
      <c r="Q502" s="189"/>
      <c r="R502" s="190"/>
      <c r="S502" s="191"/>
      <c r="T502" s="192"/>
      <c r="U502" s="193"/>
      <c r="V502" s="194"/>
      <c r="W502" s="195"/>
      <c r="X502" s="196"/>
      <c r="Y502" s="196"/>
      <c r="Z502" s="197"/>
      <c r="AA502" s="198"/>
      <c r="AB502" s="200"/>
      <c r="AC502" s="201"/>
      <c r="AD502" s="202"/>
      <c r="AE502" s="202"/>
      <c r="AF502" s="203"/>
      <c r="AG502" s="199"/>
      <c r="AH502" s="199"/>
      <c r="AI502" s="199"/>
      <c r="AJ502" s="180"/>
      <c r="AK502" s="204"/>
      <c r="AL502" s="205"/>
      <c r="AM502" s="206"/>
      <c r="AN502" s="206"/>
      <c r="AO502" s="207"/>
      <c r="AP502" s="208"/>
      <c r="AQ502" s="204"/>
      <c r="AR502" s="200"/>
      <c r="AS502" s="207"/>
      <c r="AT502" s="207"/>
      <c r="AU502" s="207"/>
      <c r="AV502" s="209"/>
      <c r="AW502" s="204"/>
      <c r="AX502" s="210"/>
      <c r="AY502" s="204"/>
      <c r="AZ502" s="204"/>
      <c r="BA502" s="204"/>
      <c r="BB502" s="210"/>
      <c r="BC502" s="204"/>
      <c r="BD502" s="210"/>
      <c r="BE502" s="204"/>
      <c r="BF502" s="204"/>
      <c r="BG502" s="204"/>
      <c r="BH502" s="210"/>
      <c r="BI502" s="204"/>
      <c r="BJ502" s="210"/>
      <c r="BK502" s="204"/>
      <c r="BL502" s="204"/>
      <c r="BM502" s="204"/>
      <c r="BN502" s="210"/>
      <c r="BO502" s="204"/>
      <c r="BP502" s="210"/>
      <c r="BQ502" s="204"/>
      <c r="BR502" s="204"/>
      <c r="BS502" s="204"/>
      <c r="BT502" s="210"/>
      <c r="BU502" s="204"/>
      <c r="BV502" s="210"/>
      <c r="BW502" s="204"/>
      <c r="BX502" s="204"/>
      <c r="BY502" s="204"/>
      <c r="BZ502" s="210"/>
      <c r="CA502" s="204"/>
      <c r="CB502" s="210"/>
      <c r="CC502" s="204"/>
      <c r="CD502" s="204"/>
      <c r="CE502" s="204"/>
      <c r="CF502" s="204"/>
    </row>
    <row r="503" spans="1:84" x14ac:dyDescent="0.5">
      <c r="A503" s="227">
        <v>19036161</v>
      </c>
      <c r="B503" s="22">
        <v>19030283</v>
      </c>
      <c r="C503" s="55"/>
      <c r="D503" s="56"/>
      <c r="E503" s="910"/>
      <c r="F503" s="57"/>
      <c r="G503" s="58"/>
      <c r="H503" s="59"/>
      <c r="I503" s="60"/>
      <c r="J503" s="269"/>
      <c r="K503" s="59"/>
      <c r="L503" s="22" t="s">
        <v>253</v>
      </c>
      <c r="M503" s="28" t="s">
        <v>1813</v>
      </c>
      <c r="N503" s="22" t="s">
        <v>51</v>
      </c>
      <c r="O503" s="29">
        <v>10500</v>
      </c>
      <c r="P503" s="29">
        <f t="shared" si="127"/>
        <v>735</v>
      </c>
      <c r="Q503" s="29">
        <f t="shared" si="128"/>
        <v>11235</v>
      </c>
      <c r="R503" s="61"/>
      <c r="S503" s="96"/>
      <c r="T503" s="97"/>
      <c r="U503" s="98"/>
      <c r="V503" s="99"/>
      <c r="W503" s="100"/>
      <c r="X503" s="99"/>
      <c r="Y503" s="99"/>
      <c r="Z503" s="100"/>
      <c r="AA503" s="101"/>
      <c r="AB503" s="40">
        <v>19040118</v>
      </c>
      <c r="AC503" s="41">
        <v>10500</v>
      </c>
      <c r="AD503" s="63">
        <f>AC503*7/100</f>
        <v>735</v>
      </c>
      <c r="AE503" s="64">
        <f>AC503+AD503</f>
        <v>11235</v>
      </c>
      <c r="AF503" s="53">
        <v>43587</v>
      </c>
      <c r="AG503" s="39" t="s">
        <v>869</v>
      </c>
      <c r="AH503" s="39"/>
      <c r="AI503" s="39"/>
      <c r="AJ503" s="21" t="s">
        <v>2361</v>
      </c>
      <c r="AK503" s="751">
        <v>1</v>
      </c>
      <c r="AL503" s="45" t="s">
        <v>1814</v>
      </c>
      <c r="AM503" s="46"/>
      <c r="AN503" s="46"/>
      <c r="AO503" s="47">
        <v>1</v>
      </c>
      <c r="AP503" s="48" t="s">
        <v>628</v>
      </c>
      <c r="AQ503" s="751">
        <v>2</v>
      </c>
      <c r="AR503" s="40" t="s">
        <v>1815</v>
      </c>
      <c r="AS503" s="47"/>
      <c r="AT503" s="47"/>
      <c r="AU503" s="47">
        <v>1</v>
      </c>
      <c r="AV503" s="49" t="s">
        <v>628</v>
      </c>
      <c r="AW503" s="752"/>
      <c r="AX503" s="54"/>
      <c r="AY503" s="752"/>
      <c r="AZ503" s="752"/>
      <c r="BA503" s="752"/>
      <c r="BB503" s="54"/>
      <c r="BC503" s="752"/>
      <c r="BD503" s="54"/>
      <c r="BE503" s="752"/>
      <c r="BF503" s="752"/>
      <c r="BG503" s="752"/>
      <c r="BH503" s="54"/>
      <c r="BI503" s="752"/>
      <c r="BJ503" s="54"/>
      <c r="BK503" s="752"/>
      <c r="BL503" s="752"/>
      <c r="BM503" s="752"/>
      <c r="BN503" s="54"/>
      <c r="BO503" s="752"/>
      <c r="BP503" s="54"/>
      <c r="BQ503" s="752"/>
      <c r="BR503" s="752"/>
      <c r="BS503" s="752"/>
      <c r="BT503" s="54"/>
      <c r="BU503" s="752"/>
      <c r="BV503" s="54"/>
      <c r="BW503" s="752"/>
      <c r="BX503" s="752"/>
      <c r="BY503" s="752"/>
      <c r="BZ503" s="54"/>
      <c r="CA503" s="752"/>
      <c r="CB503" s="54"/>
      <c r="CC503" s="752"/>
      <c r="CD503" s="752"/>
      <c r="CE503" s="752"/>
      <c r="CF503" s="752"/>
    </row>
    <row r="504" spans="1:84" x14ac:dyDescent="0.5">
      <c r="A504" s="227">
        <v>19036160</v>
      </c>
      <c r="B504" s="22">
        <v>19030277</v>
      </c>
      <c r="C504" s="55"/>
      <c r="D504" s="56"/>
      <c r="E504" s="910"/>
      <c r="F504" s="57"/>
      <c r="G504" s="58"/>
      <c r="H504" s="59"/>
      <c r="I504" s="60"/>
      <c r="J504" s="269"/>
      <c r="K504" s="59"/>
      <c r="L504" s="22" t="s">
        <v>1538</v>
      </c>
      <c r="M504" s="28" t="s">
        <v>1816</v>
      </c>
      <c r="N504" s="22" t="s">
        <v>1523</v>
      </c>
      <c r="O504" s="29">
        <v>7000</v>
      </c>
      <c r="P504" s="29">
        <f t="shared" si="127"/>
        <v>490</v>
      </c>
      <c r="Q504" s="29">
        <f t="shared" si="128"/>
        <v>7490</v>
      </c>
      <c r="R504" s="61"/>
      <c r="S504" s="96"/>
      <c r="T504" s="97"/>
      <c r="U504" s="98"/>
      <c r="V504" s="99"/>
      <c r="W504" s="100"/>
      <c r="X504" s="99"/>
      <c r="Y504" s="99"/>
      <c r="Z504" s="100"/>
      <c r="AA504" s="101"/>
      <c r="AB504" s="40">
        <v>19030102</v>
      </c>
      <c r="AC504" s="41">
        <v>7000</v>
      </c>
      <c r="AD504" s="52">
        <f>AC504*7/100</f>
        <v>490</v>
      </c>
      <c r="AE504" s="52">
        <f>AC504+AD504</f>
        <v>7490</v>
      </c>
      <c r="AF504" s="53">
        <v>43551</v>
      </c>
      <c r="AG504" s="39" t="s">
        <v>869</v>
      </c>
      <c r="AH504" s="39"/>
      <c r="AI504" s="39"/>
      <c r="AJ504" s="21" t="s">
        <v>1848</v>
      </c>
      <c r="AK504" s="751">
        <v>1</v>
      </c>
      <c r="AL504" s="45" t="s">
        <v>404</v>
      </c>
      <c r="AM504" s="46"/>
      <c r="AN504" s="46"/>
      <c r="AO504" s="47">
        <v>1</v>
      </c>
      <c r="AP504" s="102"/>
      <c r="AQ504" s="752"/>
      <c r="AR504" s="54"/>
      <c r="AS504" s="752"/>
      <c r="AT504" s="752"/>
      <c r="AU504" s="752"/>
      <c r="AV504" s="54"/>
      <c r="AW504" s="752"/>
      <c r="AX504" s="54"/>
      <c r="AY504" s="752"/>
      <c r="AZ504" s="752"/>
      <c r="BA504" s="752"/>
      <c r="BB504" s="54"/>
      <c r="BC504" s="752"/>
      <c r="BD504" s="54"/>
      <c r="BE504" s="752"/>
      <c r="BF504" s="752"/>
      <c r="BG504" s="752"/>
      <c r="BH504" s="54"/>
      <c r="BI504" s="752"/>
      <c r="BJ504" s="54"/>
      <c r="BK504" s="752"/>
      <c r="BL504" s="752"/>
      <c r="BM504" s="752"/>
      <c r="BN504" s="54"/>
      <c r="BO504" s="752"/>
      <c r="BP504" s="54"/>
      <c r="BQ504" s="752"/>
      <c r="BR504" s="752"/>
      <c r="BS504" s="752"/>
      <c r="BT504" s="54"/>
      <c r="BU504" s="752"/>
      <c r="BV504" s="54"/>
      <c r="BW504" s="752"/>
      <c r="BX504" s="752"/>
      <c r="BY504" s="752"/>
      <c r="BZ504" s="54"/>
      <c r="CA504" s="752"/>
      <c r="CB504" s="54"/>
      <c r="CC504" s="752"/>
      <c r="CD504" s="752"/>
      <c r="CE504" s="752"/>
      <c r="CF504" s="752"/>
    </row>
    <row r="505" spans="1:84" x14ac:dyDescent="0.5">
      <c r="A505" s="227">
        <v>19036159</v>
      </c>
      <c r="B505" s="22">
        <v>19030282</v>
      </c>
      <c r="C505" s="55"/>
      <c r="D505" s="56"/>
      <c r="E505" s="910"/>
      <c r="F505" s="57"/>
      <c r="G505" s="58"/>
      <c r="H505" s="59"/>
      <c r="I505" s="60"/>
      <c r="J505" s="269"/>
      <c r="K505" s="59"/>
      <c r="L505" s="22" t="s">
        <v>22</v>
      </c>
      <c r="M505" s="28" t="s">
        <v>1817</v>
      </c>
      <c r="N505" s="22" t="s">
        <v>51</v>
      </c>
      <c r="O505" s="29">
        <v>9000</v>
      </c>
      <c r="P505" s="29">
        <f t="shared" si="127"/>
        <v>630</v>
      </c>
      <c r="Q505" s="29">
        <f t="shared" si="128"/>
        <v>9630</v>
      </c>
      <c r="R505" s="61"/>
      <c r="S505" s="96"/>
      <c r="T505" s="97"/>
      <c r="U505" s="98"/>
      <c r="V505" s="99"/>
      <c r="W505" s="100"/>
      <c r="X505" s="99"/>
      <c r="Y505" s="99"/>
      <c r="Z505" s="100"/>
      <c r="AA505" s="101"/>
      <c r="AB505" s="40">
        <v>19050155</v>
      </c>
      <c r="AC505" s="41">
        <v>9000</v>
      </c>
      <c r="AD505" s="63">
        <f>AC505*7/100</f>
        <v>630</v>
      </c>
      <c r="AE505" s="63">
        <f>AC505+AD505</f>
        <v>9630</v>
      </c>
      <c r="AF505" s="53">
        <v>43622</v>
      </c>
      <c r="AG505" s="39" t="s">
        <v>869</v>
      </c>
      <c r="AH505" s="39"/>
      <c r="AI505" s="39"/>
      <c r="AJ505" s="21" t="s">
        <v>2761</v>
      </c>
      <c r="AK505" s="751">
        <v>1</v>
      </c>
      <c r="AL505" s="45" t="s">
        <v>1818</v>
      </c>
      <c r="AM505" s="46"/>
      <c r="AN505" s="46"/>
      <c r="AO505" s="47">
        <v>3</v>
      </c>
      <c r="AP505" s="48" t="s">
        <v>628</v>
      </c>
      <c r="AQ505" s="751">
        <v>2</v>
      </c>
      <c r="AR505" s="40" t="s">
        <v>1819</v>
      </c>
      <c r="AS505" s="47"/>
      <c r="AT505" s="47"/>
      <c r="AU505" s="47">
        <v>1</v>
      </c>
      <c r="AV505" s="49" t="s">
        <v>628</v>
      </c>
      <c r="AW505" s="752"/>
      <c r="AX505" s="54"/>
      <c r="AY505" s="752"/>
      <c r="AZ505" s="752"/>
      <c r="BA505" s="752"/>
      <c r="BB505" s="54"/>
      <c r="BC505" s="752"/>
      <c r="BD505" s="54"/>
      <c r="BE505" s="752"/>
      <c r="BF505" s="752"/>
      <c r="BG505" s="752"/>
      <c r="BH505" s="54"/>
      <c r="BI505" s="752"/>
      <c r="BJ505" s="54"/>
      <c r="BK505" s="752"/>
      <c r="BL505" s="752"/>
      <c r="BM505" s="752"/>
      <c r="BN505" s="54"/>
      <c r="BO505" s="752"/>
      <c r="BP505" s="54"/>
      <c r="BQ505" s="752"/>
      <c r="BR505" s="752"/>
      <c r="BS505" s="752"/>
      <c r="BT505" s="54"/>
      <c r="BU505" s="752"/>
      <c r="BV505" s="54"/>
      <c r="BW505" s="752"/>
      <c r="BX505" s="752"/>
      <c r="BY505" s="752"/>
      <c r="BZ505" s="54"/>
      <c r="CA505" s="752"/>
      <c r="CB505" s="54"/>
      <c r="CC505" s="752"/>
      <c r="CD505" s="752"/>
      <c r="CE505" s="752"/>
      <c r="CF505" s="752"/>
    </row>
    <row r="506" spans="1:84" x14ac:dyDescent="0.5">
      <c r="A506" s="227">
        <v>19036158</v>
      </c>
      <c r="B506" s="22">
        <v>19030278</v>
      </c>
      <c r="C506" s="55"/>
      <c r="D506" s="56"/>
      <c r="E506" s="910"/>
      <c r="F506" s="57"/>
      <c r="G506" s="58"/>
      <c r="H506" s="59"/>
      <c r="I506" s="60"/>
      <c r="J506" s="269"/>
      <c r="K506" s="59"/>
      <c r="L506" s="22" t="s">
        <v>22</v>
      </c>
      <c r="M506" s="28" t="s">
        <v>1820</v>
      </c>
      <c r="N506" s="22" t="s">
        <v>51</v>
      </c>
      <c r="O506" s="29">
        <v>41500</v>
      </c>
      <c r="P506" s="29">
        <f t="shared" si="127"/>
        <v>2905</v>
      </c>
      <c r="Q506" s="29">
        <f t="shared" si="128"/>
        <v>44405</v>
      </c>
      <c r="R506" s="61"/>
      <c r="S506" s="96"/>
      <c r="T506" s="97"/>
      <c r="U506" s="98"/>
      <c r="V506" s="99"/>
      <c r="W506" s="100"/>
      <c r="X506" s="99"/>
      <c r="Y506" s="99"/>
      <c r="Z506" s="100"/>
      <c r="AA506" s="101"/>
      <c r="AB506" s="40">
        <v>19050154</v>
      </c>
      <c r="AC506" s="41">
        <v>41500</v>
      </c>
      <c r="AD506" s="52">
        <f>AC506*7/100</f>
        <v>2905</v>
      </c>
      <c r="AE506" s="52">
        <f>AC506+AD506</f>
        <v>44405</v>
      </c>
      <c r="AF506" s="53">
        <v>43622</v>
      </c>
      <c r="AG506" s="39" t="s">
        <v>869</v>
      </c>
      <c r="AH506" s="39"/>
      <c r="AI506" s="39"/>
      <c r="AJ506" s="21" t="s">
        <v>2761</v>
      </c>
      <c r="AK506" s="750">
        <v>1</v>
      </c>
      <c r="AL506" s="45" t="s">
        <v>1821</v>
      </c>
      <c r="AM506" s="46"/>
      <c r="AN506" s="46"/>
      <c r="AO506" s="47">
        <v>1</v>
      </c>
      <c r="AP506" s="48" t="s">
        <v>628</v>
      </c>
      <c r="AQ506" s="750">
        <v>2</v>
      </c>
      <c r="AR506" s="40" t="s">
        <v>1822</v>
      </c>
      <c r="AS506" s="47"/>
      <c r="AT506" s="47"/>
      <c r="AU506" s="47">
        <v>1</v>
      </c>
      <c r="AV506" s="49" t="s">
        <v>628</v>
      </c>
      <c r="AW506" s="752"/>
      <c r="AX506" s="54"/>
      <c r="AY506" s="752"/>
      <c r="AZ506" s="752"/>
      <c r="BA506" s="752"/>
      <c r="BB506" s="54"/>
      <c r="BC506" s="752"/>
      <c r="BD506" s="54"/>
      <c r="BE506" s="752"/>
      <c r="BF506" s="752"/>
      <c r="BG506" s="752"/>
      <c r="BH506" s="54"/>
      <c r="BI506" s="752"/>
      <c r="BJ506" s="54"/>
      <c r="BK506" s="752"/>
      <c r="BL506" s="752"/>
      <c r="BM506" s="752"/>
      <c r="BN506" s="54"/>
      <c r="BO506" s="752"/>
      <c r="BP506" s="54"/>
      <c r="BQ506" s="752"/>
      <c r="BR506" s="752"/>
      <c r="BS506" s="752"/>
      <c r="BT506" s="54"/>
      <c r="BU506" s="752"/>
      <c r="BV506" s="54"/>
      <c r="BW506" s="752"/>
      <c r="BX506" s="752"/>
      <c r="BY506" s="752"/>
      <c r="BZ506" s="54"/>
      <c r="CA506" s="752"/>
      <c r="CB506" s="54"/>
      <c r="CC506" s="752"/>
      <c r="CD506" s="752"/>
      <c r="CE506" s="752"/>
      <c r="CF506" s="752"/>
    </row>
    <row r="507" spans="1:84" x14ac:dyDescent="0.5">
      <c r="A507" s="227">
        <v>19036157</v>
      </c>
      <c r="B507" s="22">
        <v>19030276</v>
      </c>
      <c r="C507" s="23" t="s">
        <v>1406</v>
      </c>
      <c r="D507" s="24" t="s">
        <v>1323</v>
      </c>
      <c r="E507" s="884">
        <v>43553</v>
      </c>
      <c r="F507" s="932" t="s">
        <v>1841</v>
      </c>
      <c r="G507" s="933" t="s">
        <v>1397</v>
      </c>
      <c r="H507" s="62">
        <v>43564</v>
      </c>
      <c r="I507" s="27">
        <v>19112</v>
      </c>
      <c r="J507" s="931" t="s">
        <v>869</v>
      </c>
      <c r="K507" s="957">
        <v>43564</v>
      </c>
      <c r="L507" s="22" t="s">
        <v>1115</v>
      </c>
      <c r="M507" s="28" t="s">
        <v>1823</v>
      </c>
      <c r="N507" s="22" t="s">
        <v>52</v>
      </c>
      <c r="O507" s="29">
        <v>89600</v>
      </c>
      <c r="P507" s="29">
        <f t="shared" si="127"/>
        <v>6272</v>
      </c>
      <c r="Q507" s="29">
        <f t="shared" si="128"/>
        <v>95872</v>
      </c>
      <c r="R507" s="61"/>
      <c r="S507" s="31" t="s">
        <v>2696</v>
      </c>
      <c r="T507" s="32">
        <f>O507</f>
        <v>89600</v>
      </c>
      <c r="U507" s="33">
        <v>5</v>
      </c>
      <c r="V507" s="34">
        <f>T507*U507/100</f>
        <v>4480</v>
      </c>
      <c r="W507" s="35">
        <f>T507-V507</f>
        <v>85120</v>
      </c>
      <c r="X507" s="36">
        <v>0.27</v>
      </c>
      <c r="Y507" s="36">
        <f>W507*X507/100</f>
        <v>229.82400000000001</v>
      </c>
      <c r="Z507" s="37">
        <v>0.2</v>
      </c>
      <c r="AA507" s="38">
        <f>W507*Z507/100</f>
        <v>170.24</v>
      </c>
      <c r="AB507" s="40">
        <v>19040121</v>
      </c>
      <c r="AC507" s="41">
        <v>89600</v>
      </c>
      <c r="AD507" s="63">
        <f>AC507*7/100</f>
        <v>6272</v>
      </c>
      <c r="AE507" s="64">
        <f>AC507+AD507</f>
        <v>95872</v>
      </c>
      <c r="AF507" s="53">
        <v>43557</v>
      </c>
      <c r="AG507" s="39" t="s">
        <v>869</v>
      </c>
      <c r="AH507" s="39"/>
      <c r="AI507" s="39"/>
      <c r="AJ507" s="21" t="s">
        <v>2042</v>
      </c>
      <c r="AK507" s="750">
        <v>1</v>
      </c>
      <c r="AL507" s="45" t="s">
        <v>593</v>
      </c>
      <c r="AM507" s="46"/>
      <c r="AN507" s="46" t="s">
        <v>869</v>
      </c>
      <c r="AO507" s="47">
        <v>4</v>
      </c>
      <c r="AP507" s="48" t="s">
        <v>634</v>
      </c>
      <c r="AQ507" s="752"/>
      <c r="AR507" s="54"/>
      <c r="AS507" s="752"/>
      <c r="AT507" s="752"/>
      <c r="AU507" s="752"/>
      <c r="AV507" s="54"/>
      <c r="AW507" s="752"/>
      <c r="AX507" s="54"/>
      <c r="AY507" s="752"/>
      <c r="AZ507" s="752"/>
      <c r="BA507" s="752"/>
      <c r="BB507" s="54"/>
      <c r="BC507" s="752"/>
      <c r="BD507" s="54"/>
      <c r="BE507" s="752"/>
      <c r="BF507" s="752"/>
      <c r="BG507" s="752"/>
      <c r="BH507" s="54"/>
      <c r="BI507" s="752"/>
      <c r="BJ507" s="54"/>
      <c r="BK507" s="752"/>
      <c r="BL507" s="752"/>
      <c r="BM507" s="752"/>
      <c r="BN507" s="54"/>
      <c r="BO507" s="752"/>
      <c r="BP507" s="54"/>
      <c r="BQ507" s="752"/>
      <c r="BR507" s="752"/>
      <c r="BS507" s="752"/>
      <c r="BT507" s="54"/>
      <c r="BU507" s="752"/>
      <c r="BV507" s="54"/>
      <c r="BW507" s="752"/>
      <c r="BX507" s="752"/>
      <c r="BY507" s="752"/>
      <c r="BZ507" s="54"/>
      <c r="CA507" s="752"/>
      <c r="CB507" s="54"/>
      <c r="CC507" s="752"/>
      <c r="CD507" s="752"/>
      <c r="CE507" s="752"/>
      <c r="CF507" s="752"/>
    </row>
    <row r="508" spans="1:84" x14ac:dyDescent="0.5">
      <c r="A508" s="227">
        <v>19036156</v>
      </c>
      <c r="B508" s="22">
        <v>19030272</v>
      </c>
      <c r="C508" s="23" t="s">
        <v>1407</v>
      </c>
      <c r="D508" s="24" t="s">
        <v>1323</v>
      </c>
      <c r="E508" s="884">
        <v>43549</v>
      </c>
      <c r="F508" s="932" t="s">
        <v>1841</v>
      </c>
      <c r="G508" s="933" t="s">
        <v>1405</v>
      </c>
      <c r="H508" s="62">
        <v>43549</v>
      </c>
      <c r="I508" s="27">
        <v>19100</v>
      </c>
      <c r="J508" s="931" t="s">
        <v>869</v>
      </c>
      <c r="K508" s="957">
        <v>43549</v>
      </c>
      <c r="L508" s="22" t="s">
        <v>23</v>
      </c>
      <c r="M508" s="28" t="s">
        <v>505</v>
      </c>
      <c r="N508" s="22" t="s">
        <v>51</v>
      </c>
      <c r="O508" s="29">
        <v>75000</v>
      </c>
      <c r="P508" s="29">
        <f t="shared" si="127"/>
        <v>5250</v>
      </c>
      <c r="Q508" s="29">
        <f t="shared" si="128"/>
        <v>80250</v>
      </c>
      <c r="R508" s="61"/>
      <c r="S508" s="96"/>
      <c r="T508" s="97"/>
      <c r="U508" s="98"/>
      <c r="V508" s="99"/>
      <c r="W508" s="100"/>
      <c r="X508" s="99"/>
      <c r="Y508" s="99"/>
      <c r="Z508" s="100"/>
      <c r="AA508" s="101"/>
      <c r="AB508" s="40">
        <v>19030095</v>
      </c>
      <c r="AC508" s="41">
        <v>75000</v>
      </c>
      <c r="AD508" s="63">
        <f t="shared" ref="AD508:AD513" si="129">AC508*7/100</f>
        <v>5250</v>
      </c>
      <c r="AE508" s="64">
        <f t="shared" ref="AE508:AE513" si="130">AC508+AD508</f>
        <v>80250</v>
      </c>
      <c r="AF508" s="53">
        <v>43576</v>
      </c>
      <c r="AG508" s="39" t="s">
        <v>869</v>
      </c>
      <c r="AH508" s="39"/>
      <c r="AI508" s="39"/>
      <c r="AJ508" s="21" t="s">
        <v>2050</v>
      </c>
      <c r="AK508" s="748">
        <v>1</v>
      </c>
      <c r="AL508" s="45" t="s">
        <v>768</v>
      </c>
      <c r="AM508" s="46"/>
      <c r="AN508" s="46" t="s">
        <v>869</v>
      </c>
      <c r="AO508" s="47">
        <v>1</v>
      </c>
      <c r="AP508" s="48" t="s">
        <v>633</v>
      </c>
      <c r="AQ508" s="751"/>
      <c r="AR508" s="54"/>
      <c r="AS508" s="751"/>
      <c r="AT508" s="751"/>
      <c r="AU508" s="751"/>
      <c r="AV508" s="54"/>
      <c r="AW508" s="751"/>
      <c r="AX508" s="54"/>
      <c r="AY508" s="751"/>
      <c r="AZ508" s="751"/>
      <c r="BA508" s="751"/>
      <c r="BB508" s="54"/>
      <c r="BC508" s="751"/>
      <c r="BD508" s="54"/>
      <c r="BE508" s="751"/>
      <c r="BF508" s="751"/>
      <c r="BG508" s="751"/>
      <c r="BH508" s="54"/>
      <c r="BI508" s="751"/>
      <c r="BJ508" s="54"/>
      <c r="BK508" s="751"/>
      <c r="BL508" s="751"/>
      <c r="BM508" s="751"/>
      <c r="BN508" s="54"/>
      <c r="BO508" s="751"/>
      <c r="BP508" s="54"/>
      <c r="BQ508" s="751"/>
      <c r="BR508" s="751"/>
      <c r="BS508" s="751"/>
      <c r="BT508" s="54"/>
      <c r="BU508" s="751"/>
      <c r="BV508" s="54"/>
      <c r="BW508" s="751"/>
      <c r="BX508" s="751"/>
      <c r="BY508" s="751"/>
      <c r="BZ508" s="54"/>
      <c r="CA508" s="751"/>
      <c r="CB508" s="54"/>
      <c r="CC508" s="751"/>
      <c r="CD508" s="751"/>
      <c r="CE508" s="751"/>
      <c r="CF508" s="751"/>
    </row>
    <row r="509" spans="1:84" x14ac:dyDescent="0.5">
      <c r="A509" s="259">
        <v>19036155</v>
      </c>
      <c r="B509" s="104">
        <v>19030271</v>
      </c>
      <c r="C509" s="105" t="s">
        <v>1408</v>
      </c>
      <c r="D509" s="106" t="s">
        <v>1323</v>
      </c>
      <c r="E509" s="302">
        <v>43550</v>
      </c>
      <c r="F509" s="936" t="s">
        <v>1841</v>
      </c>
      <c r="G509" s="937" t="s">
        <v>1404</v>
      </c>
      <c r="H509" s="122">
        <v>43549</v>
      </c>
      <c r="I509" s="109">
        <v>19101</v>
      </c>
      <c r="J509" s="960" t="s">
        <v>869</v>
      </c>
      <c r="K509" s="965">
        <v>43550</v>
      </c>
      <c r="L509" s="104" t="s">
        <v>1713</v>
      </c>
      <c r="M509" s="110" t="s">
        <v>1732</v>
      </c>
      <c r="N509" s="104" t="s">
        <v>50</v>
      </c>
      <c r="O509" s="111">
        <v>12825</v>
      </c>
      <c r="P509" s="111">
        <f t="shared" si="127"/>
        <v>897.75</v>
      </c>
      <c r="Q509" s="111">
        <f t="shared" si="128"/>
        <v>13722.75</v>
      </c>
      <c r="R509" s="212"/>
      <c r="S509" s="165"/>
      <c r="T509" s="166"/>
      <c r="U509" s="167"/>
      <c r="V509" s="168"/>
      <c r="W509" s="117">
        <f>O509</f>
        <v>12825</v>
      </c>
      <c r="X509" s="118">
        <v>0.38</v>
      </c>
      <c r="Y509" s="118">
        <f>W509*X509/100</f>
        <v>48.734999999999999</v>
      </c>
      <c r="Z509" s="119">
        <v>0.2</v>
      </c>
      <c r="AA509" s="120">
        <f>W509*Z509/100</f>
        <v>25.65</v>
      </c>
      <c r="AB509" s="229">
        <v>19030099</v>
      </c>
      <c r="AC509" s="230">
        <v>3847.5</v>
      </c>
      <c r="AD509" s="220">
        <f t="shared" si="129"/>
        <v>269.32499999999999</v>
      </c>
      <c r="AE509" s="220">
        <f t="shared" si="130"/>
        <v>4116.8249999999998</v>
      </c>
      <c r="AF509" s="221">
        <v>43551</v>
      </c>
      <c r="AG509" s="121" t="s">
        <v>869</v>
      </c>
      <c r="AH509" s="121"/>
      <c r="AI509" s="121"/>
      <c r="AJ509" s="222" t="s">
        <v>1855</v>
      </c>
      <c r="AK509" s="128">
        <v>1</v>
      </c>
      <c r="AL509" s="129" t="s">
        <v>826</v>
      </c>
      <c r="AM509" s="130" t="s">
        <v>869</v>
      </c>
      <c r="AN509" s="130"/>
      <c r="AO509" s="131">
        <v>1</v>
      </c>
      <c r="AP509" s="132" t="s">
        <v>636</v>
      </c>
      <c r="AQ509" s="128"/>
      <c r="AR509" s="133"/>
      <c r="AS509" s="128"/>
      <c r="AT509" s="128"/>
      <c r="AU509" s="128"/>
      <c r="AV509" s="133"/>
      <c r="AW509" s="128"/>
      <c r="AX509" s="133"/>
      <c r="AY509" s="128"/>
      <c r="AZ509" s="128"/>
      <c r="BA509" s="128"/>
      <c r="BB509" s="133"/>
      <c r="BC509" s="128"/>
      <c r="BD509" s="133"/>
      <c r="BE509" s="128"/>
      <c r="BF509" s="128"/>
      <c r="BG509" s="128"/>
      <c r="BH509" s="133"/>
      <c r="BI509" s="128"/>
      <c r="BJ509" s="133"/>
      <c r="BK509" s="128"/>
      <c r="BL509" s="128"/>
      <c r="BM509" s="128"/>
      <c r="BN509" s="133"/>
      <c r="BO509" s="128"/>
      <c r="BP509" s="133"/>
      <c r="BQ509" s="128"/>
      <c r="BR509" s="128"/>
      <c r="BS509" s="128"/>
      <c r="BT509" s="133"/>
      <c r="BU509" s="128"/>
      <c r="BV509" s="133"/>
      <c r="BW509" s="128"/>
      <c r="BX509" s="128"/>
      <c r="BY509" s="128"/>
      <c r="BZ509" s="133"/>
      <c r="CA509" s="128"/>
      <c r="CB509" s="133"/>
      <c r="CC509" s="128"/>
      <c r="CD509" s="128"/>
      <c r="CE509" s="128"/>
      <c r="CF509" s="128"/>
    </row>
    <row r="510" spans="1:84" x14ac:dyDescent="0.5">
      <c r="A510" s="262"/>
      <c r="B510" s="135"/>
      <c r="C510" s="136"/>
      <c r="D510" s="137"/>
      <c r="E510" s="906"/>
      <c r="F510" s="940"/>
      <c r="G510" s="941"/>
      <c r="H510" s="135"/>
      <c r="I510" s="140"/>
      <c r="J510" s="963"/>
      <c r="K510" s="964"/>
      <c r="L510" s="135"/>
      <c r="M510" s="141"/>
      <c r="N510" s="135"/>
      <c r="O510" s="142"/>
      <c r="P510" s="142"/>
      <c r="Q510" s="142"/>
      <c r="R510" s="213"/>
      <c r="S510" s="172"/>
      <c r="T510" s="173"/>
      <c r="U510" s="174"/>
      <c r="V510" s="175"/>
      <c r="W510" s="148"/>
      <c r="X510" s="149"/>
      <c r="Y510" s="149"/>
      <c r="Z510" s="150"/>
      <c r="AA510" s="151"/>
      <c r="AB510" s="154">
        <v>19030100</v>
      </c>
      <c r="AC510" s="155">
        <v>8977.5</v>
      </c>
      <c r="AD510" s="156">
        <f t="shared" si="129"/>
        <v>628.42499999999995</v>
      </c>
      <c r="AE510" s="156">
        <f t="shared" si="130"/>
        <v>9605.9249999999993</v>
      </c>
      <c r="AF510" s="157">
        <v>43551</v>
      </c>
      <c r="AG510" s="152" t="s">
        <v>869</v>
      </c>
      <c r="AH510" s="152"/>
      <c r="AI510" s="152"/>
      <c r="AJ510" s="134" t="s">
        <v>1856</v>
      </c>
      <c r="AK510" s="158"/>
      <c r="AL510" s="159"/>
      <c r="AM510" s="160"/>
      <c r="AN510" s="160"/>
      <c r="AO510" s="161"/>
      <c r="AP510" s="162"/>
      <c r="AQ510" s="158"/>
      <c r="AR510" s="163"/>
      <c r="AS510" s="158"/>
      <c r="AT510" s="158"/>
      <c r="AU510" s="158"/>
      <c r="AV510" s="163"/>
      <c r="AW510" s="158"/>
      <c r="AX510" s="163"/>
      <c r="AY510" s="158"/>
      <c r="AZ510" s="158"/>
      <c r="BA510" s="158"/>
      <c r="BB510" s="163"/>
      <c r="BC510" s="158"/>
      <c r="BD510" s="163"/>
      <c r="BE510" s="158"/>
      <c r="BF510" s="158"/>
      <c r="BG510" s="158"/>
      <c r="BH510" s="163"/>
      <c r="BI510" s="158"/>
      <c r="BJ510" s="163"/>
      <c r="BK510" s="158"/>
      <c r="BL510" s="158"/>
      <c r="BM510" s="158"/>
      <c r="BN510" s="163"/>
      <c r="BO510" s="158"/>
      <c r="BP510" s="163"/>
      <c r="BQ510" s="158"/>
      <c r="BR510" s="158"/>
      <c r="BS510" s="158"/>
      <c r="BT510" s="163"/>
      <c r="BU510" s="158"/>
      <c r="BV510" s="163"/>
      <c r="BW510" s="158"/>
      <c r="BX510" s="158"/>
      <c r="BY510" s="158"/>
      <c r="BZ510" s="163"/>
      <c r="CA510" s="158"/>
      <c r="CB510" s="163"/>
      <c r="CC510" s="158"/>
      <c r="CD510" s="158"/>
      <c r="CE510" s="158"/>
      <c r="CF510" s="158"/>
    </row>
    <row r="511" spans="1:84" s="95" customFormat="1" x14ac:dyDescent="0.5">
      <c r="A511" s="754">
        <v>19036154</v>
      </c>
      <c r="B511" s="755">
        <v>19030262</v>
      </c>
      <c r="C511" s="756" t="s">
        <v>1409</v>
      </c>
      <c r="D511" s="757" t="s">
        <v>1323</v>
      </c>
      <c r="E511" s="899">
        <v>43549</v>
      </c>
      <c r="F511" s="942"/>
      <c r="G511" s="943"/>
      <c r="H511" s="755"/>
      <c r="I511" s="758"/>
      <c r="J511" s="967"/>
      <c r="K511" s="782"/>
      <c r="L511" s="755" t="s">
        <v>189</v>
      </c>
      <c r="M511" s="759" t="s">
        <v>1114</v>
      </c>
      <c r="N511" s="755" t="s">
        <v>1523</v>
      </c>
      <c r="O511" s="760">
        <v>157000</v>
      </c>
      <c r="P511" s="760">
        <f t="shared" ref="P511:P522" si="131">O511*7/100</f>
        <v>10990</v>
      </c>
      <c r="Q511" s="760">
        <f t="shared" ref="Q511:Q522" si="132">O511+P511</f>
        <v>167990</v>
      </c>
      <c r="R511" s="761">
        <v>16600</v>
      </c>
      <c r="S511" s="762"/>
      <c r="T511" s="763"/>
      <c r="U511" s="764"/>
      <c r="V511" s="765"/>
      <c r="W511" s="766">
        <f>O511-R511</f>
        <v>140400</v>
      </c>
      <c r="X511" s="767">
        <v>0.49</v>
      </c>
      <c r="Y511" s="767">
        <f>W511*X511/100</f>
        <v>687.96</v>
      </c>
      <c r="Z511" s="768">
        <v>0.2</v>
      </c>
      <c r="AA511" s="769">
        <f>W511*Z511/100</f>
        <v>280.8</v>
      </c>
      <c r="AB511" s="771">
        <v>19030092</v>
      </c>
      <c r="AC511" s="772">
        <v>47100</v>
      </c>
      <c r="AD511" s="773">
        <f t="shared" si="129"/>
        <v>3297</v>
      </c>
      <c r="AE511" s="773">
        <f t="shared" si="130"/>
        <v>50397</v>
      </c>
      <c r="AF511" s="774">
        <v>43543</v>
      </c>
      <c r="AG511" s="775"/>
      <c r="AH511" s="775"/>
      <c r="AI511" s="775" t="s">
        <v>869</v>
      </c>
      <c r="AJ511" s="776" t="s">
        <v>1687</v>
      </c>
      <c r="AK511" s="777">
        <v>1</v>
      </c>
      <c r="AL511" s="778" t="s">
        <v>833</v>
      </c>
      <c r="AM511" s="779"/>
      <c r="AN511" s="779" t="s">
        <v>869</v>
      </c>
      <c r="AO511" s="780">
        <v>2</v>
      </c>
      <c r="AP511" s="781" t="s">
        <v>634</v>
      </c>
      <c r="AQ511" s="777">
        <v>2</v>
      </c>
      <c r="AR511" s="782" t="s">
        <v>660</v>
      </c>
      <c r="AS511" s="780"/>
      <c r="AT511" s="780" t="s">
        <v>869</v>
      </c>
      <c r="AU511" s="780">
        <v>2</v>
      </c>
      <c r="AV511" s="783" t="s">
        <v>634</v>
      </c>
      <c r="AW511" s="777"/>
      <c r="AX511" s="784"/>
      <c r="AY511" s="777"/>
      <c r="AZ511" s="777"/>
      <c r="BA511" s="777"/>
      <c r="BB511" s="784"/>
      <c r="BC511" s="777"/>
      <c r="BD511" s="784"/>
      <c r="BE511" s="777"/>
      <c r="BF511" s="777"/>
      <c r="BG511" s="777"/>
      <c r="BH511" s="784"/>
      <c r="BI511" s="777"/>
      <c r="BJ511" s="784"/>
      <c r="BK511" s="777"/>
      <c r="BL511" s="777"/>
      <c r="BM511" s="777"/>
      <c r="BN511" s="784"/>
      <c r="BO511" s="777"/>
      <c r="BP511" s="784"/>
      <c r="BQ511" s="777"/>
      <c r="BR511" s="777"/>
      <c r="BS511" s="777"/>
      <c r="BT511" s="784"/>
      <c r="BU511" s="777"/>
      <c r="BV511" s="784"/>
      <c r="BW511" s="777"/>
      <c r="BX511" s="777"/>
      <c r="BY511" s="777"/>
      <c r="BZ511" s="784"/>
      <c r="CA511" s="777"/>
      <c r="CB511" s="784"/>
      <c r="CC511" s="777"/>
      <c r="CD511" s="777"/>
      <c r="CE511" s="777"/>
      <c r="CF511" s="777"/>
    </row>
    <row r="512" spans="1:84" s="95" customFormat="1" x14ac:dyDescent="0.5">
      <c r="A512" s="785"/>
      <c r="B512" s="786"/>
      <c r="C512" s="787"/>
      <c r="D512" s="788"/>
      <c r="E512" s="907"/>
      <c r="F512" s="944"/>
      <c r="G512" s="945"/>
      <c r="H512" s="786"/>
      <c r="I512" s="789"/>
      <c r="J512" s="968"/>
      <c r="K512" s="802"/>
      <c r="L512" s="786"/>
      <c r="M512" s="790"/>
      <c r="N512" s="786"/>
      <c r="O512" s="791"/>
      <c r="P512" s="791"/>
      <c r="Q512" s="791"/>
      <c r="R512" s="792"/>
      <c r="S512" s="793"/>
      <c r="T512" s="794"/>
      <c r="U512" s="795"/>
      <c r="V512" s="796"/>
      <c r="W512" s="797"/>
      <c r="X512" s="798"/>
      <c r="Y512" s="798"/>
      <c r="Z512" s="799"/>
      <c r="AA512" s="800"/>
      <c r="AB512" s="802">
        <v>19030093</v>
      </c>
      <c r="AC512" s="803">
        <v>109900</v>
      </c>
      <c r="AD512" s="804">
        <f t="shared" si="129"/>
        <v>7693</v>
      </c>
      <c r="AE512" s="804">
        <f t="shared" si="130"/>
        <v>117593</v>
      </c>
      <c r="AF512" s="805">
        <v>43543</v>
      </c>
      <c r="AG512" s="801"/>
      <c r="AH512" s="801"/>
      <c r="AI512" s="801" t="s">
        <v>869</v>
      </c>
      <c r="AJ512" s="785" t="s">
        <v>1781</v>
      </c>
      <c r="AK512" s="806"/>
      <c r="AL512" s="807"/>
      <c r="AM512" s="808"/>
      <c r="AN512" s="808"/>
      <c r="AO512" s="809"/>
      <c r="AP512" s="810"/>
      <c r="AQ512" s="806"/>
      <c r="AR512" s="802"/>
      <c r="AS512" s="809"/>
      <c r="AT512" s="809"/>
      <c r="AU512" s="809"/>
      <c r="AV512" s="811"/>
      <c r="AW512" s="806"/>
      <c r="AX512" s="812"/>
      <c r="AY512" s="806"/>
      <c r="AZ512" s="806"/>
      <c r="BA512" s="806"/>
      <c r="BB512" s="812"/>
      <c r="BC512" s="806"/>
      <c r="BD512" s="812"/>
      <c r="BE512" s="806"/>
      <c r="BF512" s="806"/>
      <c r="BG512" s="806"/>
      <c r="BH512" s="812"/>
      <c r="BI512" s="806"/>
      <c r="BJ512" s="812"/>
      <c r="BK512" s="806"/>
      <c r="BL512" s="806"/>
      <c r="BM512" s="806"/>
      <c r="BN512" s="812"/>
      <c r="BO512" s="806"/>
      <c r="BP512" s="812"/>
      <c r="BQ512" s="806"/>
      <c r="BR512" s="806"/>
      <c r="BS512" s="806"/>
      <c r="BT512" s="812"/>
      <c r="BU512" s="806"/>
      <c r="BV512" s="812"/>
      <c r="BW512" s="806"/>
      <c r="BX512" s="806"/>
      <c r="BY512" s="806"/>
      <c r="BZ512" s="812"/>
      <c r="CA512" s="806"/>
      <c r="CB512" s="812"/>
      <c r="CC512" s="806"/>
      <c r="CD512" s="806"/>
      <c r="CE512" s="806"/>
      <c r="CF512" s="806"/>
    </row>
    <row r="513" spans="1:84" x14ac:dyDescent="0.5">
      <c r="A513" s="227">
        <v>19036153</v>
      </c>
      <c r="B513" s="22">
        <v>19030248</v>
      </c>
      <c r="C513" s="23" t="s">
        <v>1410</v>
      </c>
      <c r="D513" s="24" t="s">
        <v>1323</v>
      </c>
      <c r="E513" s="884">
        <v>43551</v>
      </c>
      <c r="F513" s="932" t="s">
        <v>1324</v>
      </c>
      <c r="G513" s="933" t="s">
        <v>1408</v>
      </c>
      <c r="H513" s="62">
        <v>43543</v>
      </c>
      <c r="I513" s="27">
        <v>19091</v>
      </c>
      <c r="J513" s="931" t="s">
        <v>869</v>
      </c>
      <c r="K513" s="957">
        <v>43544</v>
      </c>
      <c r="L513" s="22" t="s">
        <v>23</v>
      </c>
      <c r="M513" s="28" t="s">
        <v>160</v>
      </c>
      <c r="N513" s="22" t="s">
        <v>51</v>
      </c>
      <c r="O513" s="29">
        <v>35000</v>
      </c>
      <c r="P513" s="29">
        <f t="shared" si="131"/>
        <v>2450</v>
      </c>
      <c r="Q513" s="29">
        <f t="shared" si="132"/>
        <v>37450</v>
      </c>
      <c r="R513" s="61"/>
      <c r="S513" s="96"/>
      <c r="T513" s="97"/>
      <c r="U513" s="98"/>
      <c r="V513" s="99"/>
      <c r="W513" s="100"/>
      <c r="X513" s="99"/>
      <c r="Y513" s="99"/>
      <c r="Z513" s="100"/>
      <c r="AA513" s="101"/>
      <c r="AB513" s="40">
        <v>19030094</v>
      </c>
      <c r="AC513" s="41">
        <v>35000</v>
      </c>
      <c r="AD513" s="63">
        <f t="shared" si="129"/>
        <v>2450</v>
      </c>
      <c r="AE513" s="64">
        <f t="shared" si="130"/>
        <v>37450</v>
      </c>
      <c r="AF513" s="53">
        <v>43574</v>
      </c>
      <c r="AG513" s="39" t="s">
        <v>869</v>
      </c>
      <c r="AH513" s="39"/>
      <c r="AI513" s="39"/>
      <c r="AJ513" s="21" t="s">
        <v>2051</v>
      </c>
      <c r="AK513" s="744">
        <v>1</v>
      </c>
      <c r="AL513" s="45" t="s">
        <v>1767</v>
      </c>
      <c r="AM513" s="46"/>
      <c r="AN513" s="46" t="s">
        <v>869</v>
      </c>
      <c r="AO513" s="47">
        <v>1</v>
      </c>
      <c r="AP513" s="48" t="s">
        <v>633</v>
      </c>
      <c r="AQ513" s="748"/>
      <c r="AR513" s="54"/>
      <c r="AS513" s="748"/>
      <c r="AT513" s="748"/>
      <c r="AU513" s="748"/>
      <c r="AV513" s="54"/>
      <c r="AW513" s="748"/>
      <c r="AX513" s="54"/>
      <c r="AY513" s="748"/>
      <c r="AZ513" s="748"/>
      <c r="BA513" s="748"/>
      <c r="BB513" s="54"/>
      <c r="BC513" s="748"/>
      <c r="BD513" s="54"/>
      <c r="BE513" s="748"/>
      <c r="BF513" s="748"/>
      <c r="BG513" s="748"/>
      <c r="BH513" s="54"/>
      <c r="BI513" s="748"/>
      <c r="BJ513" s="54"/>
      <c r="BK513" s="748"/>
      <c r="BL513" s="748"/>
      <c r="BM513" s="748"/>
      <c r="BN513" s="54"/>
      <c r="BO513" s="748"/>
      <c r="BP513" s="54"/>
      <c r="BQ513" s="748"/>
      <c r="BR513" s="748"/>
      <c r="BS513" s="748"/>
      <c r="BT513" s="54"/>
      <c r="BU513" s="748"/>
      <c r="BV513" s="54"/>
      <c r="BW513" s="748"/>
      <c r="BX513" s="748"/>
      <c r="BY513" s="748"/>
      <c r="BZ513" s="54"/>
      <c r="CA513" s="748"/>
      <c r="CB513" s="54"/>
      <c r="CC513" s="748"/>
      <c r="CD513" s="748"/>
      <c r="CE513" s="748"/>
      <c r="CF513" s="748"/>
    </row>
    <row r="514" spans="1:84" x14ac:dyDescent="0.5">
      <c r="A514" s="227">
        <v>19036152</v>
      </c>
      <c r="B514" s="22">
        <v>19030243</v>
      </c>
      <c r="C514" s="23" t="s">
        <v>1411</v>
      </c>
      <c r="D514" s="24" t="s">
        <v>1323</v>
      </c>
      <c r="E514" s="884">
        <v>43580</v>
      </c>
      <c r="F514" s="932" t="s">
        <v>1324</v>
      </c>
      <c r="G514" s="933" t="s">
        <v>2077</v>
      </c>
      <c r="H514" s="62">
        <v>43627</v>
      </c>
      <c r="I514" s="27">
        <v>19154</v>
      </c>
      <c r="J514" s="931" t="s">
        <v>869</v>
      </c>
      <c r="K514" s="957">
        <v>43627</v>
      </c>
      <c r="L514" s="22" t="s">
        <v>15</v>
      </c>
      <c r="M514" s="28" t="s">
        <v>1768</v>
      </c>
      <c r="N514" s="22" t="s">
        <v>51</v>
      </c>
      <c r="O514" s="29">
        <v>180900</v>
      </c>
      <c r="P514" s="29">
        <f t="shared" si="131"/>
        <v>12663</v>
      </c>
      <c r="Q514" s="29">
        <f t="shared" si="132"/>
        <v>193563</v>
      </c>
      <c r="R514" s="61"/>
      <c r="S514" s="96"/>
      <c r="T514" s="97"/>
      <c r="U514" s="98"/>
      <c r="V514" s="99"/>
      <c r="W514" s="100"/>
      <c r="X514" s="99"/>
      <c r="Y514" s="99"/>
      <c r="Z514" s="100"/>
      <c r="AA514" s="101"/>
      <c r="AB514" s="40">
        <v>19060207</v>
      </c>
      <c r="AC514" s="41">
        <v>180900</v>
      </c>
      <c r="AD514" s="52">
        <f>AC514*7/100</f>
        <v>12663</v>
      </c>
      <c r="AE514" s="52">
        <f>AC514+AD514</f>
        <v>193563</v>
      </c>
      <c r="AF514" s="53">
        <v>43675</v>
      </c>
      <c r="AG514" s="39" t="s">
        <v>869</v>
      </c>
      <c r="AH514" s="39"/>
      <c r="AI514" s="39"/>
      <c r="AJ514" s="21" t="s">
        <v>2718</v>
      </c>
      <c r="AK514" s="744">
        <v>1</v>
      </c>
      <c r="AL514" s="45" t="s">
        <v>1769</v>
      </c>
      <c r="AM514" s="46"/>
      <c r="AN514" s="46" t="s">
        <v>869</v>
      </c>
      <c r="AO514" s="47">
        <v>1</v>
      </c>
      <c r="AP514" s="48" t="s">
        <v>633</v>
      </c>
      <c r="AQ514" s="744">
        <v>2</v>
      </c>
      <c r="AR514" s="40" t="s">
        <v>1770</v>
      </c>
      <c r="AS514" s="47"/>
      <c r="AT514" s="47" t="s">
        <v>869</v>
      </c>
      <c r="AU514" s="47">
        <v>1</v>
      </c>
      <c r="AV514" s="49" t="s">
        <v>633</v>
      </c>
      <c r="AW514" s="744">
        <v>3</v>
      </c>
      <c r="AX514" s="40" t="s">
        <v>825</v>
      </c>
      <c r="AY514" s="47"/>
      <c r="AZ514" s="47"/>
      <c r="BA514" s="47">
        <v>1</v>
      </c>
      <c r="BB514" s="49" t="s">
        <v>633</v>
      </c>
      <c r="BC514" s="748"/>
      <c r="BD514" s="54"/>
      <c r="BE514" s="748"/>
      <c r="BF514" s="748"/>
      <c r="BG514" s="748"/>
      <c r="BH514" s="54"/>
      <c r="BI514" s="748"/>
      <c r="BJ514" s="54"/>
      <c r="BK514" s="748"/>
      <c r="BL514" s="748"/>
      <c r="BM514" s="748"/>
      <c r="BN514" s="54"/>
      <c r="BO514" s="748"/>
      <c r="BP514" s="54"/>
      <c r="BQ514" s="748"/>
      <c r="BR514" s="748"/>
      <c r="BS514" s="748"/>
      <c r="BT514" s="54"/>
      <c r="BU514" s="748"/>
      <c r="BV514" s="54"/>
      <c r="BW514" s="748"/>
      <c r="BX514" s="748"/>
      <c r="BY514" s="748"/>
      <c r="BZ514" s="54"/>
      <c r="CA514" s="748"/>
      <c r="CB514" s="54"/>
      <c r="CC514" s="748"/>
      <c r="CD514" s="748"/>
      <c r="CE514" s="748"/>
      <c r="CF514" s="748"/>
    </row>
    <row r="515" spans="1:84" x14ac:dyDescent="0.5">
      <c r="A515" s="259">
        <v>19036151</v>
      </c>
      <c r="B515" s="104">
        <v>19030242</v>
      </c>
      <c r="C515" s="105" t="s">
        <v>1412</v>
      </c>
      <c r="D515" s="106" t="s">
        <v>1323</v>
      </c>
      <c r="E515" s="302">
        <v>43553</v>
      </c>
      <c r="F515" s="936" t="s">
        <v>1324</v>
      </c>
      <c r="G515" s="937" t="s">
        <v>1409</v>
      </c>
      <c r="H515" s="211">
        <v>43544</v>
      </c>
      <c r="I515" s="164">
        <v>19095</v>
      </c>
      <c r="J515" s="970" t="s">
        <v>869</v>
      </c>
      <c r="K515" s="965">
        <v>43545</v>
      </c>
      <c r="L515" s="104" t="s">
        <v>1346</v>
      </c>
      <c r="M515" s="110" t="s">
        <v>1775</v>
      </c>
      <c r="N515" s="104" t="s">
        <v>52</v>
      </c>
      <c r="O515" s="111">
        <v>172000</v>
      </c>
      <c r="P515" s="111">
        <f t="shared" si="131"/>
        <v>12040</v>
      </c>
      <c r="Q515" s="111">
        <f t="shared" si="132"/>
        <v>184040</v>
      </c>
      <c r="R515" s="212"/>
      <c r="S515" s="113" t="s">
        <v>2696</v>
      </c>
      <c r="T515" s="114">
        <f>O515</f>
        <v>172000</v>
      </c>
      <c r="U515" s="115">
        <v>5</v>
      </c>
      <c r="V515" s="116">
        <f>T515*U515/100</f>
        <v>8600</v>
      </c>
      <c r="W515" s="117">
        <f>T515-V515</f>
        <v>163400</v>
      </c>
      <c r="X515" s="118">
        <v>0.23</v>
      </c>
      <c r="Y515" s="118">
        <f>W515*X515/100</f>
        <v>375.82</v>
      </c>
      <c r="Z515" s="119">
        <v>0.2</v>
      </c>
      <c r="AA515" s="120">
        <f>W515*Z515/100</f>
        <v>326.8</v>
      </c>
      <c r="AB515" s="123">
        <v>19030091</v>
      </c>
      <c r="AC515" s="124">
        <v>172000</v>
      </c>
      <c r="AD515" s="125">
        <f>AC515*7/100</f>
        <v>12040</v>
      </c>
      <c r="AE515" s="125">
        <f>AC515+AD515</f>
        <v>184040</v>
      </c>
      <c r="AF515" s="126">
        <v>43542</v>
      </c>
      <c r="AG515" s="127" t="s">
        <v>869</v>
      </c>
      <c r="AH515" s="127"/>
      <c r="AI515" s="127"/>
      <c r="AJ515" s="103" t="s">
        <v>1851</v>
      </c>
      <c r="AK515" s="128">
        <v>1</v>
      </c>
      <c r="AL515" s="129" t="s">
        <v>593</v>
      </c>
      <c r="AM515" s="130"/>
      <c r="AN515" s="130" t="s">
        <v>869</v>
      </c>
      <c r="AO515" s="131">
        <v>8</v>
      </c>
      <c r="AP515" s="132" t="s">
        <v>634</v>
      </c>
      <c r="AQ515" s="128"/>
      <c r="AR515" s="133"/>
      <c r="AS515" s="128"/>
      <c r="AT515" s="128"/>
      <c r="AU515" s="128"/>
      <c r="AV515" s="133"/>
      <c r="AW515" s="128"/>
      <c r="AX515" s="133"/>
      <c r="AY515" s="128"/>
      <c r="AZ515" s="128"/>
      <c r="BA515" s="128"/>
      <c r="BB515" s="133"/>
      <c r="BC515" s="128"/>
      <c r="BD515" s="133"/>
      <c r="BE515" s="128"/>
      <c r="BF515" s="128"/>
      <c r="BG515" s="128"/>
      <c r="BH515" s="133"/>
      <c r="BI515" s="128"/>
      <c r="BJ515" s="133"/>
      <c r="BK515" s="128"/>
      <c r="BL515" s="128"/>
      <c r="BM515" s="128"/>
      <c r="BN515" s="133"/>
      <c r="BO515" s="128"/>
      <c r="BP515" s="133"/>
      <c r="BQ515" s="128"/>
      <c r="BR515" s="128"/>
      <c r="BS515" s="128"/>
      <c r="BT515" s="133"/>
      <c r="BU515" s="128"/>
      <c r="BV515" s="133"/>
      <c r="BW515" s="128"/>
      <c r="BX515" s="128"/>
      <c r="BY515" s="128"/>
      <c r="BZ515" s="133"/>
      <c r="CA515" s="128"/>
      <c r="CB515" s="133"/>
      <c r="CC515" s="128"/>
      <c r="CD515" s="128"/>
      <c r="CE515" s="128"/>
      <c r="CF515" s="128"/>
    </row>
    <row r="516" spans="1:84" x14ac:dyDescent="0.5">
      <c r="A516" s="262"/>
      <c r="B516" s="135"/>
      <c r="C516" s="136"/>
      <c r="D516" s="137"/>
      <c r="E516" s="906"/>
      <c r="F516" s="940"/>
      <c r="G516" s="941"/>
      <c r="H516" s="170">
        <v>43544</v>
      </c>
      <c r="I516" s="251">
        <v>19096</v>
      </c>
      <c r="J516" s="963"/>
      <c r="K516" s="971">
        <v>43547</v>
      </c>
      <c r="L516" s="135"/>
      <c r="M516" s="141"/>
      <c r="N516" s="135"/>
      <c r="O516" s="142"/>
      <c r="P516" s="142"/>
      <c r="Q516" s="142"/>
      <c r="R516" s="213"/>
      <c r="S516" s="144"/>
      <c r="T516" s="145"/>
      <c r="U516" s="146"/>
      <c r="V516" s="147"/>
      <c r="W516" s="148"/>
      <c r="X516" s="149"/>
      <c r="Y516" s="149"/>
      <c r="Z516" s="150"/>
      <c r="AA516" s="151"/>
      <c r="AB516" s="154"/>
      <c r="AC516" s="155"/>
      <c r="AD516" s="156"/>
      <c r="AE516" s="156"/>
      <c r="AF516" s="157"/>
      <c r="AG516" s="152"/>
      <c r="AH516" s="152"/>
      <c r="AI516" s="152"/>
      <c r="AJ516" s="134"/>
      <c r="AK516" s="158"/>
      <c r="AL516" s="159"/>
      <c r="AM516" s="160"/>
      <c r="AN516" s="160"/>
      <c r="AO516" s="161"/>
      <c r="AP516" s="162"/>
      <c r="AQ516" s="158"/>
      <c r="AR516" s="163"/>
      <c r="AS516" s="158"/>
      <c r="AT516" s="158"/>
      <c r="AU516" s="158"/>
      <c r="AV516" s="163"/>
      <c r="AW516" s="158"/>
      <c r="AX516" s="163"/>
      <c r="AY516" s="158"/>
      <c r="AZ516" s="158"/>
      <c r="BA516" s="158"/>
      <c r="BB516" s="163"/>
      <c r="BC516" s="158"/>
      <c r="BD516" s="163"/>
      <c r="BE516" s="158"/>
      <c r="BF516" s="158"/>
      <c r="BG516" s="158"/>
      <c r="BH516" s="163"/>
      <c r="BI516" s="158"/>
      <c r="BJ516" s="163"/>
      <c r="BK516" s="158"/>
      <c r="BL516" s="158"/>
      <c r="BM516" s="158"/>
      <c r="BN516" s="163"/>
      <c r="BO516" s="158"/>
      <c r="BP516" s="163"/>
      <c r="BQ516" s="158"/>
      <c r="BR516" s="158"/>
      <c r="BS516" s="158"/>
      <c r="BT516" s="163"/>
      <c r="BU516" s="158"/>
      <c r="BV516" s="163"/>
      <c r="BW516" s="158"/>
      <c r="BX516" s="158"/>
      <c r="BY516" s="158"/>
      <c r="BZ516" s="163"/>
      <c r="CA516" s="158"/>
      <c r="CB516" s="163"/>
      <c r="CC516" s="158"/>
      <c r="CD516" s="158"/>
      <c r="CE516" s="158"/>
      <c r="CF516" s="158"/>
    </row>
    <row r="517" spans="1:84" x14ac:dyDescent="0.5">
      <c r="A517" s="262"/>
      <c r="B517" s="135"/>
      <c r="C517" s="136"/>
      <c r="D517" s="137"/>
      <c r="E517" s="906"/>
      <c r="F517" s="940"/>
      <c r="G517" s="941"/>
      <c r="H517" s="170">
        <v>43544</v>
      </c>
      <c r="I517" s="251">
        <v>19097</v>
      </c>
      <c r="J517" s="963"/>
      <c r="K517" s="964"/>
      <c r="L517" s="135"/>
      <c r="M517" s="141"/>
      <c r="N517" s="135"/>
      <c r="O517" s="142"/>
      <c r="P517" s="142"/>
      <c r="Q517" s="142"/>
      <c r="R517" s="213"/>
      <c r="S517" s="144"/>
      <c r="T517" s="145"/>
      <c r="U517" s="146"/>
      <c r="V517" s="147"/>
      <c r="W517" s="148"/>
      <c r="X517" s="149"/>
      <c r="Y517" s="149"/>
      <c r="Z517" s="150"/>
      <c r="AA517" s="151"/>
      <c r="AB517" s="154"/>
      <c r="AC517" s="155"/>
      <c r="AD517" s="156"/>
      <c r="AE517" s="156"/>
      <c r="AF517" s="157"/>
      <c r="AG517" s="152"/>
      <c r="AH517" s="152"/>
      <c r="AI517" s="152"/>
      <c r="AJ517" s="134"/>
      <c r="AK517" s="158"/>
      <c r="AL517" s="159"/>
      <c r="AM517" s="160"/>
      <c r="AN517" s="160"/>
      <c r="AO517" s="161"/>
      <c r="AP517" s="162"/>
      <c r="AQ517" s="158"/>
      <c r="AR517" s="163"/>
      <c r="AS517" s="158"/>
      <c r="AT517" s="158"/>
      <c r="AU517" s="158"/>
      <c r="AV517" s="163"/>
      <c r="AW517" s="158"/>
      <c r="AX517" s="163"/>
      <c r="AY517" s="158"/>
      <c r="AZ517" s="158"/>
      <c r="BA517" s="158"/>
      <c r="BB517" s="163"/>
      <c r="BC517" s="158"/>
      <c r="BD517" s="163"/>
      <c r="BE517" s="158"/>
      <c r="BF517" s="158"/>
      <c r="BG517" s="158"/>
      <c r="BH517" s="163"/>
      <c r="BI517" s="158"/>
      <c r="BJ517" s="163"/>
      <c r="BK517" s="158"/>
      <c r="BL517" s="158"/>
      <c r="BM517" s="158"/>
      <c r="BN517" s="163"/>
      <c r="BO517" s="158"/>
      <c r="BP517" s="163"/>
      <c r="BQ517" s="158"/>
      <c r="BR517" s="158"/>
      <c r="BS517" s="158"/>
      <c r="BT517" s="163"/>
      <c r="BU517" s="158"/>
      <c r="BV517" s="163"/>
      <c r="BW517" s="158"/>
      <c r="BX517" s="158"/>
      <c r="BY517" s="158"/>
      <c r="BZ517" s="163"/>
      <c r="CA517" s="158"/>
      <c r="CB517" s="163"/>
      <c r="CC517" s="158"/>
      <c r="CD517" s="158"/>
      <c r="CE517" s="158"/>
      <c r="CF517" s="158"/>
    </row>
    <row r="518" spans="1:84" x14ac:dyDescent="0.5">
      <c r="A518" s="268"/>
      <c r="B518" s="181"/>
      <c r="C518" s="182"/>
      <c r="D518" s="183"/>
      <c r="E518" s="749"/>
      <c r="F518" s="938"/>
      <c r="G518" s="939"/>
      <c r="H518" s="186">
        <v>43544</v>
      </c>
      <c r="I518" s="187">
        <v>19098</v>
      </c>
      <c r="J518" s="961"/>
      <c r="K518" s="966"/>
      <c r="L518" s="181"/>
      <c r="M518" s="188"/>
      <c r="N518" s="181"/>
      <c r="O518" s="189"/>
      <c r="P518" s="189"/>
      <c r="Q518" s="189"/>
      <c r="R518" s="214"/>
      <c r="S518" s="215"/>
      <c r="T518" s="216"/>
      <c r="U518" s="217"/>
      <c r="V518" s="218"/>
      <c r="W518" s="195"/>
      <c r="X518" s="196"/>
      <c r="Y518" s="196"/>
      <c r="Z518" s="197"/>
      <c r="AA518" s="198"/>
      <c r="AB518" s="200"/>
      <c r="AC518" s="201"/>
      <c r="AD518" s="202"/>
      <c r="AE518" s="202"/>
      <c r="AF518" s="203"/>
      <c r="AG518" s="199"/>
      <c r="AH518" s="199"/>
      <c r="AI518" s="199"/>
      <c r="AJ518" s="180"/>
      <c r="AK518" s="204"/>
      <c r="AL518" s="205"/>
      <c r="AM518" s="206"/>
      <c r="AN518" s="206"/>
      <c r="AO518" s="207"/>
      <c r="AP518" s="208"/>
      <c r="AQ518" s="204"/>
      <c r="AR518" s="210"/>
      <c r="AS518" s="204"/>
      <c r="AT518" s="204"/>
      <c r="AU518" s="204"/>
      <c r="AV518" s="210"/>
      <c r="AW518" s="204"/>
      <c r="AX518" s="210"/>
      <c r="AY518" s="204"/>
      <c r="AZ518" s="204"/>
      <c r="BA518" s="204"/>
      <c r="BB518" s="210"/>
      <c r="BC518" s="204"/>
      <c r="BD518" s="210"/>
      <c r="BE518" s="204"/>
      <c r="BF518" s="204"/>
      <c r="BG518" s="204"/>
      <c r="BH518" s="210"/>
      <c r="BI518" s="204"/>
      <c r="BJ518" s="210"/>
      <c r="BK518" s="204"/>
      <c r="BL518" s="204"/>
      <c r="BM518" s="204"/>
      <c r="BN518" s="210"/>
      <c r="BO518" s="204"/>
      <c r="BP518" s="210"/>
      <c r="BQ518" s="204"/>
      <c r="BR518" s="204"/>
      <c r="BS518" s="204"/>
      <c r="BT518" s="210"/>
      <c r="BU518" s="204"/>
      <c r="BV518" s="210"/>
      <c r="BW518" s="204"/>
      <c r="BX518" s="204"/>
      <c r="BY518" s="204"/>
      <c r="BZ518" s="210"/>
      <c r="CA518" s="204"/>
      <c r="CB518" s="210"/>
      <c r="CC518" s="204"/>
      <c r="CD518" s="204"/>
      <c r="CE518" s="204"/>
      <c r="CF518" s="204"/>
    </row>
    <row r="519" spans="1:84" x14ac:dyDescent="0.5">
      <c r="A519" s="259">
        <v>19036150</v>
      </c>
      <c r="B519" s="104">
        <v>19030221</v>
      </c>
      <c r="C519" s="105" t="s">
        <v>1414</v>
      </c>
      <c r="D519" s="106" t="s">
        <v>1323</v>
      </c>
      <c r="E519" s="302">
        <v>43585</v>
      </c>
      <c r="F519" s="936" t="s">
        <v>1324</v>
      </c>
      <c r="G519" s="937" t="s">
        <v>1378</v>
      </c>
      <c r="H519" s="122">
        <v>43605</v>
      </c>
      <c r="I519" s="109">
        <v>19133</v>
      </c>
      <c r="J519" s="960" t="s">
        <v>869</v>
      </c>
      <c r="K519" s="965">
        <v>43606</v>
      </c>
      <c r="L519" s="104" t="s">
        <v>1771</v>
      </c>
      <c r="M519" s="110" t="s">
        <v>1772</v>
      </c>
      <c r="N519" s="104" t="s">
        <v>1523</v>
      </c>
      <c r="O519" s="111">
        <v>65385</v>
      </c>
      <c r="P519" s="111">
        <f t="shared" si="131"/>
        <v>4576.95</v>
      </c>
      <c r="Q519" s="111">
        <f t="shared" si="132"/>
        <v>69961.95</v>
      </c>
      <c r="R519" s="212"/>
      <c r="S519" s="113" t="s">
        <v>1779</v>
      </c>
      <c r="T519" s="114">
        <f>O519</f>
        <v>65385</v>
      </c>
      <c r="U519" s="115">
        <v>5</v>
      </c>
      <c r="V519" s="116">
        <f>T519*U519/100</f>
        <v>3269.25</v>
      </c>
      <c r="W519" s="117">
        <f>T519-V519</f>
        <v>62115.75</v>
      </c>
      <c r="X519" s="118">
        <v>0.32</v>
      </c>
      <c r="Y519" s="118">
        <f>W519*X519/100</f>
        <v>198.7704</v>
      </c>
      <c r="Z519" s="119">
        <v>0.2</v>
      </c>
      <c r="AA519" s="120">
        <f>W519*Z519/100</f>
        <v>124.23150000000001</v>
      </c>
      <c r="AB519" s="229">
        <v>19040143</v>
      </c>
      <c r="AC519" s="230">
        <v>19615</v>
      </c>
      <c r="AD519" s="233">
        <f t="shared" ref="AD519:AD524" si="133">AC519*7/100</f>
        <v>1373.05</v>
      </c>
      <c r="AE519" s="234">
        <f t="shared" ref="AE519:AE524" si="134">AC519+AD519</f>
        <v>20988.05</v>
      </c>
      <c r="AF519" s="221">
        <v>43582</v>
      </c>
      <c r="AG519" s="121" t="s">
        <v>869</v>
      </c>
      <c r="AH519" s="121"/>
      <c r="AI519" s="121"/>
      <c r="AJ519" s="222" t="s">
        <v>2173</v>
      </c>
      <c r="AK519" s="128">
        <v>1</v>
      </c>
      <c r="AL519" s="129" t="s">
        <v>829</v>
      </c>
      <c r="AM519" s="130"/>
      <c r="AN519" s="130" t="s">
        <v>869</v>
      </c>
      <c r="AO519" s="131">
        <v>1</v>
      </c>
      <c r="AP519" s="132" t="s">
        <v>634</v>
      </c>
      <c r="AQ519" s="128">
        <v>2</v>
      </c>
      <c r="AR519" s="123" t="s">
        <v>660</v>
      </c>
      <c r="AS519" s="131"/>
      <c r="AT519" s="131" t="s">
        <v>869</v>
      </c>
      <c r="AU519" s="131">
        <v>1</v>
      </c>
      <c r="AV519" s="169" t="s">
        <v>634</v>
      </c>
      <c r="AW519" s="128">
        <v>3</v>
      </c>
      <c r="AX519" s="123" t="s">
        <v>600</v>
      </c>
      <c r="AY519" s="131"/>
      <c r="AZ519" s="131" t="s">
        <v>869</v>
      </c>
      <c r="BA519" s="131">
        <v>1</v>
      </c>
      <c r="BB519" s="169" t="s">
        <v>636</v>
      </c>
      <c r="BC519" s="128"/>
      <c r="BD519" s="133"/>
      <c r="BE519" s="128"/>
      <c r="BF519" s="128"/>
      <c r="BG519" s="128"/>
      <c r="BH519" s="133"/>
      <c r="BI519" s="128"/>
      <c r="BJ519" s="133"/>
      <c r="BK519" s="128"/>
      <c r="BL519" s="128"/>
      <c r="BM519" s="128"/>
      <c r="BN519" s="133"/>
      <c r="BO519" s="128"/>
      <c r="BP519" s="133"/>
      <c r="BQ519" s="128"/>
      <c r="BR519" s="128"/>
      <c r="BS519" s="128"/>
      <c r="BT519" s="133"/>
      <c r="BU519" s="128"/>
      <c r="BV519" s="133"/>
      <c r="BW519" s="128"/>
      <c r="BX519" s="128"/>
      <c r="BY519" s="128"/>
      <c r="BZ519" s="133"/>
      <c r="CA519" s="128"/>
      <c r="CB519" s="133"/>
      <c r="CC519" s="128"/>
      <c r="CD519" s="128"/>
      <c r="CE519" s="128"/>
      <c r="CF519" s="128"/>
    </row>
    <row r="520" spans="1:84" x14ac:dyDescent="0.5">
      <c r="A520" s="268"/>
      <c r="B520" s="181"/>
      <c r="C520" s="182"/>
      <c r="D520" s="183"/>
      <c r="E520" s="749"/>
      <c r="F520" s="938"/>
      <c r="G520" s="939"/>
      <c r="H520" s="181"/>
      <c r="I520" s="187"/>
      <c r="J520" s="961"/>
      <c r="K520" s="200"/>
      <c r="L520" s="181"/>
      <c r="M520" s="188"/>
      <c r="N520" s="181"/>
      <c r="O520" s="189"/>
      <c r="P520" s="189"/>
      <c r="Q520" s="189"/>
      <c r="R520" s="214"/>
      <c r="S520" s="215"/>
      <c r="T520" s="216"/>
      <c r="U520" s="217"/>
      <c r="V520" s="218"/>
      <c r="W520" s="195"/>
      <c r="X520" s="196"/>
      <c r="Y520" s="196"/>
      <c r="Z520" s="197"/>
      <c r="AA520" s="198"/>
      <c r="AB520" s="200">
        <v>19050180</v>
      </c>
      <c r="AC520" s="201">
        <v>45769.5</v>
      </c>
      <c r="AD520" s="237">
        <f t="shared" si="133"/>
        <v>3203.8649999999998</v>
      </c>
      <c r="AE520" s="238">
        <f t="shared" si="134"/>
        <v>48973.364999999998</v>
      </c>
      <c r="AF520" s="203">
        <v>43599</v>
      </c>
      <c r="AG520" s="199" t="s">
        <v>869</v>
      </c>
      <c r="AH520" s="199"/>
      <c r="AI520" s="199"/>
      <c r="AJ520" s="843" t="s">
        <v>2371</v>
      </c>
      <c r="AK520" s="204"/>
      <c r="AL520" s="205"/>
      <c r="AM520" s="206"/>
      <c r="AN520" s="206"/>
      <c r="AO520" s="207"/>
      <c r="AP520" s="208"/>
      <c r="AQ520" s="204"/>
      <c r="AR520" s="200"/>
      <c r="AS520" s="207"/>
      <c r="AT520" s="207"/>
      <c r="AU520" s="207"/>
      <c r="AV520" s="209"/>
      <c r="AW520" s="204"/>
      <c r="AX520" s="200"/>
      <c r="AY520" s="207"/>
      <c r="AZ520" s="207"/>
      <c r="BA520" s="207"/>
      <c r="BB520" s="209"/>
      <c r="BC520" s="204"/>
      <c r="BD520" s="210"/>
      <c r="BE520" s="204"/>
      <c r="BF520" s="204"/>
      <c r="BG520" s="204"/>
      <c r="BH520" s="210"/>
      <c r="BI520" s="204"/>
      <c r="BJ520" s="210"/>
      <c r="BK520" s="204"/>
      <c r="BL520" s="204"/>
      <c r="BM520" s="204"/>
      <c r="BN520" s="210"/>
      <c r="BO520" s="204"/>
      <c r="BP520" s="210"/>
      <c r="BQ520" s="204"/>
      <c r="BR520" s="204"/>
      <c r="BS520" s="204"/>
      <c r="BT520" s="210"/>
      <c r="BU520" s="204"/>
      <c r="BV520" s="210"/>
      <c r="BW520" s="204"/>
      <c r="BX520" s="204"/>
      <c r="BY520" s="204"/>
      <c r="BZ520" s="210"/>
      <c r="CA520" s="204"/>
      <c r="CB520" s="210"/>
      <c r="CC520" s="204"/>
      <c r="CD520" s="204"/>
      <c r="CE520" s="204"/>
      <c r="CF520" s="204"/>
    </row>
    <row r="521" spans="1:84" x14ac:dyDescent="0.5">
      <c r="A521" s="227">
        <v>19036149</v>
      </c>
      <c r="B521" s="22">
        <v>19030222</v>
      </c>
      <c r="C521" s="55"/>
      <c r="D521" s="56"/>
      <c r="E521" s="910"/>
      <c r="F521" s="57"/>
      <c r="G521" s="58"/>
      <c r="H521" s="59"/>
      <c r="I521" s="60"/>
      <c r="J521" s="931" t="s">
        <v>869</v>
      </c>
      <c r="K521" s="957">
        <v>43532</v>
      </c>
      <c r="L521" s="22" t="s">
        <v>101</v>
      </c>
      <c r="M521" s="28" t="s">
        <v>1773</v>
      </c>
      <c r="N521" s="22" t="s">
        <v>1523</v>
      </c>
      <c r="O521" s="29">
        <v>2400</v>
      </c>
      <c r="P521" s="29">
        <f t="shared" si="131"/>
        <v>168</v>
      </c>
      <c r="Q521" s="29">
        <f t="shared" si="132"/>
        <v>2568</v>
      </c>
      <c r="R521" s="61"/>
      <c r="S521" s="96"/>
      <c r="T521" s="97"/>
      <c r="U521" s="98"/>
      <c r="V521" s="99"/>
      <c r="W521" s="35">
        <f>O521</f>
        <v>2400</v>
      </c>
      <c r="X521" s="36">
        <v>1</v>
      </c>
      <c r="Y521" s="36">
        <f>W521*X521/100</f>
        <v>24</v>
      </c>
      <c r="Z521" s="100"/>
      <c r="AA521" s="101"/>
      <c r="AB521" s="40">
        <v>19030085</v>
      </c>
      <c r="AC521" s="41">
        <v>2400</v>
      </c>
      <c r="AD521" s="52">
        <f t="shared" si="133"/>
        <v>168</v>
      </c>
      <c r="AE521" s="52">
        <f t="shared" si="134"/>
        <v>2568</v>
      </c>
      <c r="AF521" s="53">
        <v>43536</v>
      </c>
      <c r="AG521" s="39" t="s">
        <v>869</v>
      </c>
      <c r="AH521" s="39"/>
      <c r="AI521" s="39"/>
      <c r="AJ521" s="21" t="s">
        <v>1860</v>
      </c>
      <c r="AK521" s="44">
        <v>1</v>
      </c>
      <c r="AL521" s="45" t="s">
        <v>548</v>
      </c>
      <c r="AM521" s="46"/>
      <c r="AN521" s="46"/>
      <c r="AO521" s="47">
        <v>2</v>
      </c>
      <c r="AP521" s="48" t="s">
        <v>628</v>
      </c>
      <c r="AQ521" s="748"/>
      <c r="AR521" s="54"/>
      <c r="AS521" s="748"/>
      <c r="AT521" s="748"/>
      <c r="AU521" s="748"/>
      <c r="AV521" s="54"/>
      <c r="AW521" s="748"/>
      <c r="AX521" s="54"/>
      <c r="AY521" s="748"/>
      <c r="AZ521" s="748"/>
      <c r="BA521" s="748"/>
      <c r="BB521" s="54"/>
      <c r="BC521" s="748"/>
      <c r="BD521" s="54"/>
      <c r="BE521" s="748"/>
      <c r="BF521" s="748"/>
      <c r="BG521" s="748"/>
      <c r="BH521" s="54"/>
      <c r="BI521" s="748"/>
      <c r="BJ521" s="54"/>
      <c r="BK521" s="748"/>
      <c r="BL521" s="748"/>
      <c r="BM521" s="748"/>
      <c r="BN521" s="54"/>
      <c r="BO521" s="748"/>
      <c r="BP521" s="54"/>
      <c r="BQ521" s="748"/>
      <c r="BR521" s="748"/>
      <c r="BS521" s="748"/>
      <c r="BT521" s="54"/>
      <c r="BU521" s="748"/>
      <c r="BV521" s="54"/>
      <c r="BW521" s="748"/>
      <c r="BX521" s="748"/>
      <c r="BY521" s="748"/>
      <c r="BZ521" s="54"/>
      <c r="CA521" s="748"/>
      <c r="CB521" s="54"/>
      <c r="CC521" s="748"/>
      <c r="CD521" s="748"/>
      <c r="CE521" s="748"/>
      <c r="CF521" s="748"/>
    </row>
    <row r="522" spans="1:84" x14ac:dyDescent="0.5">
      <c r="A522" s="259">
        <v>19036148</v>
      </c>
      <c r="B522" s="104">
        <v>19030230</v>
      </c>
      <c r="C522" s="105" t="s">
        <v>1413</v>
      </c>
      <c r="D522" s="106" t="s">
        <v>1323</v>
      </c>
      <c r="E522" s="302">
        <v>43551</v>
      </c>
      <c r="F522" s="936" t="s">
        <v>1324</v>
      </c>
      <c r="G522" s="937" t="s">
        <v>1398</v>
      </c>
      <c r="H522" s="122">
        <v>43560</v>
      </c>
      <c r="I522" s="109">
        <v>19110</v>
      </c>
      <c r="J522" s="960" t="s">
        <v>869</v>
      </c>
      <c r="K522" s="965">
        <v>43560</v>
      </c>
      <c r="L522" s="104" t="s">
        <v>1766</v>
      </c>
      <c r="M522" s="110" t="s">
        <v>1774</v>
      </c>
      <c r="N522" s="104" t="s">
        <v>50</v>
      </c>
      <c r="O522" s="111">
        <v>204300</v>
      </c>
      <c r="P522" s="111">
        <f t="shared" si="131"/>
        <v>14301</v>
      </c>
      <c r="Q522" s="111">
        <f t="shared" si="132"/>
        <v>218601</v>
      </c>
      <c r="R522" s="212"/>
      <c r="S522" s="113" t="s">
        <v>1778</v>
      </c>
      <c r="T522" s="114">
        <f>O522</f>
        <v>204300</v>
      </c>
      <c r="U522" s="115">
        <v>5</v>
      </c>
      <c r="V522" s="116">
        <f>T522*U522/100</f>
        <v>10215</v>
      </c>
      <c r="W522" s="117">
        <f>T522-V522</f>
        <v>194085</v>
      </c>
      <c r="X522" s="118">
        <v>0.32</v>
      </c>
      <c r="Y522" s="118">
        <f>W522*X522/100</f>
        <v>621.072</v>
      </c>
      <c r="Z522" s="119">
        <v>0.2</v>
      </c>
      <c r="AA522" s="120">
        <f>W522*Z522/100</f>
        <v>388.17</v>
      </c>
      <c r="AB522" s="229">
        <v>19030086</v>
      </c>
      <c r="AC522" s="230">
        <v>40860</v>
      </c>
      <c r="AD522" s="220">
        <f t="shared" si="133"/>
        <v>2860.2</v>
      </c>
      <c r="AE522" s="220">
        <f t="shared" si="134"/>
        <v>43720.2</v>
      </c>
      <c r="AF522" s="221">
        <v>43537</v>
      </c>
      <c r="AG522" s="121" t="s">
        <v>869</v>
      </c>
      <c r="AH522" s="121"/>
      <c r="AI522" s="121"/>
      <c r="AJ522" s="222" t="s">
        <v>1911</v>
      </c>
      <c r="AK522" s="128">
        <v>1</v>
      </c>
      <c r="AL522" s="129" t="s">
        <v>793</v>
      </c>
      <c r="AM522" s="130"/>
      <c r="AN522" s="130" t="s">
        <v>869</v>
      </c>
      <c r="AO522" s="131">
        <v>5</v>
      </c>
      <c r="AP522" s="132" t="s">
        <v>634</v>
      </c>
      <c r="AQ522" s="128">
        <v>2</v>
      </c>
      <c r="AR522" s="123" t="s">
        <v>600</v>
      </c>
      <c r="AS522" s="131"/>
      <c r="AT522" s="131" t="s">
        <v>869</v>
      </c>
      <c r="AU522" s="131">
        <v>5</v>
      </c>
      <c r="AV522" s="169" t="s">
        <v>636</v>
      </c>
      <c r="AW522" s="128"/>
      <c r="AX522" s="133"/>
      <c r="AY522" s="128"/>
      <c r="AZ522" s="128"/>
      <c r="BA522" s="128"/>
      <c r="BB522" s="133"/>
      <c r="BC522" s="128"/>
      <c r="BD522" s="133"/>
      <c r="BE522" s="128"/>
      <c r="BF522" s="128"/>
      <c r="BG522" s="128"/>
      <c r="BH522" s="133"/>
      <c r="BI522" s="128"/>
      <c r="BJ522" s="133"/>
      <c r="BK522" s="128"/>
      <c r="BL522" s="128"/>
      <c r="BM522" s="128"/>
      <c r="BN522" s="133"/>
      <c r="BO522" s="128"/>
      <c r="BP522" s="133"/>
      <c r="BQ522" s="128"/>
      <c r="BR522" s="128"/>
      <c r="BS522" s="128"/>
      <c r="BT522" s="133"/>
      <c r="BU522" s="128"/>
      <c r="BV522" s="133"/>
      <c r="BW522" s="128"/>
      <c r="BX522" s="128"/>
      <c r="BY522" s="128"/>
      <c r="BZ522" s="133"/>
      <c r="CA522" s="128"/>
      <c r="CB522" s="133"/>
      <c r="CC522" s="128"/>
      <c r="CD522" s="128"/>
      <c r="CE522" s="128"/>
      <c r="CF522" s="128"/>
    </row>
    <row r="523" spans="1:84" x14ac:dyDescent="0.5">
      <c r="A523" s="262"/>
      <c r="B523" s="135"/>
      <c r="C523" s="136"/>
      <c r="D523" s="137"/>
      <c r="E523" s="906"/>
      <c r="F523" s="940"/>
      <c r="G523" s="941"/>
      <c r="H523" s="179"/>
      <c r="I523" s="140"/>
      <c r="J523" s="963"/>
      <c r="K523" s="964"/>
      <c r="L523" s="135"/>
      <c r="M523" s="141"/>
      <c r="N523" s="135"/>
      <c r="O523" s="142"/>
      <c r="P523" s="142"/>
      <c r="Q523" s="142"/>
      <c r="R523" s="213"/>
      <c r="S523" s="144"/>
      <c r="T523" s="145"/>
      <c r="U523" s="146"/>
      <c r="V523" s="147"/>
      <c r="W523" s="148"/>
      <c r="X523" s="149"/>
      <c r="Y523" s="149"/>
      <c r="Z523" s="150"/>
      <c r="AA523" s="151"/>
      <c r="AB523" s="154">
        <v>19040128</v>
      </c>
      <c r="AC523" s="155">
        <v>163440</v>
      </c>
      <c r="AD523" s="156">
        <f t="shared" si="133"/>
        <v>11440.8</v>
      </c>
      <c r="AE523" s="156">
        <f t="shared" si="134"/>
        <v>174880.8</v>
      </c>
      <c r="AF523" s="157">
        <v>43594</v>
      </c>
      <c r="AG523" s="152" t="s">
        <v>869</v>
      </c>
      <c r="AH523" s="152"/>
      <c r="AI523" s="152"/>
      <c r="AJ523" s="134" t="s">
        <v>2174</v>
      </c>
      <c r="AK523" s="158"/>
      <c r="AL523" s="159"/>
      <c r="AM523" s="160"/>
      <c r="AN523" s="160"/>
      <c r="AO523" s="161"/>
      <c r="AP523" s="162"/>
      <c r="AQ523" s="158"/>
      <c r="AR523" s="154"/>
      <c r="AS523" s="161"/>
      <c r="AT523" s="161"/>
      <c r="AU523" s="161"/>
      <c r="AV523" s="177"/>
      <c r="AW523" s="158"/>
      <c r="AX523" s="163"/>
      <c r="AY523" s="158"/>
      <c r="AZ523" s="158"/>
      <c r="BA523" s="158"/>
      <c r="BB523" s="163"/>
      <c r="BC523" s="158"/>
      <c r="BD523" s="163"/>
      <c r="BE523" s="158"/>
      <c r="BF523" s="158"/>
      <c r="BG523" s="158"/>
      <c r="BH523" s="163"/>
      <c r="BI523" s="158"/>
      <c r="BJ523" s="163"/>
      <c r="BK523" s="158"/>
      <c r="BL523" s="158"/>
      <c r="BM523" s="158"/>
      <c r="BN523" s="163"/>
      <c r="BO523" s="158"/>
      <c r="BP523" s="163"/>
      <c r="BQ523" s="158"/>
      <c r="BR523" s="158"/>
      <c r="BS523" s="158"/>
      <c r="BT523" s="163"/>
      <c r="BU523" s="158"/>
      <c r="BV523" s="163"/>
      <c r="BW523" s="158"/>
      <c r="BX523" s="158"/>
      <c r="BY523" s="158"/>
      <c r="BZ523" s="163"/>
      <c r="CA523" s="158"/>
      <c r="CB523" s="163"/>
      <c r="CC523" s="158"/>
      <c r="CD523" s="158"/>
      <c r="CE523" s="158"/>
      <c r="CF523" s="158"/>
    </row>
    <row r="524" spans="1:84" x14ac:dyDescent="0.5">
      <c r="A524" s="259">
        <v>19036147</v>
      </c>
      <c r="B524" s="104" t="s">
        <v>1725</v>
      </c>
      <c r="C524" s="105" t="s">
        <v>1415</v>
      </c>
      <c r="D524" s="106" t="s">
        <v>1323</v>
      </c>
      <c r="E524" s="302">
        <v>43539</v>
      </c>
      <c r="F524" s="936" t="s">
        <v>1324</v>
      </c>
      <c r="G524" s="937" t="s">
        <v>1407</v>
      </c>
      <c r="H524" s="122">
        <v>43544</v>
      </c>
      <c r="I524" s="109">
        <v>19093</v>
      </c>
      <c r="J524" s="960" t="s">
        <v>869</v>
      </c>
      <c r="K524" s="965">
        <v>43545</v>
      </c>
      <c r="L524" s="104" t="s">
        <v>72</v>
      </c>
      <c r="M524" s="110" t="s">
        <v>1726</v>
      </c>
      <c r="N524" s="104" t="s">
        <v>52</v>
      </c>
      <c r="O524" s="111">
        <v>144859.81</v>
      </c>
      <c r="P524" s="111">
        <f t="shared" ref="P524:P530" si="135">O524*7/100</f>
        <v>10140.186699999998</v>
      </c>
      <c r="Q524" s="111">
        <f t="shared" ref="Q524:Q530" si="136">O524+P524</f>
        <v>154999.99669999999</v>
      </c>
      <c r="R524" s="212"/>
      <c r="S524" s="113" t="s">
        <v>2696</v>
      </c>
      <c r="T524" s="114">
        <f>O524</f>
        <v>144859.81</v>
      </c>
      <c r="U524" s="115">
        <v>5</v>
      </c>
      <c r="V524" s="116">
        <f>T524*U524/100</f>
        <v>7242.9905000000008</v>
      </c>
      <c r="W524" s="117">
        <f>T524-V524</f>
        <v>137616.81949999998</v>
      </c>
      <c r="X524" s="118">
        <v>0.3</v>
      </c>
      <c r="Y524" s="118">
        <f>W524*X524/100</f>
        <v>412.85045849999995</v>
      </c>
      <c r="Z524" s="119">
        <v>0.2</v>
      </c>
      <c r="AA524" s="120">
        <f>W524*Z524/100</f>
        <v>275.23363899999998</v>
      </c>
      <c r="AB524" s="123">
        <v>19030101</v>
      </c>
      <c r="AC524" s="124">
        <v>144859.81</v>
      </c>
      <c r="AD524" s="125">
        <f t="shared" si="133"/>
        <v>10140.186699999998</v>
      </c>
      <c r="AE524" s="125">
        <f t="shared" si="134"/>
        <v>154999.99669999999</v>
      </c>
      <c r="AF524" s="126">
        <v>43551</v>
      </c>
      <c r="AG524" s="127" t="s">
        <v>869</v>
      </c>
      <c r="AH524" s="127"/>
      <c r="AI524" s="127"/>
      <c r="AJ524" s="103" t="s">
        <v>1852</v>
      </c>
      <c r="AK524" s="128">
        <v>1</v>
      </c>
      <c r="AL524" s="129" t="s">
        <v>594</v>
      </c>
      <c r="AM524" s="130"/>
      <c r="AN524" s="130" t="s">
        <v>869</v>
      </c>
      <c r="AO524" s="131">
        <v>5</v>
      </c>
      <c r="AP524" s="132" t="s">
        <v>634</v>
      </c>
      <c r="AQ524" s="128"/>
      <c r="AR524" s="133"/>
      <c r="AS524" s="128"/>
      <c r="AT524" s="128"/>
      <c r="AU524" s="128"/>
      <c r="AV524" s="133"/>
      <c r="AW524" s="128"/>
      <c r="AX524" s="133"/>
      <c r="AY524" s="128"/>
      <c r="AZ524" s="128"/>
      <c r="BA524" s="128"/>
      <c r="BB524" s="133"/>
      <c r="BC524" s="128"/>
      <c r="BD524" s="133"/>
      <c r="BE524" s="128"/>
      <c r="BF524" s="128"/>
      <c r="BG524" s="128"/>
      <c r="BH524" s="133"/>
      <c r="BI524" s="128"/>
      <c r="BJ524" s="133"/>
      <c r="BK524" s="128"/>
      <c r="BL524" s="128"/>
      <c r="BM524" s="128"/>
      <c r="BN524" s="133"/>
      <c r="BO524" s="128"/>
      <c r="BP524" s="133"/>
      <c r="BQ524" s="128"/>
      <c r="BR524" s="128"/>
      <c r="BS524" s="128"/>
      <c r="BT524" s="133"/>
      <c r="BU524" s="128"/>
      <c r="BV524" s="133"/>
      <c r="BW524" s="128"/>
      <c r="BX524" s="128"/>
      <c r="BY524" s="128"/>
      <c r="BZ524" s="133"/>
      <c r="CA524" s="128"/>
      <c r="CB524" s="133"/>
      <c r="CC524" s="128"/>
      <c r="CD524" s="128"/>
      <c r="CE524" s="128"/>
      <c r="CF524" s="128"/>
    </row>
    <row r="525" spans="1:84" x14ac:dyDescent="0.5">
      <c r="A525" s="268"/>
      <c r="B525" s="181"/>
      <c r="C525" s="182"/>
      <c r="D525" s="183"/>
      <c r="E525" s="749"/>
      <c r="F525" s="938"/>
      <c r="G525" s="939"/>
      <c r="H525" s="153">
        <v>43544</v>
      </c>
      <c r="I525" s="271">
        <v>19094</v>
      </c>
      <c r="J525" s="961"/>
      <c r="K525" s="966"/>
      <c r="L525" s="181"/>
      <c r="M525" s="188"/>
      <c r="N525" s="181"/>
      <c r="O525" s="189"/>
      <c r="P525" s="189"/>
      <c r="Q525" s="189"/>
      <c r="R525" s="214"/>
      <c r="S525" s="215"/>
      <c r="T525" s="216"/>
      <c r="U525" s="217"/>
      <c r="V525" s="218"/>
      <c r="W525" s="195"/>
      <c r="X525" s="196"/>
      <c r="Y525" s="196"/>
      <c r="Z525" s="197"/>
      <c r="AA525" s="198"/>
      <c r="AB525" s="200"/>
      <c r="AC525" s="201"/>
      <c r="AD525" s="202"/>
      <c r="AE525" s="202"/>
      <c r="AF525" s="203"/>
      <c r="AG525" s="199"/>
      <c r="AH525" s="199"/>
      <c r="AI525" s="199"/>
      <c r="AJ525" s="180"/>
      <c r="AK525" s="204"/>
      <c r="AL525" s="205"/>
      <c r="AM525" s="206"/>
      <c r="AN525" s="206"/>
      <c r="AO525" s="207"/>
      <c r="AP525" s="208"/>
      <c r="AQ525" s="204"/>
      <c r="AR525" s="210"/>
      <c r="AS525" s="204"/>
      <c r="AT525" s="204"/>
      <c r="AU525" s="204"/>
      <c r="AV525" s="210"/>
      <c r="AW525" s="204"/>
      <c r="AX525" s="210"/>
      <c r="AY525" s="204"/>
      <c r="AZ525" s="204"/>
      <c r="BA525" s="204"/>
      <c r="BB525" s="210"/>
      <c r="BC525" s="204"/>
      <c r="BD525" s="210"/>
      <c r="BE525" s="204"/>
      <c r="BF525" s="204"/>
      <c r="BG525" s="204"/>
      <c r="BH525" s="210"/>
      <c r="BI525" s="204"/>
      <c r="BJ525" s="210"/>
      <c r="BK525" s="204"/>
      <c r="BL525" s="204"/>
      <c r="BM525" s="204"/>
      <c r="BN525" s="210"/>
      <c r="BO525" s="204"/>
      <c r="BP525" s="210"/>
      <c r="BQ525" s="204"/>
      <c r="BR525" s="204"/>
      <c r="BS525" s="204"/>
      <c r="BT525" s="210"/>
      <c r="BU525" s="204"/>
      <c r="BV525" s="210"/>
      <c r="BW525" s="204"/>
      <c r="BX525" s="204"/>
      <c r="BY525" s="204"/>
      <c r="BZ525" s="210"/>
      <c r="CA525" s="204"/>
      <c r="CB525" s="210"/>
      <c r="CC525" s="204"/>
      <c r="CD525" s="204"/>
      <c r="CE525" s="204"/>
      <c r="CF525" s="204"/>
    </row>
    <row r="526" spans="1:84" x14ac:dyDescent="0.5">
      <c r="A526" s="227">
        <v>19036146</v>
      </c>
      <c r="B526" s="22">
        <v>19030226</v>
      </c>
      <c r="C526" s="55"/>
      <c r="D526" s="56"/>
      <c r="E526" s="910"/>
      <c r="F526" s="57"/>
      <c r="G526" s="58"/>
      <c r="H526" s="59"/>
      <c r="I526" s="60"/>
      <c r="J526" s="269"/>
      <c r="K526" s="59"/>
      <c r="L526" s="22" t="s">
        <v>1715</v>
      </c>
      <c r="M526" s="28" t="s">
        <v>1716</v>
      </c>
      <c r="N526" s="22" t="s">
        <v>51</v>
      </c>
      <c r="O526" s="29">
        <v>7200</v>
      </c>
      <c r="P526" s="29">
        <f t="shared" si="135"/>
        <v>504</v>
      </c>
      <c r="Q526" s="29">
        <f t="shared" si="136"/>
        <v>7704</v>
      </c>
      <c r="R526" s="61"/>
      <c r="S526" s="96"/>
      <c r="T526" s="97"/>
      <c r="U526" s="98"/>
      <c r="V526" s="99"/>
      <c r="W526" s="100"/>
      <c r="X526" s="99"/>
      <c r="Y526" s="99"/>
      <c r="Z526" s="100"/>
      <c r="AA526" s="101"/>
      <c r="AB526" s="40">
        <v>19030080</v>
      </c>
      <c r="AC526" s="41">
        <v>7200</v>
      </c>
      <c r="AD526" s="63">
        <f>AC526*7/100</f>
        <v>504</v>
      </c>
      <c r="AE526" s="64">
        <f>AC526+AD526</f>
        <v>7704</v>
      </c>
      <c r="AF526" s="53">
        <v>43563</v>
      </c>
      <c r="AG526" s="39" t="s">
        <v>869</v>
      </c>
      <c r="AH526" s="39"/>
      <c r="AI526" s="39"/>
      <c r="AJ526" s="21" t="s">
        <v>2236</v>
      </c>
      <c r="AK526" s="44">
        <v>1</v>
      </c>
      <c r="AL526" s="45" t="s">
        <v>1717</v>
      </c>
      <c r="AM526" s="46"/>
      <c r="AN526" s="46"/>
      <c r="AO526" s="47">
        <v>1</v>
      </c>
      <c r="AP526" s="48" t="s">
        <v>628</v>
      </c>
      <c r="AQ526" s="44">
        <v>2</v>
      </c>
      <c r="AR526" s="40" t="s">
        <v>1718</v>
      </c>
      <c r="AS526" s="47"/>
      <c r="AT526" s="47"/>
      <c r="AU526" s="47">
        <v>1</v>
      </c>
      <c r="AV526" s="49" t="s">
        <v>1719</v>
      </c>
      <c r="AW526" s="44"/>
      <c r="AX526" s="54"/>
      <c r="AY526" s="44"/>
      <c r="AZ526" s="44"/>
      <c r="BA526" s="44"/>
      <c r="BB526" s="54"/>
      <c r="BC526" s="44"/>
      <c r="BD526" s="54"/>
      <c r="BE526" s="44"/>
      <c r="BF526" s="44"/>
      <c r="BG526" s="44"/>
      <c r="BH526" s="54"/>
      <c r="BI526" s="44"/>
      <c r="BJ526" s="54"/>
      <c r="BK526" s="44"/>
      <c r="BL526" s="44"/>
      <c r="BM526" s="44"/>
      <c r="BN526" s="54"/>
      <c r="BO526" s="44"/>
      <c r="BP526" s="54"/>
      <c r="BQ526" s="44"/>
      <c r="BR526" s="44"/>
      <c r="BS526" s="44"/>
      <c r="BT526" s="54"/>
      <c r="BU526" s="44"/>
      <c r="BV526" s="54"/>
      <c r="BW526" s="44"/>
      <c r="BX526" s="44"/>
      <c r="BY526" s="44"/>
      <c r="BZ526" s="54"/>
      <c r="CA526" s="44"/>
      <c r="CB526" s="54"/>
      <c r="CC526" s="44"/>
      <c r="CD526" s="44"/>
      <c r="CE526" s="44"/>
      <c r="CF526" s="44"/>
    </row>
    <row r="527" spans="1:84" x14ac:dyDescent="0.5">
      <c r="A527" s="227">
        <v>19036145</v>
      </c>
      <c r="B527" s="22">
        <v>19030219</v>
      </c>
      <c r="C527" s="55"/>
      <c r="D527" s="56"/>
      <c r="E527" s="910"/>
      <c r="F527" s="57"/>
      <c r="G527" s="58"/>
      <c r="H527" s="59"/>
      <c r="I527" s="60"/>
      <c r="J527" s="269"/>
      <c r="K527" s="59"/>
      <c r="L527" s="22" t="s">
        <v>1698</v>
      </c>
      <c r="M527" s="28" t="s">
        <v>1720</v>
      </c>
      <c r="N527" s="22" t="s">
        <v>1700</v>
      </c>
      <c r="O527" s="29">
        <v>4400</v>
      </c>
      <c r="P527" s="29">
        <f t="shared" si="135"/>
        <v>308</v>
      </c>
      <c r="Q527" s="29">
        <f t="shared" si="136"/>
        <v>4708</v>
      </c>
      <c r="R527" s="61"/>
      <c r="S527" s="96"/>
      <c r="T527" s="97"/>
      <c r="U527" s="98"/>
      <c r="V527" s="99"/>
      <c r="W527" s="100"/>
      <c r="X527" s="99"/>
      <c r="Y527" s="99"/>
      <c r="Z527" s="100"/>
      <c r="AA527" s="101"/>
      <c r="AB527" s="40">
        <v>19030088</v>
      </c>
      <c r="AC527" s="41">
        <v>4400</v>
      </c>
      <c r="AD527" s="52">
        <f>AC527*7/100</f>
        <v>308</v>
      </c>
      <c r="AE527" s="52">
        <f>AC527+AD527</f>
        <v>4708</v>
      </c>
      <c r="AF527" s="53">
        <v>43568</v>
      </c>
      <c r="AG527" s="39" t="s">
        <v>869</v>
      </c>
      <c r="AH527" s="39"/>
      <c r="AI527" s="39"/>
      <c r="AJ527" s="21" t="s">
        <v>2164</v>
      </c>
      <c r="AK527" s="44">
        <v>1</v>
      </c>
      <c r="AL527" s="45" t="s">
        <v>404</v>
      </c>
      <c r="AM527" s="46"/>
      <c r="AN527" s="46"/>
      <c r="AO527" s="47">
        <v>1</v>
      </c>
      <c r="AP527" s="102"/>
      <c r="AQ527" s="44"/>
      <c r="AR527" s="54"/>
      <c r="AS527" s="44"/>
      <c r="AT527" s="44"/>
      <c r="AU527" s="44"/>
      <c r="AV527" s="54"/>
      <c r="AW527" s="44"/>
      <c r="AX527" s="54"/>
      <c r="AY527" s="44"/>
      <c r="AZ527" s="44"/>
      <c r="BA527" s="44"/>
      <c r="BB527" s="54"/>
      <c r="BC527" s="44"/>
      <c r="BD527" s="54"/>
      <c r="BE527" s="44"/>
      <c r="BF527" s="44"/>
      <c r="BG527" s="44"/>
      <c r="BH527" s="54"/>
      <c r="BI527" s="44"/>
      <c r="BJ527" s="54"/>
      <c r="BK527" s="44"/>
      <c r="BL527" s="44"/>
      <c r="BM527" s="44"/>
      <c r="BN527" s="54"/>
      <c r="BO527" s="44"/>
      <c r="BP527" s="54"/>
      <c r="BQ527" s="44"/>
      <c r="BR527" s="44"/>
      <c r="BS527" s="44"/>
      <c r="BT527" s="54"/>
      <c r="BU527" s="44"/>
      <c r="BV527" s="54"/>
      <c r="BW527" s="44"/>
      <c r="BX527" s="44"/>
      <c r="BY527" s="44"/>
      <c r="BZ527" s="54"/>
      <c r="CA527" s="44"/>
      <c r="CB527" s="54"/>
      <c r="CC527" s="44"/>
      <c r="CD527" s="44"/>
      <c r="CE527" s="44"/>
      <c r="CF527" s="44"/>
    </row>
    <row r="528" spans="1:84" x14ac:dyDescent="0.5">
      <c r="A528" s="227">
        <v>19036144</v>
      </c>
      <c r="B528" s="22">
        <v>19030217</v>
      </c>
      <c r="C528" s="55"/>
      <c r="D528" s="56"/>
      <c r="E528" s="910"/>
      <c r="F528" s="57"/>
      <c r="G528" s="58"/>
      <c r="H528" s="59"/>
      <c r="I528" s="60"/>
      <c r="J528" s="269"/>
      <c r="K528" s="59"/>
      <c r="L528" s="22" t="s">
        <v>212</v>
      </c>
      <c r="M528" s="28" t="s">
        <v>1721</v>
      </c>
      <c r="N528" s="22" t="s">
        <v>51</v>
      </c>
      <c r="O528" s="29">
        <v>26400</v>
      </c>
      <c r="P528" s="29">
        <f t="shared" si="135"/>
        <v>1848</v>
      </c>
      <c r="Q528" s="29">
        <f t="shared" si="136"/>
        <v>28248</v>
      </c>
      <c r="R528" s="61"/>
      <c r="S528" s="96"/>
      <c r="T528" s="97"/>
      <c r="U528" s="98"/>
      <c r="V528" s="99"/>
      <c r="W528" s="100"/>
      <c r="X528" s="99"/>
      <c r="Y528" s="99"/>
      <c r="Z528" s="100"/>
      <c r="AA528" s="101"/>
      <c r="AB528" s="40">
        <v>19050168</v>
      </c>
      <c r="AC528" s="41">
        <v>26400</v>
      </c>
      <c r="AD528" s="63">
        <f>AC528*7/100</f>
        <v>1848</v>
      </c>
      <c r="AE528" s="63">
        <f>AC528+AD528</f>
        <v>28248</v>
      </c>
      <c r="AF528" s="53">
        <v>43623</v>
      </c>
      <c r="AG528" s="39" t="s">
        <v>869</v>
      </c>
      <c r="AH528" s="39"/>
      <c r="AI528" s="39"/>
      <c r="AJ528" s="21" t="s">
        <v>2769</v>
      </c>
      <c r="AK528" s="44">
        <v>1</v>
      </c>
      <c r="AL528" s="45" t="s">
        <v>1722</v>
      </c>
      <c r="AM528" s="46"/>
      <c r="AN528" s="46"/>
      <c r="AO528" s="47">
        <v>1</v>
      </c>
      <c r="AP528" s="48" t="s">
        <v>628</v>
      </c>
      <c r="AQ528" s="44"/>
      <c r="AR528" s="54"/>
      <c r="AS528" s="44"/>
      <c r="AT528" s="44"/>
      <c r="AU528" s="44"/>
      <c r="AV528" s="54"/>
      <c r="AW528" s="44"/>
      <c r="AX528" s="54"/>
      <c r="AY528" s="44"/>
      <c r="AZ528" s="44"/>
      <c r="BA528" s="44"/>
      <c r="BB528" s="54"/>
      <c r="BC528" s="44"/>
      <c r="BD528" s="54"/>
      <c r="BE528" s="44"/>
      <c r="BF528" s="44"/>
      <c r="BG528" s="44"/>
      <c r="BH528" s="54"/>
      <c r="BI528" s="44"/>
      <c r="BJ528" s="54"/>
      <c r="BK528" s="44"/>
      <c r="BL528" s="44"/>
      <c r="BM528" s="44"/>
      <c r="BN528" s="54"/>
      <c r="BO528" s="44"/>
      <c r="BP528" s="54"/>
      <c r="BQ528" s="44"/>
      <c r="BR528" s="44"/>
      <c r="BS528" s="44"/>
      <c r="BT528" s="54"/>
      <c r="BU528" s="44"/>
      <c r="BV528" s="54"/>
      <c r="BW528" s="44"/>
      <c r="BX528" s="44"/>
      <c r="BY528" s="44"/>
      <c r="BZ528" s="54"/>
      <c r="CA528" s="44"/>
      <c r="CB528" s="54"/>
      <c r="CC528" s="44"/>
      <c r="CD528" s="44"/>
      <c r="CE528" s="44"/>
      <c r="CF528" s="44"/>
    </row>
    <row r="529" spans="1:84" x14ac:dyDescent="0.5">
      <c r="A529" s="227">
        <v>19036143</v>
      </c>
      <c r="B529" s="22">
        <v>19030216</v>
      </c>
      <c r="C529" s="55"/>
      <c r="D529" s="56"/>
      <c r="E529" s="910"/>
      <c r="F529" s="57"/>
      <c r="G529" s="58"/>
      <c r="H529" s="59"/>
      <c r="I529" s="60"/>
      <c r="J529" s="269"/>
      <c r="K529" s="59"/>
      <c r="L529" s="22" t="s">
        <v>1723</v>
      </c>
      <c r="M529" s="28" t="s">
        <v>1724</v>
      </c>
      <c r="N529" s="22" t="s">
        <v>51</v>
      </c>
      <c r="O529" s="29">
        <v>10000</v>
      </c>
      <c r="P529" s="29">
        <f t="shared" si="135"/>
        <v>700</v>
      </c>
      <c r="Q529" s="29">
        <f t="shared" si="136"/>
        <v>10700</v>
      </c>
      <c r="R529" s="61"/>
      <c r="S529" s="96"/>
      <c r="T529" s="97"/>
      <c r="U529" s="98"/>
      <c r="V529" s="99"/>
      <c r="W529" s="100"/>
      <c r="X529" s="99"/>
      <c r="Y529" s="99"/>
      <c r="Z529" s="100"/>
      <c r="AA529" s="101"/>
      <c r="AB529" s="40">
        <v>19030078</v>
      </c>
      <c r="AC529" s="41">
        <v>10000</v>
      </c>
      <c r="AD529" s="52">
        <f t="shared" ref="AD529:AD536" si="137">AC529*7/100</f>
        <v>700</v>
      </c>
      <c r="AE529" s="52">
        <f t="shared" ref="AE529:AE536" si="138">AC529+AD529</f>
        <v>10700</v>
      </c>
      <c r="AF529" s="53">
        <v>43563</v>
      </c>
      <c r="AG529" s="39" t="s">
        <v>869</v>
      </c>
      <c r="AH529" s="39"/>
      <c r="AI529" s="39"/>
      <c r="AJ529" s="21" t="s">
        <v>2038</v>
      </c>
      <c r="AK529" s="44">
        <v>1</v>
      </c>
      <c r="AL529" s="45" t="s">
        <v>1727</v>
      </c>
      <c r="AM529" s="46"/>
      <c r="AN529" s="46"/>
      <c r="AO529" s="47">
        <v>1</v>
      </c>
      <c r="AP529" s="48" t="s">
        <v>628</v>
      </c>
      <c r="AQ529" s="44">
        <v>2</v>
      </c>
      <c r="AR529" s="40" t="s">
        <v>1728</v>
      </c>
      <c r="AS529" s="47"/>
      <c r="AT529" s="47"/>
      <c r="AU529" s="47">
        <v>1</v>
      </c>
      <c r="AV529" s="49" t="s">
        <v>628</v>
      </c>
      <c r="AW529" s="658"/>
      <c r="AX529" s="54"/>
      <c r="AY529" s="658"/>
      <c r="AZ529" s="658"/>
      <c r="BA529" s="658"/>
      <c r="BB529" s="54"/>
      <c r="BC529" s="658"/>
      <c r="BD529" s="54"/>
      <c r="BE529" s="658"/>
      <c r="BF529" s="658"/>
      <c r="BG529" s="658"/>
      <c r="BH529" s="54"/>
      <c r="BI529" s="658"/>
      <c r="BJ529" s="54"/>
      <c r="BK529" s="658"/>
      <c r="BL529" s="658"/>
      <c r="BM529" s="658"/>
      <c r="BN529" s="54"/>
      <c r="BO529" s="658"/>
      <c r="BP529" s="54"/>
      <c r="BQ529" s="658"/>
      <c r="BR529" s="658"/>
      <c r="BS529" s="658"/>
      <c r="BT529" s="54"/>
      <c r="BU529" s="658"/>
      <c r="BV529" s="54"/>
      <c r="BW529" s="658"/>
      <c r="BX529" s="658"/>
      <c r="BY529" s="658"/>
      <c r="BZ529" s="54"/>
      <c r="CA529" s="658"/>
      <c r="CB529" s="54"/>
      <c r="CC529" s="658"/>
      <c r="CD529" s="658"/>
      <c r="CE529" s="658"/>
      <c r="CF529" s="658"/>
    </row>
    <row r="530" spans="1:84" x14ac:dyDescent="0.5">
      <c r="A530" s="259">
        <v>19036142</v>
      </c>
      <c r="B530" s="104">
        <v>19030214</v>
      </c>
      <c r="C530" s="105" t="s">
        <v>1416</v>
      </c>
      <c r="D530" s="106" t="s">
        <v>1323</v>
      </c>
      <c r="E530" s="302">
        <v>43531</v>
      </c>
      <c r="F530" s="936" t="s">
        <v>1324</v>
      </c>
      <c r="G530" s="937" t="s">
        <v>1415</v>
      </c>
      <c r="H530" s="122">
        <v>43530</v>
      </c>
      <c r="I530" s="109">
        <v>19080</v>
      </c>
      <c r="J530" s="960" t="s">
        <v>869</v>
      </c>
      <c r="K530" s="965">
        <v>43531</v>
      </c>
      <c r="L530" s="104" t="s">
        <v>1713</v>
      </c>
      <c r="M530" s="110" t="s">
        <v>1732</v>
      </c>
      <c r="N530" s="104" t="s">
        <v>50</v>
      </c>
      <c r="O530" s="111">
        <v>11000</v>
      </c>
      <c r="P530" s="111">
        <f t="shared" si="135"/>
        <v>770</v>
      </c>
      <c r="Q530" s="111">
        <f t="shared" si="136"/>
        <v>11770</v>
      </c>
      <c r="R530" s="212"/>
      <c r="S530" s="165"/>
      <c r="T530" s="166"/>
      <c r="U530" s="167"/>
      <c r="V530" s="168"/>
      <c r="W530" s="117">
        <f>O530</f>
        <v>11000</v>
      </c>
      <c r="X530" s="118">
        <v>0.25</v>
      </c>
      <c r="Y530" s="118">
        <f>W530*X530/100</f>
        <v>27.5</v>
      </c>
      <c r="Z530" s="119">
        <v>0.2</v>
      </c>
      <c r="AA530" s="120">
        <f>W530*Z530/100</f>
        <v>22</v>
      </c>
      <c r="AB530" s="123">
        <v>19030073</v>
      </c>
      <c r="AC530" s="230">
        <v>3300</v>
      </c>
      <c r="AD530" s="220">
        <f t="shared" si="137"/>
        <v>231</v>
      </c>
      <c r="AE530" s="220">
        <f t="shared" si="138"/>
        <v>3531</v>
      </c>
      <c r="AF530" s="221">
        <v>43529</v>
      </c>
      <c r="AG530" s="127" t="s">
        <v>869</v>
      </c>
      <c r="AH530" s="127"/>
      <c r="AI530" s="127"/>
      <c r="AJ530" s="103" t="s">
        <v>1871</v>
      </c>
      <c r="AK530" s="128">
        <v>1</v>
      </c>
      <c r="AL530" s="129" t="s">
        <v>801</v>
      </c>
      <c r="AM530" s="130"/>
      <c r="AN530" s="130" t="s">
        <v>869</v>
      </c>
      <c r="AO530" s="131">
        <v>1</v>
      </c>
      <c r="AP530" s="132" t="s">
        <v>634</v>
      </c>
      <c r="AQ530" s="128"/>
      <c r="AR530" s="133"/>
      <c r="AS530" s="128"/>
      <c r="AT530" s="128"/>
      <c r="AU530" s="128"/>
      <c r="AV530" s="133"/>
      <c r="AW530" s="128"/>
      <c r="AX530" s="133"/>
      <c r="AY530" s="128"/>
      <c r="AZ530" s="128"/>
      <c r="BA530" s="128"/>
      <c r="BB530" s="133"/>
      <c r="BC530" s="128"/>
      <c r="BD530" s="133"/>
      <c r="BE530" s="128"/>
      <c r="BF530" s="128"/>
      <c r="BG530" s="128"/>
      <c r="BH530" s="133"/>
      <c r="BI530" s="128"/>
      <c r="BJ530" s="133"/>
      <c r="BK530" s="128"/>
      <c r="BL530" s="128"/>
      <c r="BM530" s="128"/>
      <c r="BN530" s="133"/>
      <c r="BO530" s="128"/>
      <c r="BP530" s="133"/>
      <c r="BQ530" s="128"/>
      <c r="BR530" s="128"/>
      <c r="BS530" s="128"/>
      <c r="BT530" s="133"/>
      <c r="BU530" s="128"/>
      <c r="BV530" s="133"/>
      <c r="BW530" s="128"/>
      <c r="BX530" s="128"/>
      <c r="BY530" s="128"/>
      <c r="BZ530" s="133"/>
      <c r="CA530" s="128"/>
      <c r="CB530" s="133"/>
      <c r="CC530" s="128"/>
      <c r="CD530" s="128"/>
      <c r="CE530" s="128"/>
      <c r="CF530" s="128"/>
    </row>
    <row r="531" spans="1:84" x14ac:dyDescent="0.5">
      <c r="A531" s="268"/>
      <c r="B531" s="181"/>
      <c r="C531" s="182"/>
      <c r="D531" s="183"/>
      <c r="E531" s="749"/>
      <c r="F531" s="938"/>
      <c r="G531" s="939"/>
      <c r="H531" s="181"/>
      <c r="I531" s="187"/>
      <c r="J531" s="961"/>
      <c r="K531" s="966"/>
      <c r="L531" s="181"/>
      <c r="M531" s="188"/>
      <c r="N531" s="181"/>
      <c r="O531" s="189"/>
      <c r="P531" s="189"/>
      <c r="Q531" s="189"/>
      <c r="R531" s="214"/>
      <c r="S531" s="191"/>
      <c r="T531" s="192"/>
      <c r="U531" s="193"/>
      <c r="V531" s="194"/>
      <c r="W531" s="195"/>
      <c r="X531" s="196"/>
      <c r="Y531" s="196"/>
      <c r="Z531" s="197"/>
      <c r="AA531" s="198"/>
      <c r="AB531" s="223">
        <v>19030074</v>
      </c>
      <c r="AC531" s="201">
        <v>7700</v>
      </c>
      <c r="AD531" s="202">
        <f t="shared" si="137"/>
        <v>539</v>
      </c>
      <c r="AE531" s="202">
        <f t="shared" si="138"/>
        <v>8239</v>
      </c>
      <c r="AF531" s="203">
        <v>43529</v>
      </c>
      <c r="AG531" s="199" t="s">
        <v>869</v>
      </c>
      <c r="AH531" s="199"/>
      <c r="AI531" s="199"/>
      <c r="AJ531" s="180" t="s">
        <v>1871</v>
      </c>
      <c r="AK531" s="204"/>
      <c r="AL531" s="205"/>
      <c r="AM531" s="206"/>
      <c r="AN531" s="206"/>
      <c r="AO531" s="207"/>
      <c r="AP531" s="208"/>
      <c r="AQ531" s="204"/>
      <c r="AR531" s="210"/>
      <c r="AS531" s="204"/>
      <c r="AT531" s="204"/>
      <c r="AU531" s="204"/>
      <c r="AV531" s="210"/>
      <c r="AW531" s="204"/>
      <c r="AX531" s="210"/>
      <c r="AY531" s="204"/>
      <c r="AZ531" s="204"/>
      <c r="BA531" s="204"/>
      <c r="BB531" s="210"/>
      <c r="BC531" s="204"/>
      <c r="BD531" s="210"/>
      <c r="BE531" s="204"/>
      <c r="BF531" s="204"/>
      <c r="BG531" s="204"/>
      <c r="BH531" s="210"/>
      <c r="BI531" s="204"/>
      <c r="BJ531" s="210"/>
      <c r="BK531" s="204"/>
      <c r="BL531" s="204"/>
      <c r="BM531" s="204"/>
      <c r="BN531" s="210"/>
      <c r="BO531" s="204"/>
      <c r="BP531" s="210"/>
      <c r="BQ531" s="204"/>
      <c r="BR531" s="204"/>
      <c r="BS531" s="204"/>
      <c r="BT531" s="210"/>
      <c r="BU531" s="204"/>
      <c r="BV531" s="210"/>
      <c r="BW531" s="204"/>
      <c r="BX531" s="204"/>
      <c r="BY531" s="204"/>
      <c r="BZ531" s="210"/>
      <c r="CA531" s="204"/>
      <c r="CB531" s="210"/>
      <c r="CC531" s="204"/>
      <c r="CD531" s="204"/>
      <c r="CE531" s="204"/>
      <c r="CF531" s="204"/>
    </row>
    <row r="532" spans="1:84" x14ac:dyDescent="0.5">
      <c r="A532" s="227">
        <v>19036141</v>
      </c>
      <c r="B532" s="22">
        <v>19030213</v>
      </c>
      <c r="C532" s="55"/>
      <c r="D532" s="56"/>
      <c r="E532" s="910"/>
      <c r="F532" s="57"/>
      <c r="G532" s="58"/>
      <c r="H532" s="59"/>
      <c r="I532" s="60"/>
      <c r="J532" s="269"/>
      <c r="K532" s="59"/>
      <c r="L532" s="22" t="s">
        <v>246</v>
      </c>
      <c r="M532" s="28" t="s">
        <v>1729</v>
      </c>
      <c r="N532" s="22" t="s">
        <v>51</v>
      </c>
      <c r="O532" s="29">
        <v>11400</v>
      </c>
      <c r="P532" s="710">
        <f>O532*7/100</f>
        <v>798</v>
      </c>
      <c r="Q532" s="29">
        <f>O532+P532</f>
        <v>12198</v>
      </c>
      <c r="R532" s="61"/>
      <c r="S532" s="96"/>
      <c r="T532" s="97"/>
      <c r="U532" s="98"/>
      <c r="V532" s="99"/>
      <c r="W532" s="100"/>
      <c r="X532" s="99"/>
      <c r="Y532" s="99"/>
      <c r="Z532" s="100"/>
      <c r="AA532" s="101"/>
      <c r="AB532" s="40">
        <v>19030075</v>
      </c>
      <c r="AC532" s="41">
        <v>11400</v>
      </c>
      <c r="AD532" s="52">
        <f t="shared" si="137"/>
        <v>798</v>
      </c>
      <c r="AE532" s="52">
        <f t="shared" si="138"/>
        <v>12198</v>
      </c>
      <c r="AF532" s="53">
        <v>43560</v>
      </c>
      <c r="AG532" s="39" t="s">
        <v>869</v>
      </c>
      <c r="AH532" s="39"/>
      <c r="AI532" s="39"/>
      <c r="AJ532" s="21" t="s">
        <v>2238</v>
      </c>
      <c r="AK532" s="44">
        <v>1</v>
      </c>
      <c r="AL532" s="45" t="s">
        <v>1730</v>
      </c>
      <c r="AM532" s="46"/>
      <c r="AN532" s="46"/>
      <c r="AO532" s="47">
        <v>1</v>
      </c>
      <c r="AP532" s="48" t="s">
        <v>628</v>
      </c>
      <c r="AQ532" s="44">
        <v>2</v>
      </c>
      <c r="AR532" s="40" t="s">
        <v>1731</v>
      </c>
      <c r="AS532" s="47"/>
      <c r="AT532" s="47"/>
      <c r="AU532" s="47">
        <v>1</v>
      </c>
      <c r="AV532" s="49" t="s">
        <v>628</v>
      </c>
      <c r="AW532" s="658"/>
      <c r="AX532" s="54"/>
      <c r="AY532" s="658"/>
      <c r="AZ532" s="658"/>
      <c r="BA532" s="658"/>
      <c r="BB532" s="54"/>
      <c r="BC532" s="658"/>
      <c r="BD532" s="54"/>
      <c r="BE532" s="658"/>
      <c r="BF532" s="658"/>
      <c r="BG532" s="658"/>
      <c r="BH532" s="54"/>
      <c r="BI532" s="658"/>
      <c r="BJ532" s="54"/>
      <c r="BK532" s="658"/>
      <c r="BL532" s="658"/>
      <c r="BM532" s="658"/>
      <c r="BN532" s="54"/>
      <c r="BO532" s="658"/>
      <c r="BP532" s="54"/>
      <c r="BQ532" s="658"/>
      <c r="BR532" s="658"/>
      <c r="BS532" s="658"/>
      <c r="BT532" s="54"/>
      <c r="BU532" s="658"/>
      <c r="BV532" s="54"/>
      <c r="BW532" s="658"/>
      <c r="BX532" s="658"/>
      <c r="BY532" s="658"/>
      <c r="BZ532" s="54"/>
      <c r="CA532" s="658"/>
      <c r="CB532" s="54"/>
      <c r="CC532" s="658"/>
      <c r="CD532" s="658"/>
      <c r="CE532" s="658"/>
      <c r="CF532" s="658"/>
    </row>
    <row r="533" spans="1:84" x14ac:dyDescent="0.5">
      <c r="A533" s="227" t="s">
        <v>1913</v>
      </c>
      <c r="B533" s="22">
        <v>19020185</v>
      </c>
      <c r="C533" s="55"/>
      <c r="D533" s="56"/>
      <c r="E533" s="910"/>
      <c r="F533" s="57"/>
      <c r="G533" s="58"/>
      <c r="H533" s="59"/>
      <c r="I533" s="60"/>
      <c r="J533" s="269"/>
      <c r="K533" s="59"/>
      <c r="L533" s="22" t="s">
        <v>1914</v>
      </c>
      <c r="M533" s="28" t="s">
        <v>1915</v>
      </c>
      <c r="N533" s="22" t="s">
        <v>51</v>
      </c>
      <c r="O533" s="29">
        <v>32500</v>
      </c>
      <c r="P533" s="710" t="s">
        <v>402</v>
      </c>
      <c r="Q533" s="29">
        <f>O533</f>
        <v>32500</v>
      </c>
      <c r="R533" s="61"/>
      <c r="S533" s="96"/>
      <c r="T533" s="97"/>
      <c r="U533" s="98"/>
      <c r="V533" s="99"/>
      <c r="W533" s="100"/>
      <c r="X533" s="99"/>
      <c r="Y533" s="99"/>
      <c r="Z533" s="100"/>
      <c r="AA533" s="101"/>
      <c r="AB533" s="59"/>
      <c r="AC533" s="867"/>
      <c r="AD533" s="990"/>
      <c r="AE533" s="990"/>
      <c r="AF533" s="991"/>
      <c r="AG533" s="39" t="s">
        <v>869</v>
      </c>
      <c r="AH533" s="39"/>
      <c r="AI533" s="39"/>
      <c r="AJ533" s="21"/>
      <c r="AK533" s="833">
        <v>1</v>
      </c>
      <c r="AL533" s="45" t="s">
        <v>1916</v>
      </c>
      <c r="AM533" s="46"/>
      <c r="AN533" s="46"/>
      <c r="AO533" s="47">
        <v>1</v>
      </c>
      <c r="AP533" s="48" t="s">
        <v>628</v>
      </c>
      <c r="AQ533" s="833"/>
      <c r="AR533" s="54"/>
      <c r="AS533" s="833"/>
      <c r="AT533" s="833"/>
      <c r="AU533" s="833"/>
      <c r="AV533" s="54"/>
      <c r="AW533" s="833"/>
      <c r="AX533" s="54"/>
      <c r="AY533" s="833"/>
      <c r="AZ533" s="833"/>
      <c r="BA533" s="833"/>
      <c r="BB533" s="54"/>
      <c r="BC533" s="833"/>
      <c r="BD533" s="54"/>
      <c r="BE533" s="833"/>
      <c r="BF533" s="833"/>
      <c r="BG533" s="833"/>
      <c r="BH533" s="54"/>
      <c r="BI533" s="833"/>
      <c r="BJ533" s="54"/>
      <c r="BK533" s="833"/>
      <c r="BL533" s="833"/>
      <c r="BM533" s="833"/>
      <c r="BN533" s="54"/>
      <c r="BO533" s="833"/>
      <c r="BP533" s="54"/>
      <c r="BQ533" s="833"/>
      <c r="BR533" s="833"/>
      <c r="BS533" s="833"/>
      <c r="BT533" s="54"/>
      <c r="BU533" s="833"/>
      <c r="BV533" s="54"/>
      <c r="BW533" s="833"/>
      <c r="BX533" s="833"/>
      <c r="BY533" s="833"/>
      <c r="BZ533" s="54"/>
      <c r="CA533" s="833"/>
      <c r="CB533" s="54"/>
      <c r="CC533" s="833"/>
      <c r="CD533" s="833"/>
      <c r="CE533" s="833"/>
      <c r="CF533" s="833"/>
    </row>
    <row r="534" spans="1:84" x14ac:dyDescent="0.5">
      <c r="A534" s="227" t="s">
        <v>1917</v>
      </c>
      <c r="B534" s="22">
        <v>19020184</v>
      </c>
      <c r="C534" s="55"/>
      <c r="D534" s="56"/>
      <c r="E534" s="910"/>
      <c r="F534" s="57"/>
      <c r="G534" s="58"/>
      <c r="H534" s="59"/>
      <c r="I534" s="60"/>
      <c r="J534" s="269"/>
      <c r="K534" s="59"/>
      <c r="L534" s="22" t="s">
        <v>1601</v>
      </c>
      <c r="M534" s="28" t="s">
        <v>1918</v>
      </c>
      <c r="N534" s="22" t="s">
        <v>51</v>
      </c>
      <c r="O534" s="29">
        <v>31000</v>
      </c>
      <c r="P534" s="710" t="s">
        <v>402</v>
      </c>
      <c r="Q534" s="29">
        <f>O534</f>
        <v>31000</v>
      </c>
      <c r="R534" s="61"/>
      <c r="S534" s="96"/>
      <c r="T534" s="97"/>
      <c r="U534" s="98"/>
      <c r="V534" s="99"/>
      <c r="W534" s="100"/>
      <c r="X534" s="99"/>
      <c r="Y534" s="99"/>
      <c r="Z534" s="100"/>
      <c r="AA534" s="101"/>
      <c r="AB534" s="59"/>
      <c r="AC534" s="867"/>
      <c r="AD534" s="990"/>
      <c r="AE534" s="990"/>
      <c r="AF534" s="991"/>
      <c r="AG534" s="39" t="s">
        <v>869</v>
      </c>
      <c r="AH534" s="39"/>
      <c r="AI534" s="39"/>
      <c r="AJ534" s="21"/>
      <c r="AK534" s="833">
        <v>1</v>
      </c>
      <c r="AL534" s="45" t="s">
        <v>1919</v>
      </c>
      <c r="AM534" s="46"/>
      <c r="AN534" s="46"/>
      <c r="AO534" s="47">
        <v>1</v>
      </c>
      <c r="AP534" s="48" t="s">
        <v>628</v>
      </c>
      <c r="AQ534" s="833">
        <v>2</v>
      </c>
      <c r="AR534" s="40" t="s">
        <v>1900</v>
      </c>
      <c r="AS534" s="47"/>
      <c r="AT534" s="47"/>
      <c r="AU534" s="47">
        <v>4</v>
      </c>
      <c r="AV534" s="49" t="s">
        <v>628</v>
      </c>
      <c r="AW534" s="833"/>
      <c r="AX534" s="54"/>
      <c r="AY534" s="833"/>
      <c r="AZ534" s="833"/>
      <c r="BA534" s="833"/>
      <c r="BB534" s="54"/>
      <c r="BC534" s="833"/>
      <c r="BD534" s="54"/>
      <c r="BE534" s="833"/>
      <c r="BF534" s="833"/>
      <c r="BG534" s="833"/>
      <c r="BH534" s="54"/>
      <c r="BI534" s="833"/>
      <c r="BJ534" s="54"/>
      <c r="BK534" s="833"/>
      <c r="BL534" s="833"/>
      <c r="BM534" s="833"/>
      <c r="BN534" s="54"/>
      <c r="BO534" s="833"/>
      <c r="BP534" s="54"/>
      <c r="BQ534" s="833"/>
      <c r="BR534" s="833"/>
      <c r="BS534" s="833"/>
      <c r="BT534" s="54"/>
      <c r="BU534" s="833"/>
      <c r="BV534" s="54"/>
      <c r="BW534" s="833"/>
      <c r="BX534" s="833"/>
      <c r="BY534" s="833"/>
      <c r="BZ534" s="54"/>
      <c r="CA534" s="833"/>
      <c r="CB534" s="54"/>
      <c r="CC534" s="833"/>
      <c r="CD534" s="833"/>
      <c r="CE534" s="833"/>
      <c r="CF534" s="833"/>
    </row>
    <row r="535" spans="1:84" s="95" customFormat="1" x14ac:dyDescent="0.5">
      <c r="A535" s="65">
        <v>19026140</v>
      </c>
      <c r="B535" s="66">
        <v>19030209</v>
      </c>
      <c r="C535" s="312"/>
      <c r="D535" s="313"/>
      <c r="E535" s="929"/>
      <c r="F535" s="314"/>
      <c r="G535" s="315"/>
      <c r="H535" s="316"/>
      <c r="I535" s="317"/>
      <c r="J535" s="835"/>
      <c r="K535" s="316"/>
      <c r="L535" s="66" t="s">
        <v>1692</v>
      </c>
      <c r="M535" s="72" t="s">
        <v>1693</v>
      </c>
      <c r="N535" s="66" t="s">
        <v>50</v>
      </c>
      <c r="O535" s="73">
        <v>373831.78</v>
      </c>
      <c r="P535" s="73">
        <f t="shared" ref="P535:P557" si="139">O535*7/100</f>
        <v>26168.224600000001</v>
      </c>
      <c r="Q535" s="73">
        <f t="shared" ref="Q535:Q557" si="140">O535+P535</f>
        <v>400000.00460000004</v>
      </c>
      <c r="R535" s="318"/>
      <c r="S535" s="319"/>
      <c r="T535" s="320"/>
      <c r="U535" s="321"/>
      <c r="V535" s="322"/>
      <c r="W535" s="79">
        <v>360831.78</v>
      </c>
      <c r="X535" s="80">
        <v>1</v>
      </c>
      <c r="Y535" s="80">
        <f>W535*X535/100</f>
        <v>3608.3178000000003</v>
      </c>
      <c r="Z535" s="323"/>
      <c r="AA535" s="324"/>
      <c r="AB535" s="84">
        <v>19030072</v>
      </c>
      <c r="AC535" s="85">
        <v>112149.53</v>
      </c>
      <c r="AD535" s="908">
        <f t="shared" si="137"/>
        <v>7850.4670999999998</v>
      </c>
      <c r="AE535" s="908">
        <f t="shared" si="138"/>
        <v>119999.99709999999</v>
      </c>
      <c r="AF535" s="909">
        <v>43529</v>
      </c>
      <c r="AG535" s="83"/>
      <c r="AH535" s="83"/>
      <c r="AI535" s="83" t="s">
        <v>869</v>
      </c>
      <c r="AJ535" s="65" t="s">
        <v>1687</v>
      </c>
      <c r="AK535" s="88">
        <v>1</v>
      </c>
      <c r="AL535" s="89" t="s">
        <v>1694</v>
      </c>
      <c r="AM535" s="90"/>
      <c r="AN535" s="90"/>
      <c r="AO535" s="91">
        <v>1</v>
      </c>
      <c r="AP535" s="92" t="s">
        <v>628</v>
      </c>
      <c r="AQ535" s="88">
        <v>2</v>
      </c>
      <c r="AR535" s="84" t="s">
        <v>1695</v>
      </c>
      <c r="AS535" s="91"/>
      <c r="AT535" s="91"/>
      <c r="AU535" s="91">
        <v>1</v>
      </c>
      <c r="AV535" s="93" t="s">
        <v>628</v>
      </c>
      <c r="AW535" s="88">
        <v>3</v>
      </c>
      <c r="AX535" s="84" t="s">
        <v>1696</v>
      </c>
      <c r="AY535" s="91"/>
      <c r="AZ535" s="91"/>
      <c r="BA535" s="91">
        <v>1</v>
      </c>
      <c r="BB535" s="93" t="s">
        <v>628</v>
      </c>
      <c r="BC535" s="88">
        <v>4</v>
      </c>
      <c r="BD535" s="84" t="s">
        <v>1697</v>
      </c>
      <c r="BE535" s="91"/>
      <c r="BF535" s="91"/>
      <c r="BG535" s="91">
        <v>1</v>
      </c>
      <c r="BH535" s="93" t="s">
        <v>628</v>
      </c>
      <c r="BI535" s="88"/>
      <c r="BJ535" s="94"/>
      <c r="BK535" s="88"/>
      <c r="BL535" s="88"/>
      <c r="BM535" s="88"/>
      <c r="BN535" s="94"/>
      <c r="BO535" s="88"/>
      <c r="BP535" s="94"/>
      <c r="BQ535" s="88"/>
      <c r="BR535" s="88"/>
      <c r="BS535" s="88"/>
      <c r="BT535" s="94"/>
      <c r="BU535" s="88"/>
      <c r="BV535" s="94"/>
      <c r="BW535" s="88"/>
      <c r="BX535" s="88"/>
      <c r="BY535" s="88"/>
      <c r="BZ535" s="94"/>
      <c r="CA535" s="88"/>
      <c r="CB535" s="94"/>
      <c r="CC535" s="88"/>
      <c r="CD535" s="88"/>
      <c r="CE535" s="88"/>
      <c r="CF535" s="88"/>
    </row>
    <row r="536" spans="1:84" x14ac:dyDescent="0.5">
      <c r="A536" s="227">
        <v>19026139</v>
      </c>
      <c r="B536" s="22">
        <v>19020201</v>
      </c>
      <c r="C536" s="23" t="s">
        <v>1417</v>
      </c>
      <c r="D536" s="24" t="s">
        <v>1323</v>
      </c>
      <c r="E536" s="884">
        <v>43531</v>
      </c>
      <c r="F536" s="932" t="s">
        <v>1324</v>
      </c>
      <c r="G536" s="933" t="s">
        <v>1413</v>
      </c>
      <c r="H536" s="62">
        <v>43532</v>
      </c>
      <c r="I536" s="27">
        <v>19083</v>
      </c>
      <c r="J536" s="931" t="s">
        <v>869</v>
      </c>
      <c r="K536" s="957">
        <v>43535</v>
      </c>
      <c r="L536" s="22" t="s">
        <v>1698</v>
      </c>
      <c r="M536" s="28" t="s">
        <v>1699</v>
      </c>
      <c r="N536" s="22" t="s">
        <v>1700</v>
      </c>
      <c r="O536" s="29">
        <v>170000</v>
      </c>
      <c r="P536" s="29">
        <f t="shared" si="139"/>
        <v>11900</v>
      </c>
      <c r="Q536" s="29">
        <f t="shared" si="140"/>
        <v>181900</v>
      </c>
      <c r="R536" s="61"/>
      <c r="S536" s="96"/>
      <c r="T536" s="97"/>
      <c r="U536" s="98"/>
      <c r="V536" s="99"/>
      <c r="W536" s="35">
        <f>O536</f>
        <v>170000</v>
      </c>
      <c r="X536" s="36">
        <v>0.55000000000000004</v>
      </c>
      <c r="Y536" s="36">
        <f>W536*X536/100</f>
        <v>935.00000000000011</v>
      </c>
      <c r="Z536" s="37">
        <v>0.2</v>
      </c>
      <c r="AA536" s="38">
        <f>W536*Z536/100</f>
        <v>340</v>
      </c>
      <c r="AB536" s="40">
        <v>19030087</v>
      </c>
      <c r="AC536" s="41">
        <v>170000</v>
      </c>
      <c r="AD536" s="63">
        <f t="shared" si="137"/>
        <v>11900</v>
      </c>
      <c r="AE536" s="63">
        <f t="shared" si="138"/>
        <v>181900</v>
      </c>
      <c r="AF536" s="53">
        <v>43568</v>
      </c>
      <c r="AG536" s="39" t="s">
        <v>869</v>
      </c>
      <c r="AH536" s="39"/>
      <c r="AI536" s="39"/>
      <c r="AJ536" s="21" t="s">
        <v>2164</v>
      </c>
      <c r="AK536" s="44">
        <v>1</v>
      </c>
      <c r="AL536" s="45" t="s">
        <v>1701</v>
      </c>
      <c r="AM536" s="46" t="s">
        <v>869</v>
      </c>
      <c r="AN536" s="46"/>
      <c r="AO536" s="47">
        <v>2</v>
      </c>
      <c r="AP536" s="48" t="s">
        <v>636</v>
      </c>
      <c r="AQ536" s="44"/>
      <c r="AR536" s="54"/>
      <c r="AS536" s="44"/>
      <c r="AT536" s="44"/>
      <c r="AU536" s="44"/>
      <c r="AV536" s="54"/>
      <c r="AW536" s="44"/>
      <c r="AX536" s="54"/>
      <c r="AY536" s="44"/>
      <c r="AZ536" s="44"/>
      <c r="BA536" s="44"/>
      <c r="BB536" s="54"/>
      <c r="BC536" s="44"/>
      <c r="BD536" s="54"/>
      <c r="BE536" s="44"/>
      <c r="BF536" s="44"/>
      <c r="BG536" s="44"/>
      <c r="BH536" s="54"/>
      <c r="BI536" s="44"/>
      <c r="BJ536" s="54"/>
      <c r="BK536" s="44"/>
      <c r="BL536" s="44"/>
      <c r="BM536" s="44"/>
      <c r="BN536" s="54"/>
      <c r="BO536" s="44"/>
      <c r="BP536" s="54"/>
      <c r="BQ536" s="44"/>
      <c r="BR536" s="44"/>
      <c r="BS536" s="44"/>
      <c r="BT536" s="54"/>
      <c r="BU536" s="44"/>
      <c r="BV536" s="54"/>
      <c r="BW536" s="44"/>
      <c r="BX536" s="44"/>
      <c r="BY536" s="44"/>
      <c r="BZ536" s="54"/>
      <c r="CA536" s="44"/>
      <c r="CB536" s="54"/>
      <c r="CC536" s="44"/>
      <c r="CD536" s="44"/>
      <c r="CE536" s="44"/>
      <c r="CF536" s="44"/>
    </row>
    <row r="537" spans="1:84" x14ac:dyDescent="0.5">
      <c r="A537" s="227">
        <v>19026138</v>
      </c>
      <c r="B537" s="22">
        <v>19020200</v>
      </c>
      <c r="C537" s="23" t="s">
        <v>1418</v>
      </c>
      <c r="D537" s="24" t="s">
        <v>1323</v>
      </c>
      <c r="E537" s="884">
        <v>43544</v>
      </c>
      <c r="F537" s="932" t="s">
        <v>1324</v>
      </c>
      <c r="G537" s="933" t="s">
        <v>2274</v>
      </c>
      <c r="H537" s="62">
        <v>40004</v>
      </c>
      <c r="I537" s="27">
        <v>19194</v>
      </c>
      <c r="J537" s="931" t="s">
        <v>869</v>
      </c>
      <c r="K537" s="957">
        <v>43657</v>
      </c>
      <c r="L537" s="22" t="s">
        <v>15</v>
      </c>
      <c r="M537" s="28" t="s">
        <v>1702</v>
      </c>
      <c r="N537" s="22" t="s">
        <v>51</v>
      </c>
      <c r="O537" s="29">
        <v>224000</v>
      </c>
      <c r="P537" s="29">
        <f t="shared" si="139"/>
        <v>15680</v>
      </c>
      <c r="Q537" s="29">
        <f t="shared" si="140"/>
        <v>239680</v>
      </c>
      <c r="R537" s="61"/>
      <c r="S537" s="96"/>
      <c r="T537" s="97"/>
      <c r="U537" s="98"/>
      <c r="V537" s="99"/>
      <c r="W537" s="100"/>
      <c r="X537" s="99"/>
      <c r="Y537" s="99"/>
      <c r="Z537" s="100"/>
      <c r="AA537" s="101"/>
      <c r="AB537" s="40">
        <v>19070254</v>
      </c>
      <c r="AC537" s="41">
        <v>224000</v>
      </c>
      <c r="AD537" s="52">
        <f t="shared" ref="AD537:AD544" si="141">AC537*7/100</f>
        <v>15680</v>
      </c>
      <c r="AE537" s="52">
        <f t="shared" ref="AE537:AE544" si="142">AC537+AD537</f>
        <v>239680</v>
      </c>
      <c r="AF537" s="53">
        <v>43709</v>
      </c>
      <c r="AG537" s="39" t="s">
        <v>869</v>
      </c>
      <c r="AH537" s="39"/>
      <c r="AI537" s="39"/>
      <c r="AJ537" s="21" t="s">
        <v>2868</v>
      </c>
      <c r="AK537" s="44">
        <v>1</v>
      </c>
      <c r="AL537" s="45" t="s">
        <v>1703</v>
      </c>
      <c r="AM537" s="46" t="s">
        <v>869</v>
      </c>
      <c r="AN537" s="46"/>
      <c r="AO537" s="47">
        <v>4</v>
      </c>
      <c r="AP537" s="48" t="s">
        <v>635</v>
      </c>
      <c r="AQ537" s="44"/>
      <c r="AR537" s="54"/>
      <c r="AS537" s="44"/>
      <c r="AT537" s="44"/>
      <c r="AU537" s="44"/>
      <c r="AV537" s="54"/>
      <c r="AW537" s="44"/>
      <c r="AX537" s="54"/>
      <c r="AY537" s="44"/>
      <c r="AZ537" s="44"/>
      <c r="BA537" s="44"/>
      <c r="BB537" s="54"/>
      <c r="BC537" s="44"/>
      <c r="BD537" s="54"/>
      <c r="BE537" s="44"/>
      <c r="BF537" s="44"/>
      <c r="BG537" s="44"/>
      <c r="BH537" s="54"/>
      <c r="BI537" s="44"/>
      <c r="BJ537" s="54"/>
      <c r="BK537" s="44"/>
      <c r="BL537" s="44"/>
      <c r="BM537" s="44"/>
      <c r="BN537" s="54"/>
      <c r="BO537" s="44"/>
      <c r="BP537" s="54"/>
      <c r="BQ537" s="44"/>
      <c r="BR537" s="44"/>
      <c r="BS537" s="44"/>
      <c r="BT537" s="54"/>
      <c r="BU537" s="44"/>
      <c r="BV537" s="54"/>
      <c r="BW537" s="44"/>
      <c r="BX537" s="44"/>
      <c r="BY537" s="44"/>
      <c r="BZ537" s="54"/>
      <c r="CA537" s="44"/>
      <c r="CB537" s="54"/>
      <c r="CC537" s="44"/>
      <c r="CD537" s="44"/>
      <c r="CE537" s="44"/>
      <c r="CF537" s="44"/>
    </row>
    <row r="538" spans="1:84" x14ac:dyDescent="0.5">
      <c r="A538" s="227">
        <v>19026137</v>
      </c>
      <c r="B538" s="22">
        <v>19020199</v>
      </c>
      <c r="C538" s="23" t="s">
        <v>1419</v>
      </c>
      <c r="D538" s="24" t="s">
        <v>1323</v>
      </c>
      <c r="E538" s="884">
        <v>43530</v>
      </c>
      <c r="F538" s="932" t="s">
        <v>1324</v>
      </c>
      <c r="G538" s="933" t="s">
        <v>1416</v>
      </c>
      <c r="H538" s="62">
        <v>43529</v>
      </c>
      <c r="I538" s="27">
        <v>19079</v>
      </c>
      <c r="J538" s="931" t="s">
        <v>869</v>
      </c>
      <c r="K538" s="957">
        <v>43530</v>
      </c>
      <c r="L538" s="22" t="s">
        <v>15</v>
      </c>
      <c r="M538" s="28" t="s">
        <v>2</v>
      </c>
      <c r="N538" s="22" t="s">
        <v>51</v>
      </c>
      <c r="O538" s="29">
        <v>13760</v>
      </c>
      <c r="P538" s="29">
        <f t="shared" si="139"/>
        <v>963.2</v>
      </c>
      <c r="Q538" s="29">
        <f t="shared" si="140"/>
        <v>14723.2</v>
      </c>
      <c r="R538" s="61"/>
      <c r="S538" s="96"/>
      <c r="T538" s="97"/>
      <c r="U538" s="98"/>
      <c r="V538" s="99"/>
      <c r="W538" s="100"/>
      <c r="X538" s="99"/>
      <c r="Y538" s="99"/>
      <c r="Z538" s="100"/>
      <c r="AA538" s="101"/>
      <c r="AB538" s="40">
        <v>19030076</v>
      </c>
      <c r="AC538" s="41">
        <v>13760</v>
      </c>
      <c r="AD538" s="52">
        <f t="shared" si="141"/>
        <v>963.2</v>
      </c>
      <c r="AE538" s="52">
        <f t="shared" si="142"/>
        <v>14723.2</v>
      </c>
      <c r="AF538" s="53">
        <v>43576</v>
      </c>
      <c r="AG538" s="39" t="s">
        <v>869</v>
      </c>
      <c r="AH538" s="39"/>
      <c r="AI538" s="39"/>
      <c r="AJ538" s="21" t="s">
        <v>1873</v>
      </c>
      <c r="AK538" s="44">
        <v>1</v>
      </c>
      <c r="AL538" s="45" t="s">
        <v>801</v>
      </c>
      <c r="AM538" s="46"/>
      <c r="AN538" s="46" t="s">
        <v>869</v>
      </c>
      <c r="AO538" s="47">
        <v>1</v>
      </c>
      <c r="AP538" s="48" t="s">
        <v>633</v>
      </c>
      <c r="AQ538" s="44"/>
      <c r="AR538" s="54"/>
      <c r="AS538" s="44"/>
      <c r="AT538" s="44"/>
      <c r="AU538" s="44"/>
      <c r="AV538" s="54"/>
      <c r="AW538" s="44"/>
      <c r="AX538" s="54"/>
      <c r="AY538" s="44"/>
      <c r="AZ538" s="44"/>
      <c r="BA538" s="44"/>
      <c r="BB538" s="54"/>
      <c r="BC538" s="44"/>
      <c r="BD538" s="54"/>
      <c r="BE538" s="44"/>
      <c r="BF538" s="44"/>
      <c r="BG538" s="44"/>
      <c r="BH538" s="54"/>
      <c r="BI538" s="44"/>
      <c r="BJ538" s="54"/>
      <c r="BK538" s="44"/>
      <c r="BL538" s="44"/>
      <c r="BM538" s="44"/>
      <c r="BN538" s="54"/>
      <c r="BO538" s="44"/>
      <c r="BP538" s="54"/>
      <c r="BQ538" s="44"/>
      <c r="BR538" s="44"/>
      <c r="BS538" s="44"/>
      <c r="BT538" s="54"/>
      <c r="BU538" s="44"/>
      <c r="BV538" s="54"/>
      <c r="BW538" s="44"/>
      <c r="BX538" s="44"/>
      <c r="BY538" s="44"/>
      <c r="BZ538" s="54"/>
      <c r="CA538" s="44"/>
      <c r="CB538" s="54"/>
      <c r="CC538" s="44"/>
      <c r="CD538" s="44"/>
      <c r="CE538" s="44"/>
      <c r="CF538" s="44"/>
    </row>
    <row r="539" spans="1:84" x14ac:dyDescent="0.5">
      <c r="A539" s="259">
        <v>19026136</v>
      </c>
      <c r="B539" s="104">
        <v>19020197</v>
      </c>
      <c r="C539" s="105" t="s">
        <v>1421</v>
      </c>
      <c r="D539" s="106" t="s">
        <v>1323</v>
      </c>
      <c r="E539" s="302">
        <v>43615</v>
      </c>
      <c r="F539" s="936" t="s">
        <v>3368</v>
      </c>
      <c r="G539" s="937" t="s">
        <v>2379</v>
      </c>
      <c r="H539" s="122">
        <v>44068</v>
      </c>
      <c r="I539" s="109">
        <v>63206</v>
      </c>
      <c r="J539" s="960" t="s">
        <v>869</v>
      </c>
      <c r="K539" s="965">
        <v>44069</v>
      </c>
      <c r="L539" s="104" t="s">
        <v>1562</v>
      </c>
      <c r="M539" s="110" t="s">
        <v>1704</v>
      </c>
      <c r="N539" s="104" t="s">
        <v>1523</v>
      </c>
      <c r="O539" s="111">
        <v>506824</v>
      </c>
      <c r="P539" s="111">
        <f t="shared" si="139"/>
        <v>35477.68</v>
      </c>
      <c r="Q539" s="111">
        <f t="shared" si="140"/>
        <v>542301.68000000005</v>
      </c>
      <c r="R539" s="212"/>
      <c r="S539" s="113" t="s">
        <v>1569</v>
      </c>
      <c r="T539" s="114">
        <f>O539</f>
        <v>506824</v>
      </c>
      <c r="U539" s="115">
        <v>5</v>
      </c>
      <c r="V539" s="116">
        <f>T539*U539/100</f>
        <v>25341.200000000001</v>
      </c>
      <c r="W539" s="117">
        <f>T539-V539</f>
        <v>481482.8</v>
      </c>
      <c r="X539" s="118">
        <v>0.4</v>
      </c>
      <c r="Y539" s="118">
        <f>W539*X539/100</f>
        <v>1925.9312</v>
      </c>
      <c r="Z539" s="119">
        <v>0.2</v>
      </c>
      <c r="AA539" s="120">
        <f>W539*Z539/100</f>
        <v>962.96559999999999</v>
      </c>
      <c r="AB539" s="229" t="s">
        <v>4063</v>
      </c>
      <c r="AC539" s="230">
        <v>50682.400000000001</v>
      </c>
      <c r="AD539" s="220">
        <f t="shared" si="141"/>
        <v>3547.768</v>
      </c>
      <c r="AE539" s="220">
        <f t="shared" si="142"/>
        <v>54230.168000000005</v>
      </c>
      <c r="AF539" s="221">
        <v>44033</v>
      </c>
      <c r="AG539" s="121" t="s">
        <v>869</v>
      </c>
      <c r="AH539" s="121"/>
      <c r="AI539" s="121"/>
      <c r="AJ539" s="979" t="s">
        <v>4093</v>
      </c>
      <c r="AK539" s="128">
        <v>1</v>
      </c>
      <c r="AL539" s="129" t="s">
        <v>1564</v>
      </c>
      <c r="AM539" s="130"/>
      <c r="AN539" s="130" t="s">
        <v>869</v>
      </c>
      <c r="AO539" s="131">
        <v>4</v>
      </c>
      <c r="AP539" s="132" t="s">
        <v>634</v>
      </c>
      <c r="AQ539" s="128"/>
      <c r="AR539" s="133"/>
      <c r="AS539" s="128"/>
      <c r="AT539" s="128"/>
      <c r="AU539" s="128"/>
      <c r="AV539" s="133"/>
      <c r="AW539" s="128"/>
      <c r="AX539" s="133"/>
      <c r="AY539" s="128"/>
      <c r="AZ539" s="128"/>
      <c r="BA539" s="128"/>
      <c r="BB539" s="133"/>
      <c r="BC539" s="128"/>
      <c r="BD539" s="133"/>
      <c r="BE539" s="128"/>
      <c r="BF539" s="128"/>
      <c r="BG539" s="128"/>
      <c r="BH539" s="133"/>
      <c r="BI539" s="128"/>
      <c r="BJ539" s="133"/>
      <c r="BK539" s="128"/>
      <c r="BL539" s="128"/>
      <c r="BM539" s="128"/>
      <c r="BN539" s="133"/>
      <c r="BO539" s="128"/>
      <c r="BP539" s="133"/>
      <c r="BQ539" s="128"/>
      <c r="BR539" s="128"/>
      <c r="BS539" s="128"/>
      <c r="BT539" s="133"/>
      <c r="BU539" s="128"/>
      <c r="BV539" s="133"/>
      <c r="BW539" s="128"/>
      <c r="BX539" s="128"/>
      <c r="BY539" s="128"/>
      <c r="BZ539" s="133"/>
      <c r="CA539" s="128"/>
      <c r="CB539" s="133"/>
      <c r="CC539" s="128"/>
      <c r="CD539" s="128"/>
      <c r="CE539" s="128"/>
      <c r="CF539" s="128"/>
    </row>
    <row r="540" spans="1:84" x14ac:dyDescent="0.5">
      <c r="A540" s="262"/>
      <c r="B540" s="135"/>
      <c r="C540" s="136"/>
      <c r="D540" s="137"/>
      <c r="E540" s="906"/>
      <c r="F540" s="940"/>
      <c r="G540" s="941"/>
      <c r="H540" s="179">
        <v>44068</v>
      </c>
      <c r="I540" s="140">
        <v>63207</v>
      </c>
      <c r="J540" s="963"/>
      <c r="K540" s="154"/>
      <c r="L540" s="135"/>
      <c r="M540" s="135"/>
      <c r="N540" s="135"/>
      <c r="O540" s="142"/>
      <c r="P540" s="142"/>
      <c r="Q540" s="142"/>
      <c r="R540" s="213"/>
      <c r="S540" s="144"/>
      <c r="T540" s="145"/>
      <c r="U540" s="146"/>
      <c r="V540" s="147"/>
      <c r="W540" s="148"/>
      <c r="X540" s="149"/>
      <c r="Y540" s="149"/>
      <c r="Z540" s="150"/>
      <c r="AA540" s="151"/>
      <c r="AB540" s="154" t="s">
        <v>4160</v>
      </c>
      <c r="AC540" s="155">
        <v>456141.6</v>
      </c>
      <c r="AD540" s="156">
        <f t="shared" si="141"/>
        <v>31929.911999999997</v>
      </c>
      <c r="AE540" s="156">
        <f t="shared" si="142"/>
        <v>488071.51199999999</v>
      </c>
      <c r="AF540" s="157">
        <v>44056</v>
      </c>
      <c r="AG540" s="152" t="s">
        <v>869</v>
      </c>
      <c r="AH540" s="152"/>
      <c r="AI540" s="152"/>
      <c r="AJ540" s="842" t="s">
        <v>4333</v>
      </c>
      <c r="AK540" s="158"/>
      <c r="AL540" s="159"/>
      <c r="AM540" s="160"/>
      <c r="AN540" s="160"/>
      <c r="AO540" s="161"/>
      <c r="AP540" s="162"/>
      <c r="AQ540" s="158"/>
      <c r="AR540" s="163"/>
      <c r="AS540" s="158"/>
      <c r="AT540" s="158"/>
      <c r="AU540" s="158"/>
      <c r="AV540" s="163"/>
      <c r="AW540" s="158"/>
      <c r="AX540" s="163"/>
      <c r="AY540" s="158"/>
      <c r="AZ540" s="158"/>
      <c r="BA540" s="158"/>
      <c r="BB540" s="163"/>
      <c r="BC540" s="158"/>
      <c r="BD540" s="163"/>
      <c r="BE540" s="158"/>
      <c r="BF540" s="158"/>
      <c r="BG540" s="158"/>
      <c r="BH540" s="163"/>
      <c r="BI540" s="158"/>
      <c r="BJ540" s="163"/>
      <c r="BK540" s="158"/>
      <c r="BL540" s="158"/>
      <c r="BM540" s="158"/>
      <c r="BN540" s="163"/>
      <c r="BO540" s="158"/>
      <c r="BP540" s="163"/>
      <c r="BQ540" s="158"/>
      <c r="BR540" s="158"/>
      <c r="BS540" s="158"/>
      <c r="BT540" s="163"/>
      <c r="BU540" s="158"/>
      <c r="BV540" s="163"/>
      <c r="BW540" s="158"/>
      <c r="BX540" s="158"/>
      <c r="BY540" s="158"/>
      <c r="BZ540" s="163"/>
      <c r="CA540" s="158"/>
      <c r="CB540" s="163"/>
      <c r="CC540" s="158"/>
      <c r="CD540" s="158"/>
      <c r="CE540" s="158"/>
      <c r="CF540" s="158"/>
    </row>
    <row r="541" spans="1:84" x14ac:dyDescent="0.5">
      <c r="A541" s="262"/>
      <c r="B541" s="135"/>
      <c r="C541" s="136"/>
      <c r="D541" s="137"/>
      <c r="E541" s="906"/>
      <c r="F541" s="940"/>
      <c r="G541" s="941"/>
      <c r="H541" s="179">
        <v>44068</v>
      </c>
      <c r="I541" s="140">
        <v>63208</v>
      </c>
      <c r="J541" s="963"/>
      <c r="K541" s="154"/>
      <c r="L541" s="135"/>
      <c r="M541" s="141"/>
      <c r="N541" s="135"/>
      <c r="O541" s="142"/>
      <c r="P541" s="142"/>
      <c r="Q541" s="142"/>
      <c r="R541" s="213"/>
      <c r="S541" s="144"/>
      <c r="T541" s="145"/>
      <c r="U541" s="146"/>
      <c r="V541" s="147"/>
      <c r="W541" s="148"/>
      <c r="X541" s="149"/>
      <c r="Y541" s="149"/>
      <c r="Z541" s="150"/>
      <c r="AA541" s="151"/>
      <c r="AB541" s="154"/>
      <c r="AC541" s="155"/>
      <c r="AD541" s="156"/>
      <c r="AE541" s="156"/>
      <c r="AF541" s="157"/>
      <c r="AG541" s="152"/>
      <c r="AH541" s="152"/>
      <c r="AI541" s="152"/>
      <c r="AJ541" s="842"/>
      <c r="AK541" s="158"/>
      <c r="AL541" s="159"/>
      <c r="AM541" s="160"/>
      <c r="AN541" s="160"/>
      <c r="AO541" s="161"/>
      <c r="AP541" s="162"/>
      <c r="AQ541" s="158"/>
      <c r="AR541" s="163"/>
      <c r="AS541" s="158"/>
      <c r="AT541" s="158"/>
      <c r="AU541" s="158"/>
      <c r="AV541" s="163"/>
      <c r="AW541" s="158"/>
      <c r="AX541" s="163"/>
      <c r="AY541" s="158"/>
      <c r="AZ541" s="158"/>
      <c r="BA541" s="158"/>
      <c r="BB541" s="163"/>
      <c r="BC541" s="158"/>
      <c r="BD541" s="163"/>
      <c r="BE541" s="158"/>
      <c r="BF541" s="158"/>
      <c r="BG541" s="158"/>
      <c r="BH541" s="163"/>
      <c r="BI541" s="158"/>
      <c r="BJ541" s="163"/>
      <c r="BK541" s="158"/>
      <c r="BL541" s="158"/>
      <c r="BM541" s="158"/>
      <c r="BN541" s="163"/>
      <c r="BO541" s="158"/>
      <c r="BP541" s="163"/>
      <c r="BQ541" s="158"/>
      <c r="BR541" s="158"/>
      <c r="BS541" s="158"/>
      <c r="BT541" s="163"/>
      <c r="BU541" s="158"/>
      <c r="BV541" s="163"/>
      <c r="BW541" s="158"/>
      <c r="BX541" s="158"/>
      <c r="BY541" s="158"/>
      <c r="BZ541" s="163"/>
      <c r="CA541" s="158"/>
      <c r="CB541" s="163"/>
      <c r="CC541" s="158"/>
      <c r="CD541" s="158"/>
      <c r="CE541" s="158"/>
      <c r="CF541" s="158"/>
    </row>
    <row r="542" spans="1:84" x14ac:dyDescent="0.5">
      <c r="A542" s="268"/>
      <c r="B542" s="181"/>
      <c r="C542" s="182"/>
      <c r="D542" s="183"/>
      <c r="E542" s="749"/>
      <c r="F542" s="938"/>
      <c r="G542" s="939"/>
      <c r="H542" s="186">
        <v>44068</v>
      </c>
      <c r="I542" s="187">
        <v>63209</v>
      </c>
      <c r="J542" s="961"/>
      <c r="K542" s="200"/>
      <c r="L542" s="181"/>
      <c r="M542" s="188"/>
      <c r="N542" s="181"/>
      <c r="O542" s="189"/>
      <c r="P542" s="189"/>
      <c r="Q542" s="189"/>
      <c r="R542" s="214"/>
      <c r="S542" s="215"/>
      <c r="T542" s="216"/>
      <c r="U542" s="217"/>
      <c r="V542" s="218"/>
      <c r="W542" s="195"/>
      <c r="X542" s="196"/>
      <c r="Y542" s="196"/>
      <c r="Z542" s="197"/>
      <c r="AA542" s="198"/>
      <c r="AB542" s="200"/>
      <c r="AC542" s="201"/>
      <c r="AD542" s="202"/>
      <c r="AE542" s="202"/>
      <c r="AF542" s="203"/>
      <c r="AG542" s="199"/>
      <c r="AH542" s="199"/>
      <c r="AI542" s="199"/>
      <c r="AJ542" s="843"/>
      <c r="AK542" s="204"/>
      <c r="AL542" s="205"/>
      <c r="AM542" s="206"/>
      <c r="AN542" s="206"/>
      <c r="AO542" s="207"/>
      <c r="AP542" s="208"/>
      <c r="AQ542" s="204"/>
      <c r="AR542" s="210"/>
      <c r="AS542" s="204"/>
      <c r="AT542" s="204"/>
      <c r="AU542" s="204"/>
      <c r="AV542" s="210"/>
      <c r="AW542" s="204"/>
      <c r="AX542" s="210"/>
      <c r="AY542" s="204"/>
      <c r="AZ542" s="204"/>
      <c r="BA542" s="204"/>
      <c r="BB542" s="210"/>
      <c r="BC542" s="204"/>
      <c r="BD542" s="210"/>
      <c r="BE542" s="204"/>
      <c r="BF542" s="204"/>
      <c r="BG542" s="204"/>
      <c r="BH542" s="210"/>
      <c r="BI542" s="204"/>
      <c r="BJ542" s="210"/>
      <c r="BK542" s="204"/>
      <c r="BL542" s="204"/>
      <c r="BM542" s="204"/>
      <c r="BN542" s="210"/>
      <c r="BO542" s="204"/>
      <c r="BP542" s="210"/>
      <c r="BQ542" s="204"/>
      <c r="BR542" s="204"/>
      <c r="BS542" s="204"/>
      <c r="BT542" s="210"/>
      <c r="BU542" s="204"/>
      <c r="BV542" s="210"/>
      <c r="BW542" s="204"/>
      <c r="BX542" s="204"/>
      <c r="BY542" s="204"/>
      <c r="BZ542" s="210"/>
      <c r="CA542" s="204"/>
      <c r="CB542" s="210"/>
      <c r="CC542" s="204"/>
      <c r="CD542" s="204"/>
      <c r="CE542" s="204"/>
      <c r="CF542" s="204"/>
    </row>
    <row r="543" spans="1:84" x14ac:dyDescent="0.5">
      <c r="A543" s="227">
        <v>19026135</v>
      </c>
      <c r="B543" s="22">
        <v>19020195</v>
      </c>
      <c r="C543" s="23" t="s">
        <v>1422</v>
      </c>
      <c r="D543" s="24" t="s">
        <v>1323</v>
      </c>
      <c r="E543" s="884">
        <v>43801</v>
      </c>
      <c r="F543" s="932" t="s">
        <v>1324</v>
      </c>
      <c r="G543" s="933" t="s">
        <v>2820</v>
      </c>
      <c r="H543" s="62">
        <v>43747</v>
      </c>
      <c r="I543" s="27">
        <v>19313</v>
      </c>
      <c r="J543" s="931" t="s">
        <v>869</v>
      </c>
      <c r="K543" s="957">
        <v>43748</v>
      </c>
      <c r="L543" s="22" t="s">
        <v>1705</v>
      </c>
      <c r="M543" s="28" t="s">
        <v>1706</v>
      </c>
      <c r="N543" s="22" t="s">
        <v>1523</v>
      </c>
      <c r="O543" s="29">
        <v>213536.49</v>
      </c>
      <c r="P543" s="29">
        <f t="shared" si="139"/>
        <v>14947.5543</v>
      </c>
      <c r="Q543" s="29">
        <f t="shared" si="140"/>
        <v>228484.04429999998</v>
      </c>
      <c r="R543" s="61"/>
      <c r="S543" s="96"/>
      <c r="T543" s="97"/>
      <c r="U543" s="98"/>
      <c r="V543" s="99"/>
      <c r="W543" s="35">
        <f>O543</f>
        <v>213536.49</v>
      </c>
      <c r="X543" s="36">
        <v>0.35</v>
      </c>
      <c r="Y543" s="36">
        <f>W543*X543/100</f>
        <v>747.37771499999985</v>
      </c>
      <c r="Z543" s="37">
        <v>0.2</v>
      </c>
      <c r="AA543" s="38">
        <f>W543*Z543/100</f>
        <v>427.07298000000003</v>
      </c>
      <c r="AB543" s="40">
        <v>19100441</v>
      </c>
      <c r="AC543" s="41">
        <v>213536.49</v>
      </c>
      <c r="AD543" s="52">
        <f t="shared" si="141"/>
        <v>14947.5543</v>
      </c>
      <c r="AE543" s="52">
        <f t="shared" si="142"/>
        <v>228484.04429999998</v>
      </c>
      <c r="AF543" s="53">
        <v>43797</v>
      </c>
      <c r="AG543" s="39" t="s">
        <v>869</v>
      </c>
      <c r="AH543" s="39"/>
      <c r="AI543" s="39"/>
      <c r="AJ543" s="21" t="s">
        <v>3326</v>
      </c>
      <c r="AK543" s="44">
        <v>1</v>
      </c>
      <c r="AL543" s="45" t="s">
        <v>1707</v>
      </c>
      <c r="AM543" s="46"/>
      <c r="AN543" s="46" t="s">
        <v>869</v>
      </c>
      <c r="AO543" s="47">
        <v>1</v>
      </c>
      <c r="AP543" s="48" t="s">
        <v>634</v>
      </c>
      <c r="AQ543" s="44">
        <v>2</v>
      </c>
      <c r="AR543" s="40" t="s">
        <v>716</v>
      </c>
      <c r="AS543" s="47"/>
      <c r="AT543" s="47" t="s">
        <v>869</v>
      </c>
      <c r="AU543" s="47">
        <v>1</v>
      </c>
      <c r="AV543" s="49" t="s">
        <v>634</v>
      </c>
      <c r="AW543" s="44"/>
      <c r="AX543" s="54"/>
      <c r="AY543" s="44"/>
      <c r="AZ543" s="44"/>
      <c r="BA543" s="44"/>
      <c r="BB543" s="54"/>
      <c r="BC543" s="44"/>
      <c r="BD543" s="54"/>
      <c r="BE543" s="44"/>
      <c r="BF543" s="44"/>
      <c r="BG543" s="44"/>
      <c r="BH543" s="54"/>
      <c r="BI543" s="44"/>
      <c r="BJ543" s="54"/>
      <c r="BK543" s="44"/>
      <c r="BL543" s="44"/>
      <c r="BM543" s="44"/>
      <c r="BN543" s="54"/>
      <c r="BO543" s="44"/>
      <c r="BP543" s="54"/>
      <c r="BQ543" s="44"/>
      <c r="BR543" s="44"/>
      <c r="BS543" s="44"/>
      <c r="BT543" s="54"/>
      <c r="BU543" s="44"/>
      <c r="BV543" s="54"/>
      <c r="BW543" s="44"/>
      <c r="BX543" s="44"/>
      <c r="BY543" s="44"/>
      <c r="BZ543" s="54"/>
      <c r="CA543" s="44"/>
      <c r="CB543" s="54"/>
      <c r="CC543" s="44"/>
      <c r="CD543" s="44"/>
      <c r="CE543" s="44"/>
      <c r="CF543" s="44"/>
    </row>
    <row r="544" spans="1:84" x14ac:dyDescent="0.5">
      <c r="A544" s="259">
        <v>19026134</v>
      </c>
      <c r="B544" s="104">
        <v>19020196</v>
      </c>
      <c r="C544" s="105" t="s">
        <v>1423</v>
      </c>
      <c r="D544" s="106" t="s">
        <v>1323</v>
      </c>
      <c r="E544" s="302">
        <v>43532</v>
      </c>
      <c r="F544" s="936" t="s">
        <v>1324</v>
      </c>
      <c r="G544" s="937" t="s">
        <v>1399</v>
      </c>
      <c r="H544" s="211">
        <v>43717</v>
      </c>
      <c r="I544" s="164">
        <v>19111</v>
      </c>
      <c r="J544" s="960" t="s">
        <v>869</v>
      </c>
      <c r="K544" s="965">
        <v>43565</v>
      </c>
      <c r="L544" s="104" t="s">
        <v>1705</v>
      </c>
      <c r="M544" s="110" t="s">
        <v>1706</v>
      </c>
      <c r="N544" s="104" t="s">
        <v>1523</v>
      </c>
      <c r="O544" s="111">
        <v>41463.519999999997</v>
      </c>
      <c r="P544" s="111">
        <f t="shared" si="139"/>
        <v>2902.4463999999994</v>
      </c>
      <c r="Q544" s="111">
        <f t="shared" si="140"/>
        <v>44365.966399999998</v>
      </c>
      <c r="R544" s="212"/>
      <c r="S544" s="165"/>
      <c r="T544" s="166"/>
      <c r="U544" s="167"/>
      <c r="V544" s="168"/>
      <c r="W544" s="117">
        <f>O544</f>
        <v>41463.519999999997</v>
      </c>
      <c r="X544" s="118">
        <v>0.35</v>
      </c>
      <c r="Y544" s="118">
        <f>W544*X544/100</f>
        <v>145.12231999999997</v>
      </c>
      <c r="Z544" s="119">
        <v>0.2</v>
      </c>
      <c r="AA544" s="120">
        <f>W544*Z544/100</f>
        <v>82.927039999999991</v>
      </c>
      <c r="AB544" s="123">
        <v>19040124</v>
      </c>
      <c r="AC544" s="124">
        <v>41463.519999999997</v>
      </c>
      <c r="AD544" s="125">
        <f t="shared" si="141"/>
        <v>2902.4463999999994</v>
      </c>
      <c r="AE544" s="125">
        <f t="shared" si="142"/>
        <v>44365.966399999998</v>
      </c>
      <c r="AF544" s="126">
        <v>43593</v>
      </c>
      <c r="AG544" s="127" t="s">
        <v>869</v>
      </c>
      <c r="AH544" s="127"/>
      <c r="AI544" s="127"/>
      <c r="AJ544" s="103" t="s">
        <v>2369</v>
      </c>
      <c r="AK544" s="128">
        <v>1</v>
      </c>
      <c r="AL544" s="129" t="s">
        <v>1708</v>
      </c>
      <c r="AM544" s="130"/>
      <c r="AN544" s="130" t="s">
        <v>869</v>
      </c>
      <c r="AO544" s="131">
        <v>1</v>
      </c>
      <c r="AP544" s="132" t="s">
        <v>634</v>
      </c>
      <c r="AQ544" s="128">
        <v>2</v>
      </c>
      <c r="AR544" s="123" t="s">
        <v>716</v>
      </c>
      <c r="AS544" s="131"/>
      <c r="AT544" s="131" t="s">
        <v>869</v>
      </c>
      <c r="AU544" s="131">
        <v>1</v>
      </c>
      <c r="AV544" s="169" t="s">
        <v>634</v>
      </c>
      <c r="AW544" s="128"/>
      <c r="AX544" s="133"/>
      <c r="AY544" s="128"/>
      <c r="AZ544" s="128"/>
      <c r="BA544" s="128"/>
      <c r="BB544" s="133"/>
      <c r="BC544" s="128"/>
      <c r="BD544" s="133"/>
      <c r="BE544" s="128"/>
      <c r="BF544" s="128"/>
      <c r="BG544" s="128"/>
      <c r="BH544" s="133"/>
      <c r="BI544" s="128"/>
      <c r="BJ544" s="133"/>
      <c r="BK544" s="128"/>
      <c r="BL544" s="128"/>
      <c r="BM544" s="128"/>
      <c r="BN544" s="133"/>
      <c r="BO544" s="128"/>
      <c r="BP544" s="133"/>
      <c r="BQ544" s="128"/>
      <c r="BR544" s="128"/>
      <c r="BS544" s="128"/>
      <c r="BT544" s="133"/>
      <c r="BU544" s="128"/>
      <c r="BV544" s="133"/>
      <c r="BW544" s="128"/>
      <c r="BX544" s="128"/>
      <c r="BY544" s="128"/>
      <c r="BZ544" s="133"/>
      <c r="CA544" s="128"/>
      <c r="CB544" s="133"/>
      <c r="CC544" s="128"/>
      <c r="CD544" s="128"/>
      <c r="CE544" s="128"/>
      <c r="CF544" s="128"/>
    </row>
    <row r="545" spans="1:85" x14ac:dyDescent="0.5">
      <c r="A545" s="262"/>
      <c r="B545" s="135"/>
      <c r="C545" s="136"/>
      <c r="D545" s="137"/>
      <c r="E545" s="906"/>
      <c r="F545" s="940"/>
      <c r="G545" s="941"/>
      <c r="H545" s="179">
        <v>43644</v>
      </c>
      <c r="I545" s="140">
        <v>19178</v>
      </c>
      <c r="J545" s="963"/>
      <c r="K545" s="964"/>
      <c r="L545" s="135"/>
      <c r="M545" s="141"/>
      <c r="N545" s="135"/>
      <c r="O545" s="142"/>
      <c r="P545" s="142"/>
      <c r="Q545" s="142"/>
      <c r="R545" s="213"/>
      <c r="S545" s="172"/>
      <c r="T545" s="173"/>
      <c r="U545" s="174"/>
      <c r="V545" s="175"/>
      <c r="W545" s="148"/>
      <c r="X545" s="149"/>
      <c r="Y545" s="149"/>
      <c r="Z545" s="150"/>
      <c r="AA545" s="151"/>
      <c r="AB545" s="154"/>
      <c r="AC545" s="155"/>
      <c r="AD545" s="156"/>
      <c r="AE545" s="156"/>
      <c r="AF545" s="157"/>
      <c r="AG545" s="152"/>
      <c r="AH545" s="152"/>
      <c r="AI545" s="152"/>
      <c r="AJ545" s="134"/>
      <c r="AK545" s="158"/>
      <c r="AL545" s="159"/>
      <c r="AM545" s="160"/>
      <c r="AN545" s="160"/>
      <c r="AO545" s="161"/>
      <c r="AP545" s="162"/>
      <c r="AQ545" s="158"/>
      <c r="AR545" s="154"/>
      <c r="AS545" s="161"/>
      <c r="AT545" s="161"/>
      <c r="AU545" s="161"/>
      <c r="AV545" s="177"/>
      <c r="AW545" s="158"/>
      <c r="AX545" s="163"/>
      <c r="AY545" s="158"/>
      <c r="AZ545" s="158"/>
      <c r="BA545" s="158"/>
      <c r="BB545" s="163"/>
      <c r="BC545" s="158"/>
      <c r="BD545" s="163"/>
      <c r="BE545" s="158"/>
      <c r="BF545" s="158"/>
      <c r="BG545" s="158"/>
      <c r="BH545" s="163"/>
      <c r="BI545" s="158"/>
      <c r="BJ545" s="163"/>
      <c r="BK545" s="158"/>
      <c r="BL545" s="158"/>
      <c r="BM545" s="158"/>
      <c r="BN545" s="163"/>
      <c r="BO545" s="158"/>
      <c r="BP545" s="163"/>
      <c r="BQ545" s="158"/>
      <c r="BR545" s="158"/>
      <c r="BS545" s="158"/>
      <c r="BT545" s="163"/>
      <c r="BU545" s="158"/>
      <c r="BV545" s="163"/>
      <c r="BW545" s="158"/>
      <c r="BX545" s="158"/>
      <c r="BY545" s="158"/>
      <c r="BZ545" s="163"/>
      <c r="CA545" s="158"/>
      <c r="CB545" s="163"/>
      <c r="CC545" s="158"/>
      <c r="CD545" s="158"/>
      <c r="CE545" s="158"/>
      <c r="CF545" s="158"/>
    </row>
    <row r="546" spans="1:85" x14ac:dyDescent="0.5">
      <c r="A546" s="259">
        <v>19026133</v>
      </c>
      <c r="B546" s="104">
        <v>19020135</v>
      </c>
      <c r="C546" s="105" t="s">
        <v>1429</v>
      </c>
      <c r="D546" s="106" t="s">
        <v>1323</v>
      </c>
      <c r="E546" s="302">
        <v>43539</v>
      </c>
      <c r="F546" s="936" t="s">
        <v>1324</v>
      </c>
      <c r="G546" s="937" t="s">
        <v>1401</v>
      </c>
      <c r="H546" s="211">
        <v>43559</v>
      </c>
      <c r="I546" s="164">
        <v>19106</v>
      </c>
      <c r="J546" s="960" t="s">
        <v>869</v>
      </c>
      <c r="K546" s="965">
        <v>43560</v>
      </c>
      <c r="L546" s="104" t="s">
        <v>1613</v>
      </c>
      <c r="M546" s="110" t="s">
        <v>1688</v>
      </c>
      <c r="N546" s="104" t="s">
        <v>52</v>
      </c>
      <c r="O546" s="111">
        <v>580000</v>
      </c>
      <c r="P546" s="111">
        <f t="shared" si="139"/>
        <v>40600</v>
      </c>
      <c r="Q546" s="111">
        <f t="shared" si="140"/>
        <v>620600</v>
      </c>
      <c r="R546" s="311">
        <v>14000</v>
      </c>
      <c r="S546" s="824" t="s">
        <v>1619</v>
      </c>
      <c r="T546" s="114">
        <f>O546-R546-30000</f>
        <v>536000</v>
      </c>
      <c r="U546" s="115">
        <v>2</v>
      </c>
      <c r="V546" s="116">
        <f>T546*U546/100</f>
        <v>10720</v>
      </c>
      <c r="W546" s="117">
        <f>T546-V546</f>
        <v>525280</v>
      </c>
      <c r="X546" s="118">
        <v>0.2</v>
      </c>
      <c r="Y546" s="118">
        <f>W546*X546/100</f>
        <v>1050.56</v>
      </c>
      <c r="Z546" s="119">
        <v>0.2</v>
      </c>
      <c r="AA546" s="120">
        <f>W546*Z546/100</f>
        <v>1050.56</v>
      </c>
      <c r="AB546" s="123">
        <v>19030070</v>
      </c>
      <c r="AC546" s="124">
        <v>174000</v>
      </c>
      <c r="AD546" s="125">
        <f>AC546*7/100</f>
        <v>12180</v>
      </c>
      <c r="AE546" s="125">
        <f>AC546+AD546</f>
        <v>186180</v>
      </c>
      <c r="AF546" s="126">
        <v>43528</v>
      </c>
      <c r="AG546" s="127" t="s">
        <v>869</v>
      </c>
      <c r="AH546" s="127"/>
      <c r="AI546" s="127"/>
      <c r="AJ546" s="103" t="s">
        <v>1850</v>
      </c>
      <c r="AK546" s="128">
        <v>1</v>
      </c>
      <c r="AL546" s="129" t="s">
        <v>1689</v>
      </c>
      <c r="AM546" s="130" t="s">
        <v>869</v>
      </c>
      <c r="AN546" s="130"/>
      <c r="AO546" s="131">
        <v>2</v>
      </c>
      <c r="AP546" s="132" t="s">
        <v>636</v>
      </c>
      <c r="AQ546" s="128"/>
      <c r="AR546" s="133"/>
      <c r="AS546" s="128"/>
      <c r="AT546" s="128"/>
      <c r="AU546" s="128"/>
      <c r="AV546" s="133"/>
      <c r="AW546" s="128"/>
      <c r="AX546" s="133"/>
      <c r="AY546" s="128"/>
      <c r="AZ546" s="128"/>
      <c r="BA546" s="128"/>
      <c r="BB546" s="133"/>
      <c r="BC546" s="128"/>
      <c r="BD546" s="133"/>
      <c r="BE546" s="128"/>
      <c r="BF546" s="128"/>
      <c r="BG546" s="128"/>
      <c r="BH546" s="133"/>
      <c r="BI546" s="128"/>
      <c r="BJ546" s="133"/>
      <c r="BK546" s="128"/>
      <c r="BL546" s="128"/>
      <c r="BM546" s="128"/>
      <c r="BN546" s="133"/>
      <c r="BO546" s="128"/>
      <c r="BP546" s="133"/>
      <c r="BQ546" s="128"/>
      <c r="BR546" s="128"/>
      <c r="BS546" s="128"/>
      <c r="BT546" s="133"/>
      <c r="BU546" s="128"/>
      <c r="BV546" s="133"/>
      <c r="BW546" s="128"/>
      <c r="BX546" s="128"/>
      <c r="BY546" s="128"/>
      <c r="BZ546" s="133"/>
      <c r="CA546" s="128"/>
      <c r="CB546" s="133"/>
      <c r="CC546" s="128"/>
      <c r="CD546" s="128"/>
      <c r="CE546" s="128"/>
      <c r="CF546" s="128"/>
      <c r="CG546" s="51" t="s">
        <v>1780</v>
      </c>
    </row>
    <row r="547" spans="1:85" x14ac:dyDescent="0.5">
      <c r="A547" s="262"/>
      <c r="B547" s="135"/>
      <c r="C547" s="136"/>
      <c r="D547" s="137"/>
      <c r="E547" s="906"/>
      <c r="F547" s="940"/>
      <c r="G547" s="941"/>
      <c r="H547" s="170">
        <v>43559</v>
      </c>
      <c r="I547" s="251">
        <v>19107</v>
      </c>
      <c r="J547" s="963"/>
      <c r="K547" s="154"/>
      <c r="L547" s="135"/>
      <c r="M547" s="141"/>
      <c r="N547" s="135"/>
      <c r="O547" s="142"/>
      <c r="P547" s="142"/>
      <c r="Q547" s="142"/>
      <c r="R547" s="143"/>
      <c r="S547" s="825"/>
      <c r="T547" s="145"/>
      <c r="U547" s="146"/>
      <c r="V547" s="147"/>
      <c r="W547" s="148"/>
      <c r="X547" s="149"/>
      <c r="Y547" s="149"/>
      <c r="Z547" s="150"/>
      <c r="AA547" s="151"/>
      <c r="AB547" s="154">
        <v>19040120</v>
      </c>
      <c r="AC547" s="155">
        <v>406000</v>
      </c>
      <c r="AD547" s="156">
        <f>AC547*7/100</f>
        <v>28420</v>
      </c>
      <c r="AE547" s="156">
        <f>AC547+AD547</f>
        <v>434420</v>
      </c>
      <c r="AF547" s="157">
        <v>43617</v>
      </c>
      <c r="AG547" s="152" t="s">
        <v>869</v>
      </c>
      <c r="AH547" s="152"/>
      <c r="AI547" s="152"/>
      <c r="AJ547" s="134" t="s">
        <v>2048</v>
      </c>
      <c r="AK547" s="158"/>
      <c r="AL547" s="159"/>
      <c r="AM547" s="160"/>
      <c r="AN547" s="160"/>
      <c r="AO547" s="161"/>
      <c r="AP547" s="162"/>
      <c r="AQ547" s="158"/>
      <c r="AR547" s="163"/>
      <c r="AS547" s="158"/>
      <c r="AT547" s="158"/>
      <c r="AU547" s="158"/>
      <c r="AV547" s="163"/>
      <c r="AW547" s="158"/>
      <c r="AX547" s="163"/>
      <c r="AY547" s="158"/>
      <c r="AZ547" s="158"/>
      <c r="BA547" s="158"/>
      <c r="BB547" s="163"/>
      <c r="BC547" s="158"/>
      <c r="BD547" s="163"/>
      <c r="BE547" s="158"/>
      <c r="BF547" s="158"/>
      <c r="BG547" s="158"/>
      <c r="BH547" s="163"/>
      <c r="BI547" s="158"/>
      <c r="BJ547" s="163"/>
      <c r="BK547" s="158"/>
      <c r="BL547" s="158"/>
      <c r="BM547" s="158"/>
      <c r="BN547" s="163"/>
      <c r="BO547" s="158"/>
      <c r="BP547" s="163"/>
      <c r="BQ547" s="158"/>
      <c r="BR547" s="158"/>
      <c r="BS547" s="158"/>
      <c r="BT547" s="163"/>
      <c r="BU547" s="158"/>
      <c r="BV547" s="163"/>
      <c r="BW547" s="158"/>
      <c r="BX547" s="158"/>
      <c r="BY547" s="158"/>
      <c r="BZ547" s="163"/>
      <c r="CA547" s="158"/>
      <c r="CB547" s="163"/>
      <c r="CC547" s="158"/>
      <c r="CD547" s="158"/>
      <c r="CE547" s="158"/>
      <c r="CF547" s="158"/>
    </row>
    <row r="548" spans="1:85" x14ac:dyDescent="0.5">
      <c r="A548" s="262"/>
      <c r="B548" s="135"/>
      <c r="C548" s="136"/>
      <c r="D548" s="137"/>
      <c r="E548" s="906"/>
      <c r="F548" s="940"/>
      <c r="G548" s="941"/>
      <c r="H548" s="170">
        <v>43559</v>
      </c>
      <c r="I548" s="251">
        <v>19108</v>
      </c>
      <c r="J548" s="963"/>
      <c r="K548" s="154"/>
      <c r="L548" s="135"/>
      <c r="M548" s="141"/>
      <c r="N548" s="135"/>
      <c r="O548" s="142"/>
      <c r="P548" s="142"/>
      <c r="Q548" s="142"/>
      <c r="R548" s="143"/>
      <c r="S548" s="825"/>
      <c r="T548" s="145"/>
      <c r="U548" s="146"/>
      <c r="V548" s="147"/>
      <c r="W548" s="148"/>
      <c r="X548" s="149"/>
      <c r="Y548" s="149"/>
      <c r="Z548" s="150"/>
      <c r="AA548" s="151"/>
      <c r="AB548" s="154"/>
      <c r="AC548" s="155"/>
      <c r="AD548" s="156"/>
      <c r="AE548" s="156"/>
      <c r="AF548" s="157"/>
      <c r="AG548" s="152"/>
      <c r="AH548" s="152"/>
      <c r="AI548" s="152"/>
      <c r="AJ548" s="134"/>
      <c r="AK548" s="158"/>
      <c r="AL548" s="159"/>
      <c r="AM548" s="160"/>
      <c r="AN548" s="160"/>
      <c r="AO548" s="161"/>
      <c r="AP548" s="162"/>
      <c r="AQ548" s="158"/>
      <c r="AR548" s="163"/>
      <c r="AS548" s="158"/>
      <c r="AT548" s="158"/>
      <c r="AU548" s="158"/>
      <c r="AV548" s="163"/>
      <c r="AW548" s="158"/>
      <c r="AX548" s="163"/>
      <c r="AY548" s="158"/>
      <c r="AZ548" s="158"/>
      <c r="BA548" s="158"/>
      <c r="BB548" s="163"/>
      <c r="BC548" s="158"/>
      <c r="BD548" s="163"/>
      <c r="BE548" s="158"/>
      <c r="BF548" s="158"/>
      <c r="BG548" s="158"/>
      <c r="BH548" s="163"/>
      <c r="BI548" s="158"/>
      <c r="BJ548" s="163"/>
      <c r="BK548" s="158"/>
      <c r="BL548" s="158"/>
      <c r="BM548" s="158"/>
      <c r="BN548" s="163"/>
      <c r="BO548" s="158"/>
      <c r="BP548" s="163"/>
      <c r="BQ548" s="158"/>
      <c r="BR548" s="158"/>
      <c r="BS548" s="158"/>
      <c r="BT548" s="163"/>
      <c r="BU548" s="158"/>
      <c r="BV548" s="163"/>
      <c r="BW548" s="158"/>
      <c r="BX548" s="158"/>
      <c r="BY548" s="158"/>
      <c r="BZ548" s="163"/>
      <c r="CA548" s="158"/>
      <c r="CB548" s="163"/>
      <c r="CC548" s="158"/>
      <c r="CD548" s="158"/>
      <c r="CE548" s="158"/>
      <c r="CF548" s="158"/>
    </row>
    <row r="549" spans="1:85" x14ac:dyDescent="0.5">
      <c r="A549" s="268"/>
      <c r="B549" s="181"/>
      <c r="C549" s="182"/>
      <c r="D549" s="183"/>
      <c r="E549" s="749"/>
      <c r="F549" s="938"/>
      <c r="G549" s="939"/>
      <c r="H549" s="186">
        <v>43559</v>
      </c>
      <c r="I549" s="187">
        <v>19109</v>
      </c>
      <c r="J549" s="961"/>
      <c r="K549" s="200"/>
      <c r="L549" s="181"/>
      <c r="M549" s="188"/>
      <c r="N549" s="181"/>
      <c r="O549" s="189"/>
      <c r="P549" s="189"/>
      <c r="Q549" s="189"/>
      <c r="R549" s="190"/>
      <c r="S549" s="823"/>
      <c r="T549" s="216"/>
      <c r="U549" s="217"/>
      <c r="V549" s="218"/>
      <c r="W549" s="195"/>
      <c r="X549" s="196"/>
      <c r="Y549" s="196"/>
      <c r="Z549" s="197"/>
      <c r="AA549" s="198"/>
      <c r="AB549" s="200"/>
      <c r="AC549" s="201"/>
      <c r="AD549" s="202"/>
      <c r="AE549" s="202"/>
      <c r="AF549" s="203"/>
      <c r="AG549" s="199"/>
      <c r="AH549" s="199"/>
      <c r="AI549" s="199"/>
      <c r="AJ549" s="180"/>
      <c r="AK549" s="204"/>
      <c r="AL549" s="205"/>
      <c r="AM549" s="206"/>
      <c r="AN549" s="206"/>
      <c r="AO549" s="207"/>
      <c r="AP549" s="208"/>
      <c r="AQ549" s="204"/>
      <c r="AR549" s="210"/>
      <c r="AS549" s="204"/>
      <c r="AT549" s="204"/>
      <c r="AU549" s="204"/>
      <c r="AV549" s="210"/>
      <c r="AW549" s="204"/>
      <c r="AX549" s="210"/>
      <c r="AY549" s="204"/>
      <c r="AZ549" s="204"/>
      <c r="BA549" s="204"/>
      <c r="BB549" s="210"/>
      <c r="BC549" s="204"/>
      <c r="BD549" s="210"/>
      <c r="BE549" s="204"/>
      <c r="BF549" s="204"/>
      <c r="BG549" s="204"/>
      <c r="BH549" s="210"/>
      <c r="BI549" s="204"/>
      <c r="BJ549" s="210"/>
      <c r="BK549" s="204"/>
      <c r="BL549" s="204"/>
      <c r="BM549" s="204"/>
      <c r="BN549" s="210"/>
      <c r="BO549" s="204"/>
      <c r="BP549" s="210"/>
      <c r="BQ549" s="204"/>
      <c r="BR549" s="204"/>
      <c r="BS549" s="204"/>
      <c r="BT549" s="210"/>
      <c r="BU549" s="204"/>
      <c r="BV549" s="210"/>
      <c r="BW549" s="204"/>
      <c r="BX549" s="204"/>
      <c r="BY549" s="204"/>
      <c r="BZ549" s="210"/>
      <c r="CA549" s="204"/>
      <c r="CB549" s="210"/>
      <c r="CC549" s="204"/>
      <c r="CD549" s="204"/>
      <c r="CE549" s="204"/>
      <c r="CF549" s="204"/>
    </row>
    <row r="550" spans="1:85" x14ac:dyDescent="0.5">
      <c r="A550" s="227">
        <v>19026132</v>
      </c>
      <c r="B550" s="22">
        <v>19020183</v>
      </c>
      <c r="C550" s="55"/>
      <c r="D550" s="56"/>
      <c r="E550" s="884"/>
      <c r="F550" s="932"/>
      <c r="G550" s="933"/>
      <c r="H550" s="59"/>
      <c r="I550" s="60"/>
      <c r="J550" s="931"/>
      <c r="K550" s="40"/>
      <c r="L550" s="22" t="s">
        <v>273</v>
      </c>
      <c r="M550" s="28" t="s">
        <v>344</v>
      </c>
      <c r="N550" s="22" t="s">
        <v>51</v>
      </c>
      <c r="O550" s="29">
        <v>44000</v>
      </c>
      <c r="P550" s="29">
        <f t="shared" si="139"/>
        <v>3080</v>
      </c>
      <c r="Q550" s="29">
        <f t="shared" si="140"/>
        <v>47080</v>
      </c>
      <c r="R550" s="61"/>
      <c r="S550" s="96"/>
      <c r="T550" s="97"/>
      <c r="U550" s="98"/>
      <c r="V550" s="99"/>
      <c r="W550" s="100"/>
      <c r="X550" s="99"/>
      <c r="Y550" s="99"/>
      <c r="Z550" s="100"/>
      <c r="AA550" s="101"/>
      <c r="AB550" s="40">
        <v>19030082</v>
      </c>
      <c r="AC550" s="41">
        <v>44000</v>
      </c>
      <c r="AD550" s="63">
        <f>AC550*7/100</f>
        <v>3080</v>
      </c>
      <c r="AE550" s="64">
        <f>AC550+AD550</f>
        <v>47080</v>
      </c>
      <c r="AF550" s="53">
        <v>43563</v>
      </c>
      <c r="AG550" s="39" t="s">
        <v>869</v>
      </c>
      <c r="AH550" s="39"/>
      <c r="AI550" s="39"/>
      <c r="AJ550" s="21" t="s">
        <v>2234</v>
      </c>
      <c r="AK550" s="44">
        <v>1</v>
      </c>
      <c r="AL550" s="45" t="s">
        <v>1690</v>
      </c>
      <c r="AM550" s="46"/>
      <c r="AN550" s="46"/>
      <c r="AO550" s="47">
        <v>1</v>
      </c>
      <c r="AP550" s="48" t="s">
        <v>628</v>
      </c>
      <c r="AQ550" s="44">
        <v>2</v>
      </c>
      <c r="AR550" s="40" t="s">
        <v>1691</v>
      </c>
      <c r="AS550" s="47"/>
      <c r="AT550" s="47"/>
      <c r="AU550" s="47">
        <v>1</v>
      </c>
      <c r="AV550" s="49" t="s">
        <v>628</v>
      </c>
      <c r="AW550" s="44"/>
      <c r="AX550" s="54"/>
      <c r="AY550" s="44"/>
      <c r="AZ550" s="44"/>
      <c r="BA550" s="44"/>
      <c r="BB550" s="54"/>
      <c r="BC550" s="44"/>
      <c r="BD550" s="54"/>
      <c r="BE550" s="44"/>
      <c r="BF550" s="44"/>
      <c r="BG550" s="44"/>
      <c r="BH550" s="54"/>
      <c r="BI550" s="44"/>
      <c r="BJ550" s="54"/>
      <c r="BK550" s="44"/>
      <c r="BL550" s="44"/>
      <c r="BM550" s="44"/>
      <c r="BN550" s="54"/>
      <c r="BO550" s="44"/>
      <c r="BP550" s="54"/>
      <c r="BQ550" s="44"/>
      <c r="BR550" s="44"/>
      <c r="BS550" s="44"/>
      <c r="BT550" s="54"/>
      <c r="BU550" s="44"/>
      <c r="BV550" s="54"/>
      <c r="BW550" s="44"/>
      <c r="BX550" s="44"/>
      <c r="BY550" s="44"/>
      <c r="BZ550" s="54"/>
      <c r="CA550" s="44"/>
      <c r="CB550" s="54"/>
      <c r="CC550" s="44"/>
      <c r="CD550" s="44"/>
      <c r="CE550" s="44"/>
      <c r="CF550" s="44"/>
    </row>
    <row r="551" spans="1:85" x14ac:dyDescent="0.5">
      <c r="A551" s="227">
        <v>19026131</v>
      </c>
      <c r="B551" s="22">
        <v>19020179</v>
      </c>
      <c r="C551" s="23" t="s">
        <v>1430</v>
      </c>
      <c r="D551" s="24" t="s">
        <v>1323</v>
      </c>
      <c r="E551" s="884">
        <v>43531</v>
      </c>
      <c r="F551" s="932" t="s">
        <v>1324</v>
      </c>
      <c r="G551" s="933" t="s">
        <v>1410</v>
      </c>
      <c r="H551" s="62">
        <v>43543</v>
      </c>
      <c r="I551" s="27">
        <v>19092</v>
      </c>
      <c r="J551" s="931" t="s">
        <v>869</v>
      </c>
      <c r="K551" s="957">
        <v>43543</v>
      </c>
      <c r="L551" s="22" t="s">
        <v>1115</v>
      </c>
      <c r="M551" s="28" t="s">
        <v>1709</v>
      </c>
      <c r="N551" s="22" t="s">
        <v>52</v>
      </c>
      <c r="O551" s="29">
        <v>92000</v>
      </c>
      <c r="P551" s="29">
        <f t="shared" si="139"/>
        <v>6440</v>
      </c>
      <c r="Q551" s="29">
        <f t="shared" si="140"/>
        <v>98440</v>
      </c>
      <c r="R551" s="61"/>
      <c r="S551" s="31" t="s">
        <v>2696</v>
      </c>
      <c r="T551" s="32">
        <f>O551</f>
        <v>92000</v>
      </c>
      <c r="U551" s="33">
        <v>5</v>
      </c>
      <c r="V551" s="34">
        <f>T551*U551/100</f>
        <v>4600</v>
      </c>
      <c r="W551" s="35">
        <f>T551-V551</f>
        <v>87400</v>
      </c>
      <c r="X551" s="36">
        <v>0.3</v>
      </c>
      <c r="Y551" s="36">
        <f>W551*X551/100</f>
        <v>262.2</v>
      </c>
      <c r="Z551" s="37">
        <v>0.2</v>
      </c>
      <c r="AA551" s="38">
        <f>W551*Z551/100</f>
        <v>174.8</v>
      </c>
      <c r="AB551" s="40">
        <v>19030090</v>
      </c>
      <c r="AC551" s="41">
        <v>92000</v>
      </c>
      <c r="AD551" s="52">
        <f>AC551*7/100</f>
        <v>6440</v>
      </c>
      <c r="AE551" s="52">
        <f>AC551+AD551</f>
        <v>98440</v>
      </c>
      <c r="AF551" s="53">
        <v>43542</v>
      </c>
      <c r="AG551" s="39" t="s">
        <v>869</v>
      </c>
      <c r="AH551" s="39"/>
      <c r="AI551" s="39"/>
      <c r="AJ551" s="21" t="s">
        <v>1854</v>
      </c>
      <c r="AK551" s="44">
        <v>1</v>
      </c>
      <c r="AL551" s="45" t="s">
        <v>593</v>
      </c>
      <c r="AM551" s="46"/>
      <c r="AN551" s="46" t="s">
        <v>869</v>
      </c>
      <c r="AO551" s="47">
        <v>4</v>
      </c>
      <c r="AP551" s="48" t="s">
        <v>634</v>
      </c>
      <c r="AQ551" s="44"/>
      <c r="AR551" s="54"/>
      <c r="AS551" s="44"/>
      <c r="AT551" s="44"/>
      <c r="AU551" s="44"/>
      <c r="AV551" s="54"/>
      <c r="AW551" s="44"/>
      <c r="AX551" s="54"/>
      <c r="AY551" s="44"/>
      <c r="AZ551" s="44"/>
      <c r="BA551" s="44"/>
      <c r="BB551" s="54"/>
      <c r="BC551" s="44"/>
      <c r="BD551" s="54"/>
      <c r="BE551" s="44"/>
      <c r="BF551" s="44"/>
      <c r="BG551" s="44"/>
      <c r="BH551" s="54"/>
      <c r="BI551" s="44"/>
      <c r="BJ551" s="54"/>
      <c r="BK551" s="44"/>
      <c r="BL551" s="44"/>
      <c r="BM551" s="44"/>
      <c r="BN551" s="54"/>
      <c r="BO551" s="44"/>
      <c r="BP551" s="54"/>
      <c r="BQ551" s="44"/>
      <c r="BR551" s="44"/>
      <c r="BS551" s="44"/>
      <c r="BT551" s="54"/>
      <c r="BU551" s="44"/>
      <c r="BV551" s="54"/>
      <c r="BW551" s="44"/>
      <c r="BX551" s="44"/>
      <c r="BY551" s="44"/>
      <c r="BZ551" s="54"/>
      <c r="CA551" s="44"/>
      <c r="CB551" s="54"/>
      <c r="CC551" s="44"/>
      <c r="CD551" s="44"/>
      <c r="CE551" s="44"/>
      <c r="CF551" s="44"/>
    </row>
    <row r="552" spans="1:85" x14ac:dyDescent="0.5">
      <c r="A552" s="227">
        <v>19026130</v>
      </c>
      <c r="B552" s="22">
        <v>19020176</v>
      </c>
      <c r="C552" s="55"/>
      <c r="D552" s="56"/>
      <c r="E552" s="884"/>
      <c r="F552" s="932"/>
      <c r="G552" s="933"/>
      <c r="H552" s="59"/>
      <c r="I552" s="60"/>
      <c r="J552" s="931"/>
      <c r="K552" s="40"/>
      <c r="L552" s="22" t="s">
        <v>459</v>
      </c>
      <c r="M552" s="28" t="s">
        <v>1710</v>
      </c>
      <c r="N552" s="22" t="s">
        <v>50</v>
      </c>
      <c r="O552" s="29">
        <v>15000</v>
      </c>
      <c r="P552" s="29">
        <f t="shared" si="139"/>
        <v>1050</v>
      </c>
      <c r="Q552" s="29">
        <f t="shared" si="140"/>
        <v>16050</v>
      </c>
      <c r="R552" s="61"/>
      <c r="S552" s="96"/>
      <c r="T552" s="97"/>
      <c r="U552" s="98"/>
      <c r="V552" s="99"/>
      <c r="W552" s="35">
        <f>O552</f>
        <v>15000</v>
      </c>
      <c r="X552" s="36">
        <v>1</v>
      </c>
      <c r="Y552" s="36">
        <f>W552*X552/100</f>
        <v>150</v>
      </c>
      <c r="Z552" s="100"/>
      <c r="AA552" s="101"/>
      <c r="AB552" s="40">
        <v>19030064</v>
      </c>
      <c r="AC552" s="41">
        <v>15000</v>
      </c>
      <c r="AD552" s="63">
        <f>AC552*7/100</f>
        <v>1050</v>
      </c>
      <c r="AE552" s="64">
        <f>AC552+AD552</f>
        <v>16050</v>
      </c>
      <c r="AF552" s="53">
        <v>43528</v>
      </c>
      <c r="AG552" s="39" t="s">
        <v>869</v>
      </c>
      <c r="AH552" s="39"/>
      <c r="AI552" s="39"/>
      <c r="AJ552" s="21" t="s">
        <v>1745</v>
      </c>
      <c r="AK552" s="44">
        <v>1</v>
      </c>
      <c r="AL552" s="45" t="s">
        <v>1711</v>
      </c>
      <c r="AM552" s="46"/>
      <c r="AN552" s="46"/>
      <c r="AO552" s="47">
        <v>1</v>
      </c>
      <c r="AP552" s="48" t="s">
        <v>628</v>
      </c>
      <c r="AQ552" s="44"/>
      <c r="AR552" s="54"/>
      <c r="AS552" s="44"/>
      <c r="AT552" s="44"/>
      <c r="AU552" s="44"/>
      <c r="AV552" s="54"/>
      <c r="AW552" s="44"/>
      <c r="AX552" s="54"/>
      <c r="AY552" s="44"/>
      <c r="AZ552" s="44"/>
      <c r="BA552" s="44"/>
      <c r="BB552" s="54"/>
      <c r="BC552" s="44"/>
      <c r="BD552" s="54"/>
      <c r="BE552" s="44"/>
      <c r="BF552" s="44"/>
      <c r="BG552" s="44"/>
      <c r="BH552" s="54"/>
      <c r="BI552" s="44"/>
      <c r="BJ552" s="54"/>
      <c r="BK552" s="44"/>
      <c r="BL552" s="44"/>
      <c r="BM552" s="44"/>
      <c r="BN552" s="54"/>
      <c r="BO552" s="44"/>
      <c r="BP552" s="54"/>
      <c r="BQ552" s="44"/>
      <c r="BR552" s="44"/>
      <c r="BS552" s="44"/>
      <c r="BT552" s="54"/>
      <c r="BU552" s="44"/>
      <c r="BV552" s="54"/>
      <c r="BW552" s="44"/>
      <c r="BX552" s="44"/>
      <c r="BY552" s="44"/>
      <c r="BZ552" s="54"/>
      <c r="CA552" s="44"/>
      <c r="CB552" s="54"/>
      <c r="CC552" s="44"/>
      <c r="CD552" s="44"/>
      <c r="CE552" s="44"/>
      <c r="CF552" s="44"/>
    </row>
    <row r="553" spans="1:85" x14ac:dyDescent="0.5">
      <c r="A553" s="227">
        <v>19026129</v>
      </c>
      <c r="B553" s="22">
        <v>19020177</v>
      </c>
      <c r="C553" s="55"/>
      <c r="D553" s="56"/>
      <c r="E553" s="884"/>
      <c r="F553" s="932"/>
      <c r="G553" s="933"/>
      <c r="H553" s="59"/>
      <c r="I553" s="60"/>
      <c r="J553" s="931"/>
      <c r="K553" s="40"/>
      <c r="L553" s="22" t="s">
        <v>279</v>
      </c>
      <c r="M553" s="28" t="s">
        <v>172</v>
      </c>
      <c r="N553" s="22" t="s">
        <v>51</v>
      </c>
      <c r="O553" s="29">
        <v>25750</v>
      </c>
      <c r="P553" s="29">
        <f t="shared" si="139"/>
        <v>1802.5</v>
      </c>
      <c r="Q553" s="29">
        <f t="shared" si="140"/>
        <v>27552.5</v>
      </c>
      <c r="R553" s="61"/>
      <c r="S553" s="96"/>
      <c r="T553" s="97"/>
      <c r="U553" s="98"/>
      <c r="V553" s="99"/>
      <c r="W553" s="100"/>
      <c r="X553" s="99"/>
      <c r="Y553" s="99"/>
      <c r="Z553" s="100"/>
      <c r="AA553" s="101"/>
      <c r="AB553" s="40">
        <v>19030081</v>
      </c>
      <c r="AC553" s="41">
        <v>25750</v>
      </c>
      <c r="AD553" s="63">
        <f>AC553*7/100</f>
        <v>1802.5</v>
      </c>
      <c r="AE553" s="64">
        <f>AC553+AD553</f>
        <v>27552.5</v>
      </c>
      <c r="AF553" s="53">
        <v>43563</v>
      </c>
      <c r="AG553" s="39" t="s">
        <v>869</v>
      </c>
      <c r="AH553" s="39"/>
      <c r="AI553" s="39"/>
      <c r="AJ553" s="21" t="s">
        <v>2235</v>
      </c>
      <c r="AK553" s="44">
        <v>1</v>
      </c>
      <c r="AL553" s="45" t="s">
        <v>1712</v>
      </c>
      <c r="AM553" s="46"/>
      <c r="AN553" s="46"/>
      <c r="AO553" s="47">
        <v>1</v>
      </c>
      <c r="AP553" s="48" t="s">
        <v>628</v>
      </c>
      <c r="AQ553" s="44"/>
      <c r="AR553" s="54"/>
      <c r="AS553" s="44"/>
      <c r="AT553" s="44"/>
      <c r="AU553" s="44"/>
      <c r="AV553" s="54"/>
      <c r="AW553" s="44"/>
      <c r="AX553" s="54"/>
      <c r="AY553" s="44"/>
      <c r="AZ553" s="44"/>
      <c r="BA553" s="44"/>
      <c r="BB553" s="54"/>
      <c r="BC553" s="44"/>
      <c r="BD553" s="54"/>
      <c r="BE553" s="44"/>
      <c r="BF553" s="44"/>
      <c r="BG553" s="44"/>
      <c r="BH553" s="54"/>
      <c r="BI553" s="44"/>
      <c r="BJ553" s="54"/>
      <c r="BK553" s="44"/>
      <c r="BL553" s="44"/>
      <c r="BM553" s="44"/>
      <c r="BN553" s="54"/>
      <c r="BO553" s="44"/>
      <c r="BP553" s="54"/>
      <c r="BQ553" s="44"/>
      <c r="BR553" s="44"/>
      <c r="BS553" s="44"/>
      <c r="BT553" s="54"/>
      <c r="BU553" s="44"/>
      <c r="BV553" s="54"/>
      <c r="BW553" s="44"/>
      <c r="BX553" s="44"/>
      <c r="BY553" s="44"/>
      <c r="BZ553" s="54"/>
      <c r="CA553" s="44"/>
      <c r="CB553" s="54"/>
      <c r="CC553" s="44"/>
      <c r="CD553" s="44"/>
      <c r="CE553" s="44"/>
      <c r="CF553" s="44"/>
    </row>
    <row r="554" spans="1:85" s="95" customFormat="1" x14ac:dyDescent="0.5">
      <c r="A554" s="65">
        <v>19026128</v>
      </c>
      <c r="B554" s="66">
        <v>19010069</v>
      </c>
      <c r="C554" s="67" t="s">
        <v>1424</v>
      </c>
      <c r="D554" s="68" t="s">
        <v>1323</v>
      </c>
      <c r="E554" s="905">
        <v>43534</v>
      </c>
      <c r="F554" s="934"/>
      <c r="G554" s="935"/>
      <c r="H554" s="66"/>
      <c r="I554" s="71"/>
      <c r="J554" s="958"/>
      <c r="K554" s="84"/>
      <c r="L554" s="66" t="s">
        <v>1705</v>
      </c>
      <c r="M554" s="72" t="s">
        <v>1706</v>
      </c>
      <c r="N554" s="66" t="s">
        <v>1523</v>
      </c>
      <c r="O554" s="73">
        <v>255000</v>
      </c>
      <c r="P554" s="73">
        <f t="shared" si="139"/>
        <v>17850</v>
      </c>
      <c r="Q554" s="73">
        <f t="shared" si="140"/>
        <v>272850</v>
      </c>
      <c r="R554" s="318"/>
      <c r="S554" s="319"/>
      <c r="T554" s="320"/>
      <c r="U554" s="321"/>
      <c r="V554" s="322"/>
      <c r="W554" s="323"/>
      <c r="X554" s="322"/>
      <c r="Y554" s="322"/>
      <c r="Z554" s="323"/>
      <c r="AA554" s="324"/>
      <c r="AB554" s="84"/>
      <c r="AC554" s="85"/>
      <c r="AD554" s="86"/>
      <c r="AE554" s="86"/>
      <c r="AF554" s="87"/>
      <c r="AG554" s="83"/>
      <c r="AH554" s="83"/>
      <c r="AI554" s="83"/>
      <c r="AJ554" s="65"/>
      <c r="AK554" s="88">
        <v>1</v>
      </c>
      <c r="AL554" s="89" t="s">
        <v>1707</v>
      </c>
      <c r="AM554" s="90"/>
      <c r="AN554" s="90" t="s">
        <v>869</v>
      </c>
      <c r="AO554" s="91">
        <v>1</v>
      </c>
      <c r="AP554" s="92" t="s">
        <v>634</v>
      </c>
      <c r="AQ554" s="88">
        <v>2</v>
      </c>
      <c r="AR554" s="84" t="s">
        <v>1708</v>
      </c>
      <c r="AS554" s="91"/>
      <c r="AT554" s="91" t="s">
        <v>869</v>
      </c>
      <c r="AU554" s="91">
        <v>1</v>
      </c>
      <c r="AV554" s="93" t="s">
        <v>634</v>
      </c>
      <c r="AW554" s="88">
        <v>3</v>
      </c>
      <c r="AX554" s="84" t="s">
        <v>716</v>
      </c>
      <c r="AY554" s="91"/>
      <c r="AZ554" s="91" t="s">
        <v>869</v>
      </c>
      <c r="BA554" s="91">
        <v>2</v>
      </c>
      <c r="BB554" s="93" t="s">
        <v>634</v>
      </c>
      <c r="BC554" s="88"/>
      <c r="BD554" s="94"/>
      <c r="BE554" s="88"/>
      <c r="BF554" s="88"/>
      <c r="BG554" s="88"/>
      <c r="BH554" s="94"/>
      <c r="BI554" s="88"/>
      <c r="BJ554" s="94"/>
      <c r="BK554" s="88"/>
      <c r="BL554" s="88"/>
      <c r="BM554" s="88"/>
      <c r="BN554" s="94"/>
      <c r="BO554" s="88"/>
      <c r="BP554" s="94"/>
      <c r="BQ554" s="88"/>
      <c r="BR554" s="88"/>
      <c r="BS554" s="88"/>
      <c r="BT554" s="94"/>
      <c r="BU554" s="88"/>
      <c r="BV554" s="94"/>
      <c r="BW554" s="88"/>
      <c r="BX554" s="88"/>
      <c r="BY554" s="88"/>
      <c r="BZ554" s="94"/>
      <c r="CA554" s="88"/>
      <c r="CB554" s="94"/>
      <c r="CC554" s="88"/>
      <c r="CD554" s="88"/>
      <c r="CE554" s="88"/>
      <c r="CF554" s="88"/>
    </row>
    <row r="555" spans="1:85" x14ac:dyDescent="0.5">
      <c r="A555" s="227">
        <v>19026127</v>
      </c>
      <c r="B555" s="22">
        <v>19020155</v>
      </c>
      <c r="C555" s="23" t="s">
        <v>1425</v>
      </c>
      <c r="D555" s="24" t="s">
        <v>1323</v>
      </c>
      <c r="E555" s="884">
        <v>43524</v>
      </c>
      <c r="F555" s="932" t="s">
        <v>1324</v>
      </c>
      <c r="G555" s="933" t="s">
        <v>1417</v>
      </c>
      <c r="H555" s="62">
        <v>43528</v>
      </c>
      <c r="I555" s="27">
        <v>19078</v>
      </c>
      <c r="J555" s="931" t="s">
        <v>869</v>
      </c>
      <c r="K555" s="957">
        <v>43528</v>
      </c>
      <c r="L555" s="22" t="s">
        <v>20</v>
      </c>
      <c r="M555" s="28" t="s">
        <v>160</v>
      </c>
      <c r="N555" s="22" t="s">
        <v>51</v>
      </c>
      <c r="O555" s="29">
        <v>340000</v>
      </c>
      <c r="P555" s="29">
        <f t="shared" si="139"/>
        <v>23800</v>
      </c>
      <c r="Q555" s="29">
        <f t="shared" si="140"/>
        <v>363800</v>
      </c>
      <c r="R555" s="61"/>
      <c r="S555" s="96"/>
      <c r="T555" s="97"/>
      <c r="U555" s="98"/>
      <c r="V555" s="99"/>
      <c r="W555" s="100"/>
      <c r="X555" s="99"/>
      <c r="Y555" s="99"/>
      <c r="Z555" s="100"/>
      <c r="AA555" s="101"/>
      <c r="AB555" s="40">
        <v>19030077</v>
      </c>
      <c r="AC555" s="41">
        <v>340000</v>
      </c>
      <c r="AD555" s="52">
        <f t="shared" ref="AD555:AD562" si="143">AC555*7/100</f>
        <v>23800</v>
      </c>
      <c r="AE555" s="52">
        <f t="shared" ref="AE555:AE562" si="144">AC555+AD555</f>
        <v>363800</v>
      </c>
      <c r="AF555" s="53">
        <v>43561</v>
      </c>
      <c r="AG555" s="39" t="s">
        <v>869</v>
      </c>
      <c r="AH555" s="39"/>
      <c r="AI555" s="39"/>
      <c r="AJ555" s="21" t="s">
        <v>2036</v>
      </c>
      <c r="AK555" s="44">
        <v>1</v>
      </c>
      <c r="AL555" s="45" t="s">
        <v>1679</v>
      </c>
      <c r="AM555" s="46"/>
      <c r="AN555" s="46" t="s">
        <v>869</v>
      </c>
      <c r="AO555" s="47">
        <v>1</v>
      </c>
      <c r="AP555" s="48" t="s">
        <v>633</v>
      </c>
      <c r="AQ555" s="44"/>
      <c r="AR555" s="54"/>
      <c r="AS555" s="44"/>
      <c r="AT555" s="44"/>
      <c r="AU555" s="44"/>
      <c r="AV555" s="54"/>
      <c r="AW555" s="44"/>
      <c r="AX555" s="54"/>
      <c r="AY555" s="44"/>
      <c r="AZ555" s="44"/>
      <c r="BA555" s="44"/>
      <c r="BB555" s="54"/>
      <c r="BC555" s="44"/>
      <c r="BD555" s="54"/>
      <c r="BE555" s="44"/>
      <c r="BF555" s="44"/>
      <c r="BG555" s="44"/>
      <c r="BH555" s="54"/>
      <c r="BI555" s="44"/>
      <c r="BJ555" s="54"/>
      <c r="BK555" s="44"/>
      <c r="BL555" s="44"/>
      <c r="BM555" s="44"/>
      <c r="BN555" s="54"/>
      <c r="BO555" s="44"/>
      <c r="BP555" s="54"/>
      <c r="BQ555" s="44"/>
      <c r="BR555" s="44"/>
      <c r="BS555" s="44"/>
      <c r="BT555" s="54"/>
      <c r="BU555" s="44"/>
      <c r="BV555" s="54"/>
      <c r="BW555" s="44"/>
      <c r="BX555" s="44"/>
      <c r="BY555" s="44"/>
      <c r="BZ555" s="54"/>
      <c r="CA555" s="44"/>
      <c r="CB555" s="54"/>
      <c r="CC555" s="44"/>
      <c r="CD555" s="44"/>
      <c r="CE555" s="44"/>
      <c r="CF555" s="44"/>
    </row>
    <row r="556" spans="1:85" x14ac:dyDescent="0.5">
      <c r="A556" s="227">
        <v>19026126</v>
      </c>
      <c r="B556" s="22">
        <v>19020154</v>
      </c>
      <c r="C556" s="55"/>
      <c r="D556" s="56"/>
      <c r="E556" s="884"/>
      <c r="F556" s="932"/>
      <c r="G556" s="933"/>
      <c r="H556" s="59"/>
      <c r="I556" s="60"/>
      <c r="J556" s="931"/>
      <c r="K556" s="40"/>
      <c r="L556" s="22" t="s">
        <v>496</v>
      </c>
      <c r="M556" s="28" t="s">
        <v>497</v>
      </c>
      <c r="N556" s="22" t="s">
        <v>51</v>
      </c>
      <c r="O556" s="29">
        <v>27550</v>
      </c>
      <c r="P556" s="29">
        <f t="shared" si="139"/>
        <v>1928.5</v>
      </c>
      <c r="Q556" s="29">
        <f t="shared" si="140"/>
        <v>29478.5</v>
      </c>
      <c r="R556" s="61"/>
      <c r="S556" s="96"/>
      <c r="T556" s="97"/>
      <c r="U556" s="98"/>
      <c r="V556" s="99"/>
      <c r="W556" s="100"/>
      <c r="X556" s="99"/>
      <c r="Y556" s="99"/>
      <c r="Z556" s="100"/>
      <c r="AA556" s="101"/>
      <c r="AB556" s="40">
        <v>19020056</v>
      </c>
      <c r="AC556" s="41">
        <v>27550</v>
      </c>
      <c r="AD556" s="52">
        <f t="shared" si="143"/>
        <v>1928.5</v>
      </c>
      <c r="AE556" s="52">
        <f t="shared" si="144"/>
        <v>29478.5</v>
      </c>
      <c r="AF556" s="53">
        <v>43512</v>
      </c>
      <c r="AG556" s="39" t="s">
        <v>869</v>
      </c>
      <c r="AH556" s="39"/>
      <c r="AI556" s="39"/>
      <c r="AJ556" s="21" t="s">
        <v>1755</v>
      </c>
      <c r="AK556" s="44">
        <v>1</v>
      </c>
      <c r="AL556" s="45" t="s">
        <v>1011</v>
      </c>
      <c r="AM556" s="46"/>
      <c r="AN556" s="46"/>
      <c r="AO556" s="47">
        <v>1</v>
      </c>
      <c r="AP556" s="48" t="s">
        <v>628</v>
      </c>
      <c r="AQ556" s="44">
        <v>2</v>
      </c>
      <c r="AR556" s="40" t="s">
        <v>1680</v>
      </c>
      <c r="AS556" s="47"/>
      <c r="AT556" s="47"/>
      <c r="AU556" s="47">
        <v>1</v>
      </c>
      <c r="AV556" s="49" t="s">
        <v>628</v>
      </c>
      <c r="AW556" s="44">
        <v>3</v>
      </c>
      <c r="AX556" s="40" t="s">
        <v>1681</v>
      </c>
      <c r="AY556" s="47"/>
      <c r="AZ556" s="47"/>
      <c r="BA556" s="47">
        <v>1</v>
      </c>
      <c r="BB556" s="49" t="s">
        <v>628</v>
      </c>
      <c r="BC556" s="44"/>
      <c r="BD556" s="54"/>
      <c r="BE556" s="44"/>
      <c r="BF556" s="44"/>
      <c r="BG556" s="44"/>
      <c r="BH556" s="54"/>
      <c r="BI556" s="44"/>
      <c r="BJ556" s="54"/>
      <c r="BK556" s="44"/>
      <c r="BL556" s="44"/>
      <c r="BM556" s="44"/>
      <c r="BN556" s="54"/>
      <c r="BO556" s="44"/>
      <c r="BP556" s="54"/>
      <c r="BQ556" s="44"/>
      <c r="BR556" s="44"/>
      <c r="BS556" s="44"/>
      <c r="BT556" s="54"/>
      <c r="BU556" s="44"/>
      <c r="BV556" s="54"/>
      <c r="BW556" s="44"/>
      <c r="BX556" s="44"/>
      <c r="BY556" s="44"/>
      <c r="BZ556" s="54"/>
      <c r="CA556" s="44"/>
      <c r="CB556" s="54"/>
      <c r="CC556" s="44"/>
      <c r="CD556" s="44"/>
      <c r="CE556" s="44"/>
      <c r="CF556" s="44"/>
    </row>
    <row r="557" spans="1:85" x14ac:dyDescent="0.5">
      <c r="A557" s="227">
        <v>19026125</v>
      </c>
      <c r="B557" s="22">
        <v>19020148</v>
      </c>
      <c r="C557" s="55"/>
      <c r="D557" s="56"/>
      <c r="E557" s="884"/>
      <c r="F557" s="932"/>
      <c r="G557" s="933"/>
      <c r="H557" s="59"/>
      <c r="I557" s="60"/>
      <c r="J557" s="931"/>
      <c r="K557" s="40"/>
      <c r="L557" s="22" t="s">
        <v>1682</v>
      </c>
      <c r="M557" s="28" t="s">
        <v>344</v>
      </c>
      <c r="N557" s="22" t="s">
        <v>51</v>
      </c>
      <c r="O557" s="29">
        <v>70000</v>
      </c>
      <c r="P557" s="29">
        <f t="shared" si="139"/>
        <v>4900</v>
      </c>
      <c r="Q557" s="29">
        <f t="shared" si="140"/>
        <v>74900</v>
      </c>
      <c r="R557" s="61"/>
      <c r="S557" s="96"/>
      <c r="T557" s="97"/>
      <c r="U557" s="98"/>
      <c r="V557" s="99"/>
      <c r="W557" s="100"/>
      <c r="X557" s="99"/>
      <c r="Y557" s="99"/>
      <c r="Z557" s="100"/>
      <c r="AA557" s="101"/>
      <c r="AB557" s="40">
        <v>19020059</v>
      </c>
      <c r="AC557" s="41">
        <v>70000</v>
      </c>
      <c r="AD557" s="63">
        <f t="shared" si="143"/>
        <v>4900</v>
      </c>
      <c r="AE557" s="64">
        <f t="shared" si="144"/>
        <v>74900</v>
      </c>
      <c r="AF557" s="53">
        <v>43548</v>
      </c>
      <c r="AG557" s="39" t="s">
        <v>869</v>
      </c>
      <c r="AH557" s="39"/>
      <c r="AI557" s="39"/>
      <c r="AJ557" s="21" t="s">
        <v>2239</v>
      </c>
      <c r="AK557" s="44">
        <v>1</v>
      </c>
      <c r="AL557" s="45" t="s">
        <v>1683</v>
      </c>
      <c r="AM557" s="46"/>
      <c r="AN557" s="46"/>
      <c r="AO557" s="47">
        <v>1</v>
      </c>
      <c r="AP557" s="48" t="s">
        <v>628</v>
      </c>
      <c r="AQ557" s="44">
        <v>2</v>
      </c>
      <c r="AR557" s="40" t="s">
        <v>1684</v>
      </c>
      <c r="AS557" s="47"/>
      <c r="AT557" s="47"/>
      <c r="AU557" s="47">
        <v>1</v>
      </c>
      <c r="AV557" s="49" t="s">
        <v>628</v>
      </c>
      <c r="AW557" s="44"/>
      <c r="AX557" s="54"/>
      <c r="AY557" s="44"/>
      <c r="AZ557" s="44"/>
      <c r="BA557" s="44"/>
      <c r="BB557" s="54"/>
      <c r="BC557" s="44"/>
      <c r="BD557" s="54"/>
      <c r="BE557" s="44"/>
      <c r="BF557" s="44"/>
      <c r="BG557" s="44"/>
      <c r="BH557" s="54"/>
      <c r="BI557" s="44"/>
      <c r="BJ557" s="54"/>
      <c r="BK557" s="44"/>
      <c r="BL557" s="44"/>
      <c r="BM557" s="44"/>
      <c r="BN557" s="54"/>
      <c r="BO557" s="44"/>
      <c r="BP557" s="54"/>
      <c r="BQ557" s="44"/>
      <c r="BR557" s="44"/>
      <c r="BS557" s="44"/>
      <c r="BT557" s="54"/>
      <c r="BU557" s="44"/>
      <c r="BV557" s="54"/>
      <c r="BW557" s="44"/>
      <c r="BX557" s="44"/>
      <c r="BY557" s="44"/>
      <c r="BZ557" s="54"/>
      <c r="CA557" s="44"/>
      <c r="CB557" s="54"/>
      <c r="CC557" s="44"/>
      <c r="CD557" s="44"/>
      <c r="CE557" s="44"/>
      <c r="CF557" s="44"/>
    </row>
    <row r="558" spans="1:85" x14ac:dyDescent="0.5">
      <c r="A558" s="227">
        <v>19026124</v>
      </c>
      <c r="B558" s="22">
        <v>19020140</v>
      </c>
      <c r="C558" s="23" t="s">
        <v>1426</v>
      </c>
      <c r="D558" s="24" t="s">
        <v>1323</v>
      </c>
      <c r="E558" s="884">
        <v>43522</v>
      </c>
      <c r="F558" s="932" t="s">
        <v>1324</v>
      </c>
      <c r="G558" s="933" t="s">
        <v>1421</v>
      </c>
      <c r="H558" s="62">
        <v>43522</v>
      </c>
      <c r="I558" s="27">
        <v>19075</v>
      </c>
      <c r="J558" s="931" t="s">
        <v>869</v>
      </c>
      <c r="K558" s="957">
        <v>43522</v>
      </c>
      <c r="L558" s="22" t="s">
        <v>1115</v>
      </c>
      <c r="M558" s="28" t="s">
        <v>1618</v>
      </c>
      <c r="N558" s="22" t="s">
        <v>52</v>
      </c>
      <c r="O558" s="29">
        <v>161000</v>
      </c>
      <c r="P558" s="29">
        <f t="shared" ref="P558:P566" si="145">O558*7/100</f>
        <v>11270</v>
      </c>
      <c r="Q558" s="29">
        <f t="shared" ref="Q558:Q566" si="146">O558+P558</f>
        <v>172270</v>
      </c>
      <c r="R558" s="61"/>
      <c r="S558" s="31" t="s">
        <v>2696</v>
      </c>
      <c r="T558" s="32">
        <f>O558</f>
        <v>161000</v>
      </c>
      <c r="U558" s="33">
        <v>5</v>
      </c>
      <c r="V558" s="34">
        <f>T558*U558/100</f>
        <v>8050</v>
      </c>
      <c r="W558" s="35">
        <f>T558-V558</f>
        <v>152950</v>
      </c>
      <c r="X558" s="36">
        <v>0.4</v>
      </c>
      <c r="Y558" s="36">
        <f>W558*X558/100</f>
        <v>611.79999999999995</v>
      </c>
      <c r="Z558" s="37">
        <v>0.2</v>
      </c>
      <c r="AA558" s="38">
        <f>W558*Z558/100</f>
        <v>305.89999999999998</v>
      </c>
      <c r="AB558" s="40">
        <v>19020058</v>
      </c>
      <c r="AC558" s="41">
        <v>161000</v>
      </c>
      <c r="AD558" s="52">
        <f t="shared" si="143"/>
        <v>11270</v>
      </c>
      <c r="AE558" s="52">
        <f t="shared" si="144"/>
        <v>172270</v>
      </c>
      <c r="AF558" s="53">
        <v>43517</v>
      </c>
      <c r="AG558" s="39" t="s">
        <v>869</v>
      </c>
      <c r="AH558" s="39"/>
      <c r="AI558" s="39"/>
      <c r="AJ558" s="21" t="s">
        <v>1747</v>
      </c>
      <c r="AK558" s="44">
        <v>1</v>
      </c>
      <c r="AL558" s="45" t="s">
        <v>1685</v>
      </c>
      <c r="AM558" s="46"/>
      <c r="AN558" s="46" t="s">
        <v>869</v>
      </c>
      <c r="AO558" s="47">
        <v>2</v>
      </c>
      <c r="AP558" s="48" t="s">
        <v>634</v>
      </c>
      <c r="AQ558" s="44">
        <v>2</v>
      </c>
      <c r="AR558" s="40" t="s">
        <v>1686</v>
      </c>
      <c r="AS558" s="47" t="s">
        <v>869</v>
      </c>
      <c r="AT558" s="47"/>
      <c r="AU558" s="47">
        <v>1</v>
      </c>
      <c r="AV558" s="49" t="s">
        <v>636</v>
      </c>
      <c r="AW558" s="44"/>
      <c r="AX558" s="54"/>
      <c r="AY558" s="44"/>
      <c r="AZ558" s="44"/>
      <c r="BA558" s="44"/>
      <c r="BB558" s="54"/>
      <c r="BC558" s="44"/>
      <c r="BD558" s="54"/>
      <c r="BE558" s="44"/>
      <c r="BF558" s="44"/>
      <c r="BG558" s="44"/>
      <c r="BH558" s="54"/>
      <c r="BI558" s="44"/>
      <c r="BJ558" s="54"/>
      <c r="BK558" s="44"/>
      <c r="BL558" s="44"/>
      <c r="BM558" s="44"/>
      <c r="BN558" s="54"/>
      <c r="BO558" s="44"/>
      <c r="BP558" s="54"/>
      <c r="BQ558" s="44"/>
      <c r="BR558" s="44"/>
      <c r="BS558" s="44"/>
      <c r="BT558" s="54"/>
      <c r="BU558" s="44"/>
      <c r="BV558" s="54"/>
      <c r="BW558" s="44"/>
      <c r="BX558" s="44"/>
      <c r="BY558" s="44"/>
      <c r="BZ558" s="54"/>
      <c r="CA558" s="44"/>
      <c r="CB558" s="54"/>
      <c r="CC558" s="44"/>
      <c r="CD558" s="44"/>
      <c r="CE558" s="44"/>
      <c r="CF558" s="44"/>
    </row>
    <row r="559" spans="1:85" x14ac:dyDescent="0.5">
      <c r="A559" s="227">
        <v>19026123</v>
      </c>
      <c r="B559" s="22">
        <v>18111042</v>
      </c>
      <c r="C559" s="23" t="s">
        <v>1420</v>
      </c>
      <c r="D559" s="24" t="s">
        <v>1323</v>
      </c>
      <c r="E559" s="884">
        <v>43522</v>
      </c>
      <c r="F559" s="932" t="s">
        <v>1324</v>
      </c>
      <c r="G559" s="933" t="s">
        <v>1411</v>
      </c>
      <c r="H559" s="62">
        <v>43538</v>
      </c>
      <c r="I559" s="27">
        <v>19089</v>
      </c>
      <c r="J559" s="931" t="s">
        <v>869</v>
      </c>
      <c r="K559" s="957">
        <v>43538</v>
      </c>
      <c r="L559" s="22" t="s">
        <v>1115</v>
      </c>
      <c r="M559" s="28" t="s">
        <v>1617</v>
      </c>
      <c r="N559" s="22" t="s">
        <v>52</v>
      </c>
      <c r="O559" s="29">
        <v>93457.94</v>
      </c>
      <c r="P559" s="29">
        <f t="shared" si="145"/>
        <v>6542.055800000001</v>
      </c>
      <c r="Q559" s="29">
        <f t="shared" si="146"/>
        <v>99999.995800000004</v>
      </c>
      <c r="R559" s="61"/>
      <c r="S559" s="31" t="s">
        <v>2696</v>
      </c>
      <c r="T559" s="32">
        <f>O559</f>
        <v>93457.94</v>
      </c>
      <c r="U559" s="33">
        <v>5</v>
      </c>
      <c r="V559" s="34">
        <f>T559*U559/100</f>
        <v>4672.8969999999999</v>
      </c>
      <c r="W559" s="35">
        <f>T559-V559</f>
        <v>88785.043000000005</v>
      </c>
      <c r="X559" s="36">
        <v>0.39</v>
      </c>
      <c r="Y559" s="36">
        <f>W559*X559/100</f>
        <v>346.26166770000003</v>
      </c>
      <c r="Z559" s="37">
        <v>0.2</v>
      </c>
      <c r="AA559" s="38">
        <f>W559*Z559/100</f>
        <v>177.570086</v>
      </c>
      <c r="AB559" s="40">
        <v>19030089</v>
      </c>
      <c r="AC559" s="41">
        <v>93457.94</v>
      </c>
      <c r="AD559" s="63">
        <f t="shared" si="143"/>
        <v>6542.055800000001</v>
      </c>
      <c r="AE559" s="63">
        <f t="shared" si="144"/>
        <v>99999.995800000004</v>
      </c>
      <c r="AF559" s="53">
        <v>43538</v>
      </c>
      <c r="AG559" s="39" t="s">
        <v>869</v>
      </c>
      <c r="AH559" s="39"/>
      <c r="AI559" s="39"/>
      <c r="AJ559" s="21" t="s">
        <v>1858</v>
      </c>
      <c r="AK559" s="44">
        <v>1</v>
      </c>
      <c r="AL559" s="45" t="s">
        <v>658</v>
      </c>
      <c r="AM559" s="46"/>
      <c r="AN559" s="46" t="s">
        <v>869</v>
      </c>
      <c r="AO559" s="47">
        <v>1</v>
      </c>
      <c r="AP559" s="48" t="s">
        <v>634</v>
      </c>
      <c r="AQ559" s="44">
        <v>2</v>
      </c>
      <c r="AR559" s="40" t="s">
        <v>657</v>
      </c>
      <c r="AS559" s="47"/>
      <c r="AT559" s="47" t="s">
        <v>869</v>
      </c>
      <c r="AU559" s="47">
        <v>1</v>
      </c>
      <c r="AV559" s="49" t="s">
        <v>634</v>
      </c>
      <c r="AW559" s="44"/>
      <c r="AX559" s="54"/>
      <c r="AY559" s="44"/>
      <c r="AZ559" s="44"/>
      <c r="BA559" s="44"/>
      <c r="BB559" s="54"/>
      <c r="BC559" s="44"/>
      <c r="BD559" s="54"/>
      <c r="BE559" s="44"/>
      <c r="BF559" s="44"/>
      <c r="BG559" s="44"/>
      <c r="BH559" s="54"/>
      <c r="BI559" s="44"/>
      <c r="BJ559" s="54"/>
      <c r="BK559" s="44"/>
      <c r="BL559" s="44"/>
      <c r="BM559" s="44"/>
      <c r="BN559" s="54"/>
      <c r="BO559" s="44"/>
      <c r="BP559" s="54"/>
      <c r="BQ559" s="44"/>
      <c r="BR559" s="44"/>
      <c r="BS559" s="44"/>
      <c r="BT559" s="54"/>
      <c r="BU559" s="44"/>
      <c r="BV559" s="54"/>
      <c r="BW559" s="44"/>
      <c r="BX559" s="44"/>
      <c r="BY559" s="44"/>
      <c r="BZ559" s="54"/>
      <c r="CA559" s="44"/>
      <c r="CB559" s="54"/>
      <c r="CC559" s="44"/>
      <c r="CD559" s="44"/>
      <c r="CE559" s="44"/>
      <c r="CF559" s="44"/>
    </row>
    <row r="560" spans="1:85" x14ac:dyDescent="0.5">
      <c r="A560" s="227">
        <v>19026122</v>
      </c>
      <c r="B560" s="22">
        <v>19020138</v>
      </c>
      <c r="C560" s="23" t="s">
        <v>1427</v>
      </c>
      <c r="D560" s="24" t="s">
        <v>1323</v>
      </c>
      <c r="E560" s="884">
        <v>43521</v>
      </c>
      <c r="F560" s="932" t="s">
        <v>1324</v>
      </c>
      <c r="G560" s="933" t="s">
        <v>1422</v>
      </c>
      <c r="H560" s="62">
        <v>43521</v>
      </c>
      <c r="I560" s="27">
        <v>19073</v>
      </c>
      <c r="J560" s="931" t="s">
        <v>869</v>
      </c>
      <c r="K560" s="957">
        <v>43521</v>
      </c>
      <c r="L560" s="22" t="s">
        <v>15</v>
      </c>
      <c r="M560" s="28" t="s">
        <v>1610</v>
      </c>
      <c r="N560" s="22" t="s">
        <v>51</v>
      </c>
      <c r="O560" s="29">
        <v>72600</v>
      </c>
      <c r="P560" s="29">
        <f t="shared" si="145"/>
        <v>5082</v>
      </c>
      <c r="Q560" s="29">
        <f t="shared" si="146"/>
        <v>77682</v>
      </c>
      <c r="R560" s="61"/>
      <c r="S560" s="96"/>
      <c r="T560" s="97"/>
      <c r="U560" s="98"/>
      <c r="V560" s="99"/>
      <c r="W560" s="100"/>
      <c r="X560" s="99"/>
      <c r="Y560" s="99"/>
      <c r="Z560" s="100"/>
      <c r="AA560" s="101"/>
      <c r="AB560" s="40">
        <v>19030066</v>
      </c>
      <c r="AC560" s="41">
        <v>72600</v>
      </c>
      <c r="AD560" s="52">
        <f t="shared" si="143"/>
        <v>5082</v>
      </c>
      <c r="AE560" s="52">
        <f t="shared" si="144"/>
        <v>77682</v>
      </c>
      <c r="AF560" s="53">
        <v>43573</v>
      </c>
      <c r="AG560" s="39" t="s">
        <v>869</v>
      </c>
      <c r="AH560" s="39"/>
      <c r="AI560" s="39"/>
      <c r="AJ560" s="21" t="s">
        <v>1873</v>
      </c>
      <c r="AK560" s="44">
        <v>1</v>
      </c>
      <c r="AL560" s="45" t="s">
        <v>1611</v>
      </c>
      <c r="AM560" s="46"/>
      <c r="AN560" s="46" t="s">
        <v>869</v>
      </c>
      <c r="AO560" s="47">
        <v>1</v>
      </c>
      <c r="AP560" s="48" t="s">
        <v>633</v>
      </c>
      <c r="AQ560" s="44">
        <v>2</v>
      </c>
      <c r="AR560" s="40" t="s">
        <v>613</v>
      </c>
      <c r="AS560" s="47"/>
      <c r="AT560" s="47"/>
      <c r="AU560" s="47">
        <v>1</v>
      </c>
      <c r="AV560" s="49"/>
      <c r="AW560" s="44">
        <v>3</v>
      </c>
      <c r="AX560" s="40" t="s">
        <v>890</v>
      </c>
      <c r="AY560" s="47"/>
      <c r="AZ560" s="47" t="s">
        <v>869</v>
      </c>
      <c r="BA560" s="47">
        <v>1</v>
      </c>
      <c r="BB560" s="49" t="s">
        <v>633</v>
      </c>
      <c r="BC560" s="44"/>
      <c r="BD560" s="54"/>
      <c r="BE560" s="44"/>
      <c r="BF560" s="44"/>
      <c r="BG560" s="44"/>
      <c r="BH560" s="54"/>
      <c r="BI560" s="44"/>
      <c r="BJ560" s="54"/>
      <c r="BK560" s="44"/>
      <c r="BL560" s="44"/>
      <c r="BM560" s="44"/>
      <c r="BN560" s="54"/>
      <c r="BO560" s="44"/>
      <c r="BP560" s="54"/>
      <c r="BQ560" s="44"/>
      <c r="BR560" s="44"/>
      <c r="BS560" s="44"/>
      <c r="BT560" s="54"/>
      <c r="BU560" s="44"/>
      <c r="BV560" s="54"/>
      <c r="BW560" s="44"/>
      <c r="BX560" s="44"/>
      <c r="BY560" s="44"/>
      <c r="BZ560" s="54"/>
      <c r="CA560" s="44"/>
      <c r="CB560" s="54"/>
      <c r="CC560" s="44"/>
      <c r="CD560" s="44"/>
      <c r="CE560" s="44"/>
      <c r="CF560" s="44"/>
    </row>
    <row r="561" spans="1:84" x14ac:dyDescent="0.5">
      <c r="A561" s="227">
        <v>19026121</v>
      </c>
      <c r="B561" s="22">
        <v>19020137</v>
      </c>
      <c r="C561" s="55"/>
      <c r="D561" s="56"/>
      <c r="E561" s="910"/>
      <c r="F561" s="932"/>
      <c r="G561" s="933"/>
      <c r="H561" s="59"/>
      <c r="I561" s="60"/>
      <c r="J561" s="931"/>
      <c r="K561" s="40"/>
      <c r="L561" s="22" t="s">
        <v>1562</v>
      </c>
      <c r="M561" s="28" t="s">
        <v>1612</v>
      </c>
      <c r="N561" s="22" t="s">
        <v>1523</v>
      </c>
      <c r="O561" s="29">
        <v>5900</v>
      </c>
      <c r="P561" s="29">
        <f t="shared" si="145"/>
        <v>413</v>
      </c>
      <c r="Q561" s="29">
        <f t="shared" si="146"/>
        <v>6313</v>
      </c>
      <c r="R561" s="61"/>
      <c r="S561" s="96"/>
      <c r="T561" s="97"/>
      <c r="U561" s="98"/>
      <c r="V561" s="99"/>
      <c r="W561" s="100"/>
      <c r="X561" s="99"/>
      <c r="Y561" s="99"/>
      <c r="Z561" s="100"/>
      <c r="AA561" s="101"/>
      <c r="AB561" s="40">
        <v>19020053</v>
      </c>
      <c r="AC561" s="41">
        <v>5900</v>
      </c>
      <c r="AD561" s="52">
        <f t="shared" si="143"/>
        <v>413</v>
      </c>
      <c r="AE561" s="52">
        <f t="shared" si="144"/>
        <v>6313</v>
      </c>
      <c r="AF561" s="53">
        <v>43509</v>
      </c>
      <c r="AG561" s="39" t="s">
        <v>869</v>
      </c>
      <c r="AH561" s="39"/>
      <c r="AI561" s="39"/>
      <c r="AJ561" s="21" t="s">
        <v>1762</v>
      </c>
      <c r="AK561" s="44">
        <v>1</v>
      </c>
      <c r="AL561" s="45" t="s">
        <v>404</v>
      </c>
      <c r="AM561" s="46"/>
      <c r="AN561" s="46"/>
      <c r="AO561" s="47">
        <v>1</v>
      </c>
      <c r="AP561" s="102"/>
      <c r="AQ561" s="44"/>
      <c r="AR561" s="54"/>
      <c r="AS561" s="44"/>
      <c r="AT561" s="44"/>
      <c r="AU561" s="44"/>
      <c r="AV561" s="54"/>
      <c r="AW561" s="44"/>
      <c r="AX561" s="54"/>
      <c r="AY561" s="44"/>
      <c r="AZ561" s="44"/>
      <c r="BA561" s="44"/>
      <c r="BB561" s="54"/>
      <c r="BC561" s="44"/>
      <c r="BD561" s="54"/>
      <c r="BE561" s="44"/>
      <c r="BF561" s="44"/>
      <c r="BG561" s="44"/>
      <c r="BH561" s="54"/>
      <c r="BI561" s="44"/>
      <c r="BJ561" s="54"/>
      <c r="BK561" s="44"/>
      <c r="BL561" s="44"/>
      <c r="BM561" s="44"/>
      <c r="BN561" s="54"/>
      <c r="BO561" s="44"/>
      <c r="BP561" s="54"/>
      <c r="BQ561" s="44"/>
      <c r="BR561" s="44"/>
      <c r="BS561" s="44"/>
      <c r="BT561" s="54"/>
      <c r="BU561" s="44"/>
      <c r="BV561" s="54"/>
      <c r="BW561" s="44"/>
      <c r="BX561" s="44"/>
      <c r="BY561" s="44"/>
      <c r="BZ561" s="54"/>
      <c r="CA561" s="44"/>
      <c r="CB561" s="54"/>
      <c r="CC561" s="44"/>
      <c r="CD561" s="44"/>
      <c r="CE561" s="44"/>
      <c r="CF561" s="44"/>
    </row>
    <row r="562" spans="1:84" x14ac:dyDescent="0.5">
      <c r="A562" s="259">
        <v>19026120</v>
      </c>
      <c r="B562" s="104">
        <v>19020130</v>
      </c>
      <c r="C562" s="105" t="s">
        <v>1428</v>
      </c>
      <c r="D562" s="106" t="s">
        <v>1323</v>
      </c>
      <c r="E562" s="302">
        <v>43519</v>
      </c>
      <c r="F562" s="936" t="s">
        <v>1324</v>
      </c>
      <c r="G562" s="937" t="s">
        <v>1424</v>
      </c>
      <c r="H562" s="211">
        <v>43518</v>
      </c>
      <c r="I562" s="109">
        <v>19068</v>
      </c>
      <c r="J562" s="970" t="s">
        <v>869</v>
      </c>
      <c r="K562" s="965">
        <v>43519</v>
      </c>
      <c r="L562" s="104" t="s">
        <v>1613</v>
      </c>
      <c r="M562" s="110" t="s">
        <v>1614</v>
      </c>
      <c r="N562" s="104" t="s">
        <v>52</v>
      </c>
      <c r="O562" s="111">
        <v>700000</v>
      </c>
      <c r="P562" s="111">
        <f t="shared" si="145"/>
        <v>49000</v>
      </c>
      <c r="Q562" s="111">
        <f t="shared" si="146"/>
        <v>749000</v>
      </c>
      <c r="R562" s="112">
        <v>28000</v>
      </c>
      <c r="S562" s="113" t="s">
        <v>1619</v>
      </c>
      <c r="T562" s="114">
        <f>O562-R562</f>
        <v>672000</v>
      </c>
      <c r="U562" s="115">
        <v>5</v>
      </c>
      <c r="V562" s="116">
        <f>T562*U562/100</f>
        <v>33600</v>
      </c>
      <c r="W562" s="117">
        <f>T562-V562</f>
        <v>638400</v>
      </c>
      <c r="X562" s="118">
        <v>0.27</v>
      </c>
      <c r="Y562" s="118">
        <f>W562*X562/100</f>
        <v>1723.68</v>
      </c>
      <c r="Z562" s="119">
        <v>0.2</v>
      </c>
      <c r="AA562" s="120">
        <f>W562*Z562/100</f>
        <v>1276.8</v>
      </c>
      <c r="AB562" s="123">
        <v>19020049</v>
      </c>
      <c r="AC562" s="124">
        <v>210000</v>
      </c>
      <c r="AD562" s="125">
        <f t="shared" si="143"/>
        <v>14700</v>
      </c>
      <c r="AE562" s="125">
        <f t="shared" si="144"/>
        <v>224700</v>
      </c>
      <c r="AF562" s="126">
        <v>43507</v>
      </c>
      <c r="AG562" s="127" t="s">
        <v>869</v>
      </c>
      <c r="AH562" s="127"/>
      <c r="AI562" s="127"/>
      <c r="AJ562" s="103" t="s">
        <v>1758</v>
      </c>
      <c r="AK562" s="128">
        <v>1</v>
      </c>
      <c r="AL562" s="129" t="s">
        <v>1615</v>
      </c>
      <c r="AM562" s="130" t="s">
        <v>869</v>
      </c>
      <c r="AN562" s="130"/>
      <c r="AO562" s="131">
        <v>4</v>
      </c>
      <c r="AP562" s="132" t="s">
        <v>636</v>
      </c>
      <c r="AQ562" s="128"/>
      <c r="AR562" s="133"/>
      <c r="AS562" s="128"/>
      <c r="AT562" s="128"/>
      <c r="AU562" s="128"/>
      <c r="AV562" s="133"/>
      <c r="AW562" s="128"/>
      <c r="AX562" s="133"/>
      <c r="AY562" s="128"/>
      <c r="AZ562" s="128"/>
      <c r="BA562" s="128"/>
      <c r="BB562" s="133"/>
      <c r="BC562" s="128"/>
      <c r="BD562" s="133"/>
      <c r="BE562" s="128"/>
      <c r="BF562" s="128"/>
      <c r="BG562" s="128"/>
      <c r="BH562" s="133"/>
      <c r="BI562" s="128"/>
      <c r="BJ562" s="133"/>
      <c r="BK562" s="128"/>
      <c r="BL562" s="128"/>
      <c r="BM562" s="128"/>
      <c r="BN562" s="133"/>
      <c r="BO562" s="128"/>
      <c r="BP562" s="133"/>
      <c r="BQ562" s="128"/>
      <c r="BR562" s="128"/>
      <c r="BS562" s="128"/>
      <c r="BT562" s="133"/>
      <c r="BU562" s="128"/>
      <c r="BV562" s="133"/>
      <c r="BW562" s="128"/>
      <c r="BX562" s="128"/>
      <c r="BY562" s="128"/>
      <c r="BZ562" s="133"/>
      <c r="CA562" s="128"/>
      <c r="CB562" s="133"/>
      <c r="CC562" s="128"/>
      <c r="CD562" s="128"/>
      <c r="CE562" s="128"/>
      <c r="CF562" s="128"/>
    </row>
    <row r="563" spans="1:84" x14ac:dyDescent="0.5">
      <c r="A563" s="262"/>
      <c r="B563" s="135"/>
      <c r="C563" s="136"/>
      <c r="D563" s="137"/>
      <c r="E563" s="906"/>
      <c r="F563" s="940"/>
      <c r="G563" s="941"/>
      <c r="H563" s="178">
        <v>43518</v>
      </c>
      <c r="I563" s="251">
        <v>19069</v>
      </c>
      <c r="J563" s="963"/>
      <c r="K563" s="964"/>
      <c r="L563" s="135"/>
      <c r="M563" s="141"/>
      <c r="N563" s="135"/>
      <c r="O563" s="142"/>
      <c r="P563" s="142"/>
      <c r="Q563" s="142"/>
      <c r="R563" s="143"/>
      <c r="S563" s="144"/>
      <c r="T563" s="145"/>
      <c r="U563" s="146"/>
      <c r="V563" s="147"/>
      <c r="W563" s="148"/>
      <c r="X563" s="149"/>
      <c r="Y563" s="149"/>
      <c r="Z563" s="150"/>
      <c r="AA563" s="151"/>
      <c r="AB563" s="154"/>
      <c r="AC563" s="155"/>
      <c r="AD563" s="156"/>
      <c r="AE563" s="156"/>
      <c r="AF563" s="157"/>
      <c r="AG563" s="152"/>
      <c r="AH563" s="152"/>
      <c r="AI563" s="152"/>
      <c r="AJ563" s="134"/>
      <c r="AK563" s="158"/>
      <c r="AL563" s="159"/>
      <c r="AM563" s="160"/>
      <c r="AN563" s="160"/>
      <c r="AO563" s="161"/>
      <c r="AP563" s="162"/>
      <c r="AQ563" s="158"/>
      <c r="AR563" s="163"/>
      <c r="AS563" s="158"/>
      <c r="AT563" s="158"/>
      <c r="AU563" s="158"/>
      <c r="AV563" s="163"/>
      <c r="AW563" s="158"/>
      <c r="AX563" s="163"/>
      <c r="AY563" s="158"/>
      <c r="AZ563" s="158"/>
      <c r="BA563" s="158"/>
      <c r="BB563" s="163"/>
      <c r="BC563" s="158"/>
      <c r="BD563" s="163"/>
      <c r="BE563" s="158"/>
      <c r="BF563" s="158"/>
      <c r="BG563" s="158"/>
      <c r="BH563" s="163"/>
      <c r="BI563" s="158"/>
      <c r="BJ563" s="163"/>
      <c r="BK563" s="158"/>
      <c r="BL563" s="158"/>
      <c r="BM563" s="158"/>
      <c r="BN563" s="163"/>
      <c r="BO563" s="158"/>
      <c r="BP563" s="163"/>
      <c r="BQ563" s="158"/>
      <c r="BR563" s="158"/>
      <c r="BS563" s="158"/>
      <c r="BT563" s="163"/>
      <c r="BU563" s="158"/>
      <c r="BV563" s="163"/>
      <c r="BW563" s="158"/>
      <c r="BX563" s="158"/>
      <c r="BY563" s="158"/>
      <c r="BZ563" s="163"/>
      <c r="CA563" s="158"/>
      <c r="CB563" s="163"/>
      <c r="CC563" s="158"/>
      <c r="CD563" s="158"/>
      <c r="CE563" s="158"/>
      <c r="CF563" s="158"/>
    </row>
    <row r="564" spans="1:84" x14ac:dyDescent="0.5">
      <c r="A564" s="262"/>
      <c r="B564" s="135"/>
      <c r="C564" s="136"/>
      <c r="D564" s="137"/>
      <c r="E564" s="906"/>
      <c r="F564" s="940"/>
      <c r="G564" s="941"/>
      <c r="H564" s="178">
        <v>43518</v>
      </c>
      <c r="I564" s="171">
        <v>19070</v>
      </c>
      <c r="J564" s="963"/>
      <c r="K564" s="964"/>
      <c r="L564" s="135"/>
      <c r="M564" s="141"/>
      <c r="N564" s="135"/>
      <c r="O564" s="142"/>
      <c r="P564" s="142"/>
      <c r="Q564" s="142"/>
      <c r="R564" s="143"/>
      <c r="S564" s="144"/>
      <c r="T564" s="145"/>
      <c r="U564" s="146"/>
      <c r="V564" s="147"/>
      <c r="W564" s="148"/>
      <c r="X564" s="149"/>
      <c r="Y564" s="149"/>
      <c r="Z564" s="150"/>
      <c r="AA564" s="151"/>
      <c r="AB564" s="154"/>
      <c r="AC564" s="155"/>
      <c r="AD564" s="156"/>
      <c r="AE564" s="156"/>
      <c r="AF564" s="157"/>
      <c r="AG564" s="152"/>
      <c r="AH564" s="152"/>
      <c r="AI564" s="152"/>
      <c r="AJ564" s="134"/>
      <c r="AK564" s="158"/>
      <c r="AL564" s="159"/>
      <c r="AM564" s="160"/>
      <c r="AN564" s="160"/>
      <c r="AO564" s="161"/>
      <c r="AP564" s="162"/>
      <c r="AQ564" s="158"/>
      <c r="AR564" s="163"/>
      <c r="AS564" s="158"/>
      <c r="AT564" s="158"/>
      <c r="AU564" s="158"/>
      <c r="AV564" s="163"/>
      <c r="AW564" s="158"/>
      <c r="AX564" s="163"/>
      <c r="AY564" s="158"/>
      <c r="AZ564" s="158"/>
      <c r="BA564" s="158"/>
      <c r="BB564" s="163"/>
      <c r="BC564" s="158"/>
      <c r="BD564" s="163"/>
      <c r="BE564" s="158"/>
      <c r="BF564" s="158"/>
      <c r="BG564" s="158"/>
      <c r="BH564" s="163"/>
      <c r="BI564" s="158"/>
      <c r="BJ564" s="163"/>
      <c r="BK564" s="158"/>
      <c r="BL564" s="158"/>
      <c r="BM564" s="158"/>
      <c r="BN564" s="163"/>
      <c r="BO564" s="158"/>
      <c r="BP564" s="163"/>
      <c r="BQ564" s="158"/>
      <c r="BR564" s="158"/>
      <c r="BS564" s="158"/>
      <c r="BT564" s="163"/>
      <c r="BU564" s="158"/>
      <c r="BV564" s="163"/>
      <c r="BW564" s="158"/>
      <c r="BX564" s="158"/>
      <c r="BY564" s="158"/>
      <c r="BZ564" s="163"/>
      <c r="CA564" s="158"/>
      <c r="CB564" s="163"/>
      <c r="CC564" s="158"/>
      <c r="CD564" s="158"/>
      <c r="CE564" s="158"/>
      <c r="CF564" s="158"/>
    </row>
    <row r="565" spans="1:84" x14ac:dyDescent="0.5">
      <c r="A565" s="262"/>
      <c r="B565" s="135"/>
      <c r="C565" s="136"/>
      <c r="D565" s="137"/>
      <c r="E565" s="906"/>
      <c r="F565" s="940"/>
      <c r="G565" s="941"/>
      <c r="H565" s="179">
        <v>43518</v>
      </c>
      <c r="I565" s="140">
        <v>19071</v>
      </c>
      <c r="J565" s="963"/>
      <c r="K565" s="972">
        <v>43524</v>
      </c>
      <c r="L565" s="135"/>
      <c r="M565" s="141"/>
      <c r="N565" s="135"/>
      <c r="O565" s="142"/>
      <c r="P565" s="142"/>
      <c r="Q565" s="142"/>
      <c r="R565" s="143"/>
      <c r="S565" s="144"/>
      <c r="T565" s="145"/>
      <c r="U565" s="146"/>
      <c r="V565" s="147"/>
      <c r="W565" s="148"/>
      <c r="X565" s="149"/>
      <c r="Y565" s="149"/>
      <c r="Z565" s="150"/>
      <c r="AA565" s="151"/>
      <c r="AB565" s="154">
        <v>19030061</v>
      </c>
      <c r="AC565" s="155">
        <v>490000</v>
      </c>
      <c r="AD565" s="156">
        <f>AC565*7/100</f>
        <v>34300</v>
      </c>
      <c r="AE565" s="156">
        <f>AC565+AD565</f>
        <v>524300</v>
      </c>
      <c r="AF565" s="157">
        <v>43585</v>
      </c>
      <c r="AG565" s="152" t="s">
        <v>869</v>
      </c>
      <c r="AH565" s="152"/>
      <c r="AI565" s="152"/>
      <c r="AJ565" s="134" t="s">
        <v>1874</v>
      </c>
      <c r="AK565" s="158"/>
      <c r="AL565" s="159"/>
      <c r="AM565" s="160"/>
      <c r="AN565" s="160"/>
      <c r="AO565" s="161"/>
      <c r="AP565" s="162"/>
      <c r="AQ565" s="158"/>
      <c r="AR565" s="163"/>
      <c r="AS565" s="158"/>
      <c r="AT565" s="158"/>
      <c r="AU565" s="158"/>
      <c r="AV565" s="163"/>
      <c r="AW565" s="158"/>
      <c r="AX565" s="163"/>
      <c r="AY565" s="158"/>
      <c r="AZ565" s="158"/>
      <c r="BA565" s="158"/>
      <c r="BB565" s="163"/>
      <c r="BC565" s="158"/>
      <c r="BD565" s="163"/>
      <c r="BE565" s="158"/>
      <c r="BF565" s="158"/>
      <c r="BG565" s="158"/>
      <c r="BH565" s="163"/>
      <c r="BI565" s="158"/>
      <c r="BJ565" s="163"/>
      <c r="BK565" s="158"/>
      <c r="BL565" s="158"/>
      <c r="BM565" s="158"/>
      <c r="BN565" s="163"/>
      <c r="BO565" s="158"/>
      <c r="BP565" s="163"/>
      <c r="BQ565" s="158"/>
      <c r="BR565" s="158"/>
      <c r="BS565" s="158"/>
      <c r="BT565" s="163"/>
      <c r="BU565" s="158"/>
      <c r="BV565" s="163"/>
      <c r="BW565" s="158"/>
      <c r="BX565" s="158"/>
      <c r="BY565" s="158"/>
      <c r="BZ565" s="163"/>
      <c r="CA565" s="158"/>
      <c r="CB565" s="163"/>
      <c r="CC565" s="158"/>
      <c r="CD565" s="158"/>
      <c r="CE565" s="158"/>
      <c r="CF565" s="158"/>
    </row>
    <row r="566" spans="1:84" x14ac:dyDescent="0.5">
      <c r="A566" s="259">
        <v>19026119</v>
      </c>
      <c r="B566" s="104">
        <v>19020133</v>
      </c>
      <c r="C566" s="105" t="s">
        <v>1431</v>
      </c>
      <c r="D566" s="106" t="s">
        <v>1323</v>
      </c>
      <c r="E566" s="302">
        <v>43512</v>
      </c>
      <c r="F566" s="936" t="s">
        <v>1324</v>
      </c>
      <c r="G566" s="937" t="s">
        <v>1420</v>
      </c>
      <c r="H566" s="122">
        <v>43511</v>
      </c>
      <c r="I566" s="164">
        <v>19053</v>
      </c>
      <c r="J566" s="960" t="s">
        <v>869</v>
      </c>
      <c r="K566" s="965">
        <v>43512</v>
      </c>
      <c r="L566" s="104" t="s">
        <v>1613</v>
      </c>
      <c r="M566" s="110" t="s">
        <v>1621</v>
      </c>
      <c r="N566" s="104" t="s">
        <v>52</v>
      </c>
      <c r="O566" s="111">
        <v>193950</v>
      </c>
      <c r="P566" s="111">
        <f t="shared" si="145"/>
        <v>13576.5</v>
      </c>
      <c r="Q566" s="111">
        <f t="shared" si="146"/>
        <v>207526.5</v>
      </c>
      <c r="R566" s="112">
        <v>28000</v>
      </c>
      <c r="S566" s="165"/>
      <c r="T566" s="166"/>
      <c r="U566" s="167"/>
      <c r="V566" s="168"/>
      <c r="W566" s="117">
        <f>O566-R566</f>
        <v>165950</v>
      </c>
      <c r="X566" s="118">
        <v>0.21</v>
      </c>
      <c r="Y566" s="118">
        <f>W566*X566/100</f>
        <v>348.495</v>
      </c>
      <c r="Z566" s="119">
        <v>0.2</v>
      </c>
      <c r="AA566" s="120">
        <f>W566*Z566/100</f>
        <v>331.9</v>
      </c>
      <c r="AB566" s="123">
        <v>19020051</v>
      </c>
      <c r="AC566" s="124">
        <v>193950</v>
      </c>
      <c r="AD566" s="125">
        <f>AC566*7/100</f>
        <v>13576.5</v>
      </c>
      <c r="AE566" s="125">
        <f>AC566+AD566</f>
        <v>207526.5</v>
      </c>
      <c r="AF566" s="126">
        <v>43569</v>
      </c>
      <c r="AG566" s="127" t="s">
        <v>869</v>
      </c>
      <c r="AH566" s="127"/>
      <c r="AI566" s="127"/>
      <c r="AJ566" s="103" t="s">
        <v>1752</v>
      </c>
      <c r="AK566" s="128">
        <v>1</v>
      </c>
      <c r="AL566" s="129" t="s">
        <v>661</v>
      </c>
      <c r="AM566" s="130"/>
      <c r="AN566" s="130" t="s">
        <v>869</v>
      </c>
      <c r="AO566" s="131">
        <v>1</v>
      </c>
      <c r="AP566" s="132" t="s">
        <v>634</v>
      </c>
      <c r="AQ566" s="128">
        <v>2</v>
      </c>
      <c r="AR566" s="123" t="s">
        <v>715</v>
      </c>
      <c r="AS566" s="131"/>
      <c r="AT566" s="131" t="s">
        <v>869</v>
      </c>
      <c r="AU566" s="131">
        <v>2</v>
      </c>
      <c r="AV566" s="169" t="s">
        <v>634</v>
      </c>
      <c r="AW566" s="128">
        <v>3</v>
      </c>
      <c r="AX566" s="123" t="s">
        <v>827</v>
      </c>
      <c r="AY566" s="131"/>
      <c r="AZ566" s="131" t="s">
        <v>869</v>
      </c>
      <c r="BA566" s="131">
        <v>2</v>
      </c>
      <c r="BB566" s="169" t="s">
        <v>634</v>
      </c>
      <c r="BC566" s="128"/>
      <c r="BD566" s="133"/>
      <c r="BE566" s="128"/>
      <c r="BF566" s="128"/>
      <c r="BG566" s="128"/>
      <c r="BH566" s="133"/>
      <c r="BI566" s="128"/>
      <c r="BJ566" s="133"/>
      <c r="BK566" s="128"/>
      <c r="BL566" s="128"/>
      <c r="BM566" s="128"/>
      <c r="BN566" s="133"/>
      <c r="BO566" s="128"/>
      <c r="BP566" s="133"/>
      <c r="BQ566" s="128"/>
      <c r="BR566" s="128"/>
      <c r="BS566" s="128"/>
      <c r="BT566" s="133"/>
      <c r="BU566" s="128"/>
      <c r="BV566" s="133"/>
      <c r="BW566" s="128"/>
      <c r="BX566" s="128"/>
      <c r="BY566" s="128"/>
      <c r="BZ566" s="133"/>
      <c r="CA566" s="128"/>
      <c r="CB566" s="133"/>
      <c r="CC566" s="128"/>
      <c r="CD566" s="128"/>
      <c r="CE566" s="128"/>
      <c r="CF566" s="128"/>
    </row>
    <row r="567" spans="1:84" x14ac:dyDescent="0.5">
      <c r="A567" s="262"/>
      <c r="B567" s="135"/>
      <c r="C567" s="136"/>
      <c r="D567" s="137"/>
      <c r="E567" s="906"/>
      <c r="F567" s="940"/>
      <c r="G567" s="941"/>
      <c r="H567" s="170">
        <v>43511</v>
      </c>
      <c r="I567" s="171">
        <v>19054</v>
      </c>
      <c r="J567" s="963"/>
      <c r="K567" s="971">
        <v>43514</v>
      </c>
      <c r="L567" s="135"/>
      <c r="M567" s="141"/>
      <c r="N567" s="135"/>
      <c r="O567" s="142"/>
      <c r="P567" s="142"/>
      <c r="Q567" s="142"/>
      <c r="R567" s="143"/>
      <c r="S567" s="172"/>
      <c r="T567" s="173"/>
      <c r="U567" s="174"/>
      <c r="V567" s="175"/>
      <c r="W567" s="148"/>
      <c r="X567" s="149"/>
      <c r="Y567" s="149"/>
      <c r="Z567" s="150"/>
      <c r="AA567" s="151"/>
      <c r="AB567" s="154"/>
      <c r="AC567" s="155"/>
      <c r="AD567" s="156"/>
      <c r="AE567" s="156"/>
      <c r="AF567" s="157"/>
      <c r="AG567" s="152"/>
      <c r="AH567" s="152"/>
      <c r="AI567" s="152"/>
      <c r="AJ567" s="134"/>
      <c r="AK567" s="158"/>
      <c r="AL567" s="159"/>
      <c r="AM567" s="161"/>
      <c r="AN567" s="160"/>
      <c r="AO567" s="161"/>
      <c r="AP567" s="162"/>
      <c r="AQ567" s="158"/>
      <c r="AR567" s="154"/>
      <c r="AS567" s="161"/>
      <c r="AT567" s="161"/>
      <c r="AU567" s="161"/>
      <c r="AV567" s="177"/>
      <c r="AW567" s="158"/>
      <c r="AX567" s="154"/>
      <c r="AY567" s="161"/>
      <c r="AZ567" s="161"/>
      <c r="BA567" s="161"/>
      <c r="BB567" s="177"/>
      <c r="BC567" s="158"/>
      <c r="BD567" s="163"/>
      <c r="BE567" s="158"/>
      <c r="BF567" s="158"/>
      <c r="BG567" s="158"/>
      <c r="BH567" s="163"/>
      <c r="BI567" s="158"/>
      <c r="BJ567" s="163"/>
      <c r="BK567" s="158"/>
      <c r="BL567" s="158"/>
      <c r="BM567" s="158"/>
      <c r="BN567" s="163"/>
      <c r="BO567" s="158"/>
      <c r="BP567" s="163"/>
      <c r="BQ567" s="158"/>
      <c r="BR567" s="158"/>
      <c r="BS567" s="158"/>
      <c r="BT567" s="163"/>
      <c r="BU567" s="158"/>
      <c r="BV567" s="163"/>
      <c r="BW567" s="158"/>
      <c r="BX567" s="158"/>
      <c r="BY567" s="158"/>
      <c r="BZ567" s="163"/>
      <c r="CA567" s="158"/>
      <c r="CB567" s="163"/>
      <c r="CC567" s="158"/>
      <c r="CD567" s="158"/>
      <c r="CE567" s="158"/>
      <c r="CF567" s="158"/>
    </row>
    <row r="568" spans="1:84" x14ac:dyDescent="0.5">
      <c r="A568" s="262"/>
      <c r="B568" s="135"/>
      <c r="C568" s="136"/>
      <c r="D568" s="137"/>
      <c r="E568" s="906"/>
      <c r="F568" s="940"/>
      <c r="G568" s="941"/>
      <c r="H568" s="178">
        <v>43511</v>
      </c>
      <c r="I568" s="171">
        <v>19055</v>
      </c>
      <c r="J568" s="963"/>
      <c r="K568" s="964"/>
      <c r="L568" s="135"/>
      <c r="M568" s="141"/>
      <c r="N568" s="135"/>
      <c r="O568" s="142"/>
      <c r="P568" s="142"/>
      <c r="Q568" s="142"/>
      <c r="R568" s="143"/>
      <c r="S568" s="172"/>
      <c r="T568" s="173"/>
      <c r="U568" s="174"/>
      <c r="V568" s="175"/>
      <c r="W568" s="148"/>
      <c r="X568" s="149"/>
      <c r="Y568" s="149"/>
      <c r="Z568" s="150"/>
      <c r="AA568" s="151"/>
      <c r="AB568" s="154"/>
      <c r="AC568" s="155"/>
      <c r="AD568" s="156"/>
      <c r="AE568" s="156"/>
      <c r="AF568" s="157"/>
      <c r="AG568" s="152"/>
      <c r="AH568" s="152"/>
      <c r="AI568" s="152"/>
      <c r="AJ568" s="134"/>
      <c r="AK568" s="158"/>
      <c r="AL568" s="159"/>
      <c r="AM568" s="161"/>
      <c r="AN568" s="160"/>
      <c r="AO568" s="161"/>
      <c r="AP568" s="162"/>
      <c r="AQ568" s="158"/>
      <c r="AR568" s="154"/>
      <c r="AS568" s="161"/>
      <c r="AT568" s="161"/>
      <c r="AU568" s="161"/>
      <c r="AV568" s="177"/>
      <c r="AW568" s="158"/>
      <c r="AX568" s="154"/>
      <c r="AY568" s="161"/>
      <c r="AZ568" s="161"/>
      <c r="BA568" s="161"/>
      <c r="BB568" s="177"/>
      <c r="BC568" s="158"/>
      <c r="BD568" s="163"/>
      <c r="BE568" s="158"/>
      <c r="BF568" s="158"/>
      <c r="BG568" s="158"/>
      <c r="BH568" s="163"/>
      <c r="BI568" s="158"/>
      <c r="BJ568" s="163"/>
      <c r="BK568" s="158"/>
      <c r="BL568" s="158"/>
      <c r="BM568" s="158"/>
      <c r="BN568" s="163"/>
      <c r="BO568" s="158"/>
      <c r="BP568" s="163"/>
      <c r="BQ568" s="158"/>
      <c r="BR568" s="158"/>
      <c r="BS568" s="158"/>
      <c r="BT568" s="163"/>
      <c r="BU568" s="158"/>
      <c r="BV568" s="163"/>
      <c r="BW568" s="158"/>
      <c r="BX568" s="158"/>
      <c r="BY568" s="158"/>
      <c r="BZ568" s="163"/>
      <c r="CA568" s="158"/>
      <c r="CB568" s="163"/>
      <c r="CC568" s="158"/>
      <c r="CD568" s="158"/>
      <c r="CE568" s="158"/>
      <c r="CF568" s="158"/>
    </row>
    <row r="569" spans="1:84" x14ac:dyDescent="0.5">
      <c r="A569" s="268"/>
      <c r="B569" s="181"/>
      <c r="C569" s="182"/>
      <c r="D569" s="183"/>
      <c r="E569" s="749"/>
      <c r="F569" s="938"/>
      <c r="G569" s="939"/>
      <c r="H569" s="186">
        <v>43511</v>
      </c>
      <c r="I569" s="187">
        <v>19056</v>
      </c>
      <c r="J569" s="961"/>
      <c r="K569" s="966"/>
      <c r="L569" s="181"/>
      <c r="M569" s="188"/>
      <c r="N569" s="181"/>
      <c r="O569" s="189"/>
      <c r="P569" s="189"/>
      <c r="Q569" s="189"/>
      <c r="R569" s="190"/>
      <c r="S569" s="191"/>
      <c r="T569" s="192"/>
      <c r="U569" s="193"/>
      <c r="V569" s="194"/>
      <c r="W569" s="195"/>
      <c r="X569" s="196"/>
      <c r="Y569" s="196"/>
      <c r="Z569" s="197"/>
      <c r="AA569" s="198"/>
      <c r="AB569" s="200"/>
      <c r="AC569" s="201"/>
      <c r="AD569" s="202"/>
      <c r="AE569" s="202"/>
      <c r="AF569" s="203"/>
      <c r="AG569" s="199"/>
      <c r="AH569" s="199"/>
      <c r="AI569" s="199"/>
      <c r="AJ569" s="180"/>
      <c r="AK569" s="204"/>
      <c r="AL569" s="205"/>
      <c r="AM569" s="206"/>
      <c r="AN569" s="206"/>
      <c r="AO569" s="207"/>
      <c r="AP569" s="208"/>
      <c r="AQ569" s="204"/>
      <c r="AR569" s="200"/>
      <c r="AS569" s="207"/>
      <c r="AT569" s="207"/>
      <c r="AU569" s="207"/>
      <c r="AV569" s="209"/>
      <c r="AW569" s="204"/>
      <c r="AX569" s="200"/>
      <c r="AY569" s="207"/>
      <c r="AZ569" s="207"/>
      <c r="BA569" s="207"/>
      <c r="BB569" s="209"/>
      <c r="BC569" s="204"/>
      <c r="BD569" s="210"/>
      <c r="BE569" s="204"/>
      <c r="BF569" s="204"/>
      <c r="BG569" s="204"/>
      <c r="BH569" s="210"/>
      <c r="BI569" s="204"/>
      <c r="BJ569" s="210"/>
      <c r="BK569" s="204"/>
      <c r="BL569" s="204"/>
      <c r="BM569" s="204"/>
      <c r="BN569" s="210"/>
      <c r="BO569" s="204"/>
      <c r="BP569" s="210"/>
      <c r="BQ569" s="204"/>
      <c r="BR569" s="204"/>
      <c r="BS569" s="204"/>
      <c r="BT569" s="210"/>
      <c r="BU569" s="204"/>
      <c r="BV569" s="210"/>
      <c r="BW569" s="204"/>
      <c r="BX569" s="204"/>
      <c r="BY569" s="204"/>
      <c r="BZ569" s="210"/>
      <c r="CA569" s="204"/>
      <c r="CB569" s="210"/>
      <c r="CC569" s="204"/>
      <c r="CD569" s="204"/>
      <c r="CE569" s="204"/>
      <c r="CF569" s="204"/>
    </row>
    <row r="570" spans="1:84" x14ac:dyDescent="0.5">
      <c r="A570" s="259">
        <v>19026118</v>
      </c>
      <c r="B570" s="104">
        <v>19020129</v>
      </c>
      <c r="C570" s="105" t="s">
        <v>1432</v>
      </c>
      <c r="D570" s="106" t="s">
        <v>1323</v>
      </c>
      <c r="E570" s="302">
        <v>43524</v>
      </c>
      <c r="F570" s="936" t="s">
        <v>1324</v>
      </c>
      <c r="G570" s="937" t="s">
        <v>1427</v>
      </c>
      <c r="H570" s="211">
        <v>43512</v>
      </c>
      <c r="I570" s="164">
        <v>19057</v>
      </c>
      <c r="J570" s="960" t="s">
        <v>869</v>
      </c>
      <c r="K570" s="965">
        <v>43514</v>
      </c>
      <c r="L570" s="104" t="s">
        <v>1346</v>
      </c>
      <c r="M570" s="110" t="s">
        <v>1616</v>
      </c>
      <c r="N570" s="104" t="s">
        <v>52</v>
      </c>
      <c r="O570" s="111">
        <v>172000</v>
      </c>
      <c r="P570" s="111">
        <f>O570*7/100</f>
        <v>12040</v>
      </c>
      <c r="Q570" s="111">
        <f>O570+P570</f>
        <v>184040</v>
      </c>
      <c r="R570" s="212"/>
      <c r="S570" s="113" t="s">
        <v>2696</v>
      </c>
      <c r="T570" s="114">
        <f>O570</f>
        <v>172000</v>
      </c>
      <c r="U570" s="115">
        <v>5</v>
      </c>
      <c r="V570" s="116">
        <f>T570*U570/100</f>
        <v>8600</v>
      </c>
      <c r="W570" s="117">
        <f>T570-V570</f>
        <v>163400</v>
      </c>
      <c r="X570" s="118">
        <v>0.23</v>
      </c>
      <c r="Y570" s="118">
        <f>W570*X570/100</f>
        <v>375.82</v>
      </c>
      <c r="Z570" s="119">
        <v>0.2</v>
      </c>
      <c r="AA570" s="120">
        <f>W570*Z570/100</f>
        <v>326.8</v>
      </c>
      <c r="AB570" s="123">
        <v>19020052</v>
      </c>
      <c r="AC570" s="124">
        <v>172000</v>
      </c>
      <c r="AD570" s="125">
        <f>AC570*7/100</f>
        <v>12040</v>
      </c>
      <c r="AE570" s="125">
        <f>AC570+AD570</f>
        <v>184040</v>
      </c>
      <c r="AF570" s="126">
        <v>43509</v>
      </c>
      <c r="AG570" s="127" t="s">
        <v>869</v>
      </c>
      <c r="AH570" s="127"/>
      <c r="AI570" s="127"/>
      <c r="AJ570" s="103" t="s">
        <v>1757</v>
      </c>
      <c r="AK570" s="128">
        <v>1</v>
      </c>
      <c r="AL570" s="123" t="s">
        <v>593</v>
      </c>
      <c r="AM570" s="130"/>
      <c r="AN570" s="130" t="s">
        <v>869</v>
      </c>
      <c r="AO570" s="131">
        <v>8</v>
      </c>
      <c r="AP570" s="132" t="s">
        <v>634</v>
      </c>
      <c r="AQ570" s="128"/>
      <c r="AR570" s="133"/>
      <c r="AS570" s="128"/>
      <c r="AT570" s="128"/>
      <c r="AU570" s="128"/>
      <c r="AV570" s="133"/>
      <c r="AW570" s="128"/>
      <c r="AX570" s="133"/>
      <c r="AY570" s="128"/>
      <c r="AZ570" s="128"/>
      <c r="BA570" s="128"/>
      <c r="BB570" s="133"/>
      <c r="BC570" s="128"/>
      <c r="BD570" s="133"/>
      <c r="BE570" s="128"/>
      <c r="BF570" s="128"/>
      <c r="BG570" s="128"/>
      <c r="BH570" s="133"/>
      <c r="BI570" s="128"/>
      <c r="BJ570" s="133"/>
      <c r="BK570" s="128"/>
      <c r="BL570" s="128"/>
      <c r="BM570" s="128"/>
      <c r="BN570" s="133"/>
      <c r="BO570" s="128"/>
      <c r="BP570" s="133"/>
      <c r="BQ570" s="128"/>
      <c r="BR570" s="128"/>
      <c r="BS570" s="128"/>
      <c r="BT570" s="133"/>
      <c r="BU570" s="128"/>
      <c r="BV570" s="133"/>
      <c r="BW570" s="128"/>
      <c r="BX570" s="128"/>
      <c r="BY570" s="128"/>
      <c r="BZ570" s="133"/>
      <c r="CA570" s="128"/>
      <c r="CB570" s="133"/>
      <c r="CC570" s="128"/>
      <c r="CD570" s="128"/>
      <c r="CE570" s="128"/>
      <c r="CF570" s="128"/>
    </row>
    <row r="571" spans="1:84" x14ac:dyDescent="0.5">
      <c r="A571" s="262"/>
      <c r="B571" s="135"/>
      <c r="C571" s="136"/>
      <c r="D571" s="137"/>
      <c r="E571" s="906"/>
      <c r="F571" s="940"/>
      <c r="G571" s="941"/>
      <c r="H571" s="178">
        <v>43512</v>
      </c>
      <c r="I571" s="171">
        <v>19058</v>
      </c>
      <c r="J571" s="963"/>
      <c r="K571" s="154"/>
      <c r="L571" s="135"/>
      <c r="M571" s="141"/>
      <c r="N571" s="135"/>
      <c r="O571" s="142"/>
      <c r="P571" s="142"/>
      <c r="Q571" s="142"/>
      <c r="R571" s="213"/>
      <c r="S571" s="144"/>
      <c r="T571" s="145"/>
      <c r="U571" s="146"/>
      <c r="V571" s="147"/>
      <c r="W571" s="148"/>
      <c r="X571" s="149"/>
      <c r="Y571" s="149"/>
      <c r="Z571" s="150"/>
      <c r="AA571" s="151"/>
      <c r="AB571" s="154"/>
      <c r="AC571" s="155"/>
      <c r="AD571" s="156"/>
      <c r="AE571" s="156"/>
      <c r="AF571" s="157"/>
      <c r="AG571" s="152"/>
      <c r="AH571" s="152"/>
      <c r="AI571" s="152"/>
      <c r="AJ571" s="134"/>
      <c r="AK571" s="158"/>
      <c r="AL571" s="159"/>
      <c r="AM571" s="160"/>
      <c r="AN571" s="160"/>
      <c r="AO571" s="161"/>
      <c r="AP571" s="162"/>
      <c r="AQ571" s="158"/>
      <c r="AR571" s="163"/>
      <c r="AS571" s="158"/>
      <c r="AT571" s="158"/>
      <c r="AU571" s="158"/>
      <c r="AV571" s="163"/>
      <c r="AW571" s="158"/>
      <c r="AX571" s="163"/>
      <c r="AY571" s="158"/>
      <c r="AZ571" s="158"/>
      <c r="BA571" s="158"/>
      <c r="BB571" s="163"/>
      <c r="BC571" s="158"/>
      <c r="BD571" s="163"/>
      <c r="BE571" s="158"/>
      <c r="BF571" s="158"/>
      <c r="BG571" s="158"/>
      <c r="BH571" s="163"/>
      <c r="BI571" s="158"/>
      <c r="BJ571" s="163"/>
      <c r="BK571" s="158"/>
      <c r="BL571" s="158"/>
      <c r="BM571" s="158"/>
      <c r="BN571" s="163"/>
      <c r="BO571" s="158"/>
      <c r="BP571" s="163"/>
      <c r="BQ571" s="158"/>
      <c r="BR571" s="158"/>
      <c r="BS571" s="158"/>
      <c r="BT571" s="163"/>
      <c r="BU571" s="158"/>
      <c r="BV571" s="163"/>
      <c r="BW571" s="158"/>
      <c r="BX571" s="158"/>
      <c r="BY571" s="158"/>
      <c r="BZ571" s="163"/>
      <c r="CA571" s="158"/>
      <c r="CB571" s="163"/>
      <c r="CC571" s="158"/>
      <c r="CD571" s="158"/>
      <c r="CE571" s="158"/>
      <c r="CF571" s="158"/>
    </row>
    <row r="572" spans="1:84" x14ac:dyDescent="0.5">
      <c r="A572" s="262"/>
      <c r="B572" s="135"/>
      <c r="C572" s="136"/>
      <c r="D572" s="137"/>
      <c r="E572" s="906"/>
      <c r="F572" s="940"/>
      <c r="G572" s="941"/>
      <c r="H572" s="178">
        <v>43512</v>
      </c>
      <c r="I572" s="171">
        <v>19059</v>
      </c>
      <c r="J572" s="963"/>
      <c r="K572" s="154"/>
      <c r="L572" s="135"/>
      <c r="M572" s="141"/>
      <c r="N572" s="135"/>
      <c r="O572" s="142"/>
      <c r="P572" s="142"/>
      <c r="Q572" s="142"/>
      <c r="R572" s="213"/>
      <c r="S572" s="144"/>
      <c r="T572" s="145"/>
      <c r="U572" s="146"/>
      <c r="V572" s="147"/>
      <c r="W572" s="148"/>
      <c r="X572" s="149"/>
      <c r="Y572" s="149"/>
      <c r="Z572" s="150"/>
      <c r="AA572" s="151"/>
      <c r="AB572" s="154"/>
      <c r="AC572" s="155"/>
      <c r="AD572" s="156"/>
      <c r="AE572" s="156"/>
      <c r="AF572" s="157"/>
      <c r="AG572" s="152"/>
      <c r="AH572" s="152"/>
      <c r="AI572" s="152"/>
      <c r="AJ572" s="134"/>
      <c r="AK572" s="158"/>
      <c r="AL572" s="159"/>
      <c r="AM572" s="160"/>
      <c r="AN572" s="160"/>
      <c r="AO572" s="161"/>
      <c r="AP572" s="162"/>
      <c r="AQ572" s="158"/>
      <c r="AR572" s="163"/>
      <c r="AS572" s="158"/>
      <c r="AT572" s="158"/>
      <c r="AU572" s="158"/>
      <c r="AV572" s="163"/>
      <c r="AW572" s="158"/>
      <c r="AX572" s="163"/>
      <c r="AY572" s="158"/>
      <c r="AZ572" s="158"/>
      <c r="BA572" s="158"/>
      <c r="BB572" s="163"/>
      <c r="BC572" s="158"/>
      <c r="BD572" s="163"/>
      <c r="BE572" s="158"/>
      <c r="BF572" s="158"/>
      <c r="BG572" s="158"/>
      <c r="BH572" s="163"/>
      <c r="BI572" s="158"/>
      <c r="BJ572" s="163"/>
      <c r="BK572" s="158"/>
      <c r="BL572" s="158"/>
      <c r="BM572" s="158"/>
      <c r="BN572" s="163"/>
      <c r="BO572" s="158"/>
      <c r="BP572" s="163"/>
      <c r="BQ572" s="158"/>
      <c r="BR572" s="158"/>
      <c r="BS572" s="158"/>
      <c r="BT572" s="163"/>
      <c r="BU572" s="158"/>
      <c r="BV572" s="163"/>
      <c r="BW572" s="158"/>
      <c r="BX572" s="158"/>
      <c r="BY572" s="158"/>
      <c r="BZ572" s="163"/>
      <c r="CA572" s="158"/>
      <c r="CB572" s="163"/>
      <c r="CC572" s="158"/>
      <c r="CD572" s="158"/>
      <c r="CE572" s="158"/>
      <c r="CF572" s="158"/>
    </row>
    <row r="573" spans="1:84" x14ac:dyDescent="0.5">
      <c r="A573" s="268"/>
      <c r="B573" s="181"/>
      <c r="C573" s="182"/>
      <c r="D573" s="183"/>
      <c r="E573" s="749"/>
      <c r="F573" s="938"/>
      <c r="G573" s="939"/>
      <c r="H573" s="186">
        <v>43512</v>
      </c>
      <c r="I573" s="187">
        <v>19060</v>
      </c>
      <c r="J573" s="961"/>
      <c r="K573" s="200"/>
      <c r="L573" s="181"/>
      <c r="M573" s="188"/>
      <c r="N573" s="181"/>
      <c r="O573" s="189"/>
      <c r="P573" s="189"/>
      <c r="Q573" s="189"/>
      <c r="R573" s="214"/>
      <c r="S573" s="215"/>
      <c r="T573" s="216"/>
      <c r="U573" s="217"/>
      <c r="V573" s="218"/>
      <c r="W573" s="195"/>
      <c r="X573" s="196"/>
      <c r="Y573" s="196"/>
      <c r="Z573" s="197"/>
      <c r="AA573" s="198"/>
      <c r="AB573" s="200"/>
      <c r="AC573" s="201"/>
      <c r="AD573" s="202"/>
      <c r="AE573" s="202"/>
      <c r="AF573" s="203"/>
      <c r="AG573" s="199"/>
      <c r="AH573" s="199"/>
      <c r="AI573" s="199"/>
      <c r="AJ573" s="180"/>
      <c r="AK573" s="204"/>
      <c r="AL573" s="205"/>
      <c r="AM573" s="206"/>
      <c r="AN573" s="206"/>
      <c r="AO573" s="207"/>
      <c r="AP573" s="208"/>
      <c r="AQ573" s="204"/>
      <c r="AR573" s="210"/>
      <c r="AS573" s="204"/>
      <c r="AT573" s="204"/>
      <c r="AU573" s="204"/>
      <c r="AV573" s="210"/>
      <c r="AW573" s="204"/>
      <c r="AX573" s="210"/>
      <c r="AY573" s="204"/>
      <c r="AZ573" s="204"/>
      <c r="BA573" s="204"/>
      <c r="BB573" s="210"/>
      <c r="BC573" s="204"/>
      <c r="BD573" s="210"/>
      <c r="BE573" s="204"/>
      <c r="BF573" s="204"/>
      <c r="BG573" s="204"/>
      <c r="BH573" s="210"/>
      <c r="BI573" s="204"/>
      <c r="BJ573" s="210"/>
      <c r="BK573" s="204"/>
      <c r="BL573" s="204"/>
      <c r="BM573" s="204"/>
      <c r="BN573" s="210"/>
      <c r="BO573" s="204"/>
      <c r="BP573" s="210"/>
      <c r="BQ573" s="204"/>
      <c r="BR573" s="204"/>
      <c r="BS573" s="204"/>
      <c r="BT573" s="210"/>
      <c r="BU573" s="204"/>
      <c r="BV573" s="210"/>
      <c r="BW573" s="204"/>
      <c r="BX573" s="204"/>
      <c r="BY573" s="204"/>
      <c r="BZ573" s="210"/>
      <c r="CA573" s="204"/>
      <c r="CB573" s="210"/>
      <c r="CC573" s="204"/>
      <c r="CD573" s="204"/>
      <c r="CE573" s="204"/>
      <c r="CF573" s="204"/>
    </row>
    <row r="574" spans="1:84" x14ac:dyDescent="0.5">
      <c r="A574" s="227">
        <v>19026117</v>
      </c>
      <c r="B574" s="22">
        <v>19020121</v>
      </c>
      <c r="C574" s="23" t="s">
        <v>1433</v>
      </c>
      <c r="D574" s="24" t="s">
        <v>1323</v>
      </c>
      <c r="E574" s="884">
        <v>43512</v>
      </c>
      <c r="F574" s="932" t="s">
        <v>1324</v>
      </c>
      <c r="G574" s="933" t="s">
        <v>1418</v>
      </c>
      <c r="H574" s="62">
        <v>43524</v>
      </c>
      <c r="I574" s="27">
        <v>19077</v>
      </c>
      <c r="J574" s="931" t="s">
        <v>869</v>
      </c>
      <c r="K574" s="957">
        <v>43525</v>
      </c>
      <c r="L574" s="22" t="s">
        <v>119</v>
      </c>
      <c r="M574" s="28" t="s">
        <v>176</v>
      </c>
      <c r="N574" s="22" t="s">
        <v>51</v>
      </c>
      <c r="O574" s="29">
        <v>120000</v>
      </c>
      <c r="P574" s="29">
        <f>O574*7/100</f>
        <v>8400</v>
      </c>
      <c r="Q574" s="29">
        <f>O574+P574</f>
        <v>128400</v>
      </c>
      <c r="R574" s="61"/>
      <c r="S574" s="96"/>
      <c r="T574" s="97"/>
      <c r="U574" s="98"/>
      <c r="V574" s="99"/>
      <c r="W574" s="100"/>
      <c r="X574" s="99"/>
      <c r="Y574" s="99"/>
      <c r="Z574" s="100"/>
      <c r="AA574" s="101"/>
      <c r="AB574" s="40">
        <v>19020060</v>
      </c>
      <c r="AC574" s="41">
        <v>120000</v>
      </c>
      <c r="AD574" s="52">
        <f>AC574*7/100</f>
        <v>8400</v>
      </c>
      <c r="AE574" s="52">
        <f>AC574+AD574</f>
        <v>128400</v>
      </c>
      <c r="AF574" s="53">
        <v>43522</v>
      </c>
      <c r="AG574" s="39" t="s">
        <v>869</v>
      </c>
      <c r="AH574" s="39"/>
      <c r="AI574" s="39"/>
      <c r="AJ574" s="21" t="s">
        <v>1749</v>
      </c>
      <c r="AK574" s="44">
        <v>1</v>
      </c>
      <c r="AL574" s="45" t="s">
        <v>721</v>
      </c>
      <c r="AM574" s="46"/>
      <c r="AN574" s="46" t="s">
        <v>869</v>
      </c>
      <c r="AO574" s="47">
        <v>3</v>
      </c>
      <c r="AP574" s="48" t="s">
        <v>633</v>
      </c>
      <c r="AQ574" s="44"/>
      <c r="AR574" s="54"/>
      <c r="AS574" s="44"/>
      <c r="AT574" s="44"/>
      <c r="AU574" s="44"/>
      <c r="AV574" s="54"/>
      <c r="AW574" s="44"/>
      <c r="AX574" s="54"/>
      <c r="AY574" s="44"/>
      <c r="AZ574" s="44"/>
      <c r="BA574" s="44"/>
      <c r="BB574" s="54"/>
      <c r="BC574" s="44"/>
      <c r="BD574" s="54"/>
      <c r="BE574" s="44"/>
      <c r="BF574" s="44"/>
      <c r="BG574" s="44"/>
      <c r="BH574" s="54"/>
      <c r="BI574" s="44"/>
      <c r="BJ574" s="54"/>
      <c r="BK574" s="44"/>
      <c r="BL574" s="44"/>
      <c r="BM574" s="44"/>
      <c r="BN574" s="54"/>
      <c r="BO574" s="44"/>
      <c r="BP574" s="54"/>
      <c r="BQ574" s="44"/>
      <c r="BR574" s="44"/>
      <c r="BS574" s="44"/>
      <c r="BT574" s="54"/>
      <c r="BU574" s="44"/>
      <c r="BV574" s="54"/>
      <c r="BW574" s="44"/>
      <c r="BX574" s="44"/>
      <c r="BY574" s="44"/>
      <c r="BZ574" s="54"/>
      <c r="CA574" s="44"/>
      <c r="CB574" s="54"/>
      <c r="CC574" s="44"/>
      <c r="CD574" s="44"/>
      <c r="CE574" s="44"/>
      <c r="CF574" s="44"/>
    </row>
    <row r="575" spans="1:84" x14ac:dyDescent="0.5">
      <c r="A575" s="227">
        <v>19026116</v>
      </c>
      <c r="B575" s="22">
        <v>19020119</v>
      </c>
      <c r="C575" s="23" t="s">
        <v>1434</v>
      </c>
      <c r="D575" s="24" t="s">
        <v>1323</v>
      </c>
      <c r="E575" s="884">
        <v>43509</v>
      </c>
      <c r="F575" s="932" t="s">
        <v>1324</v>
      </c>
      <c r="G575" s="933" t="s">
        <v>1412</v>
      </c>
      <c r="H575" s="62">
        <v>43538</v>
      </c>
      <c r="I575" s="27">
        <v>19088</v>
      </c>
      <c r="J575" s="931" t="s">
        <v>869</v>
      </c>
      <c r="K575" s="957">
        <v>43538</v>
      </c>
      <c r="L575" s="22" t="s">
        <v>23</v>
      </c>
      <c r="M575" s="28" t="s">
        <v>1599</v>
      </c>
      <c r="N575" s="22" t="s">
        <v>51</v>
      </c>
      <c r="O575" s="29">
        <v>39000</v>
      </c>
      <c r="P575" s="29">
        <f t="shared" ref="P575:P584" si="147">O575*7/100</f>
        <v>2730</v>
      </c>
      <c r="Q575" s="29">
        <f t="shared" ref="Q575:Q584" si="148">O575+P575</f>
        <v>41730</v>
      </c>
      <c r="R575" s="61"/>
      <c r="S575" s="96"/>
      <c r="T575" s="97"/>
      <c r="U575" s="98"/>
      <c r="V575" s="99"/>
      <c r="W575" s="100"/>
      <c r="X575" s="99"/>
      <c r="Y575" s="99"/>
      <c r="Z575" s="100"/>
      <c r="AA575" s="101"/>
      <c r="AB575" s="40">
        <v>19030084</v>
      </c>
      <c r="AC575" s="41">
        <v>39000</v>
      </c>
      <c r="AD575" s="63">
        <f>AC575*7/100</f>
        <v>2730</v>
      </c>
      <c r="AE575" s="64">
        <f>AC575+AD575</f>
        <v>41730</v>
      </c>
      <c r="AF575" s="53">
        <v>43566</v>
      </c>
      <c r="AG575" s="39" t="s">
        <v>869</v>
      </c>
      <c r="AH575" s="39"/>
      <c r="AI575" s="39"/>
      <c r="AJ575" s="21" t="s">
        <v>2033</v>
      </c>
      <c r="AK575" s="44">
        <v>1</v>
      </c>
      <c r="AL575" s="45" t="s">
        <v>1600</v>
      </c>
      <c r="AM575" s="46"/>
      <c r="AN575" s="46" t="s">
        <v>869</v>
      </c>
      <c r="AO575" s="47">
        <v>1</v>
      </c>
      <c r="AP575" s="48" t="s">
        <v>633</v>
      </c>
      <c r="AQ575" s="44"/>
      <c r="AR575" s="54"/>
      <c r="AS575" s="44"/>
      <c r="AT575" s="44"/>
      <c r="AU575" s="44"/>
      <c r="AV575" s="54"/>
      <c r="AW575" s="44"/>
      <c r="AX575" s="54"/>
      <c r="AY575" s="44"/>
      <c r="AZ575" s="44"/>
      <c r="BA575" s="44"/>
      <c r="BB575" s="54"/>
      <c r="BC575" s="44"/>
      <c r="BD575" s="54"/>
      <c r="BE575" s="44"/>
      <c r="BF575" s="44"/>
      <c r="BG575" s="44"/>
      <c r="BH575" s="54"/>
      <c r="BI575" s="44"/>
      <c r="BJ575" s="54"/>
      <c r="BK575" s="44"/>
      <c r="BL575" s="44"/>
      <c r="BM575" s="44"/>
      <c r="BN575" s="54"/>
      <c r="BO575" s="44"/>
      <c r="BP575" s="54"/>
      <c r="BQ575" s="44"/>
      <c r="BR575" s="44"/>
      <c r="BS575" s="44"/>
      <c r="BT575" s="54"/>
      <c r="BU575" s="44"/>
      <c r="BV575" s="54"/>
      <c r="BW575" s="44"/>
      <c r="BX575" s="44"/>
      <c r="BY575" s="44"/>
      <c r="BZ575" s="54"/>
      <c r="CA575" s="44"/>
      <c r="CB575" s="54"/>
      <c r="CC575" s="44"/>
      <c r="CD575" s="44"/>
      <c r="CE575" s="44"/>
      <c r="CF575" s="44"/>
    </row>
    <row r="576" spans="1:84" x14ac:dyDescent="0.5">
      <c r="A576" s="227">
        <v>19026115</v>
      </c>
      <c r="B576" s="22">
        <v>19020116</v>
      </c>
      <c r="C576" s="23" t="s">
        <v>1435</v>
      </c>
      <c r="D576" s="24" t="s">
        <v>1323</v>
      </c>
      <c r="E576" s="884">
        <v>43514</v>
      </c>
      <c r="F576" s="932" t="s">
        <v>1324</v>
      </c>
      <c r="G576" s="933" t="s">
        <v>1431</v>
      </c>
      <c r="H576" s="62">
        <v>43508</v>
      </c>
      <c r="I576" s="27">
        <v>19048</v>
      </c>
      <c r="J576" s="931" t="s">
        <v>869</v>
      </c>
      <c r="K576" s="957">
        <v>43510</v>
      </c>
      <c r="L576" s="22" t="s">
        <v>1601</v>
      </c>
      <c r="M576" s="28" t="s">
        <v>1602</v>
      </c>
      <c r="N576" s="22" t="s">
        <v>50</v>
      </c>
      <c r="O576" s="29">
        <v>105000</v>
      </c>
      <c r="P576" s="29">
        <f t="shared" si="147"/>
        <v>7350</v>
      </c>
      <c r="Q576" s="29">
        <f t="shared" si="148"/>
        <v>112350</v>
      </c>
      <c r="R576" s="30">
        <v>22200</v>
      </c>
      <c r="S576" s="31" t="s">
        <v>1620</v>
      </c>
      <c r="T576" s="32">
        <f>O576-R576</f>
        <v>82800</v>
      </c>
      <c r="U576" s="33">
        <v>5</v>
      </c>
      <c r="V576" s="34">
        <f>T576*U576/100</f>
        <v>4140</v>
      </c>
      <c r="W576" s="35">
        <f>T576-V576</f>
        <v>78660</v>
      </c>
      <c r="X576" s="36">
        <v>0.44</v>
      </c>
      <c r="Y576" s="36">
        <f t="shared" ref="Y576:Y584" si="149">W576*X576/100</f>
        <v>346.10400000000004</v>
      </c>
      <c r="Z576" s="37">
        <v>0.2</v>
      </c>
      <c r="AA576" s="38">
        <f t="shared" ref="AA576:AA584" si="150">W576*Z576/100</f>
        <v>157.32</v>
      </c>
      <c r="AB576" s="40">
        <v>19020046</v>
      </c>
      <c r="AC576" s="41">
        <v>105000</v>
      </c>
      <c r="AD576" s="52">
        <f>AC576*7/100</f>
        <v>7350</v>
      </c>
      <c r="AE576" s="52">
        <f>AC576+AD576</f>
        <v>112350</v>
      </c>
      <c r="AF576" s="53">
        <v>43507</v>
      </c>
      <c r="AG576" s="39" t="s">
        <v>869</v>
      </c>
      <c r="AH576" s="39"/>
      <c r="AI576" s="39"/>
      <c r="AJ576" s="21" t="s">
        <v>1760</v>
      </c>
      <c r="AK576" s="44">
        <v>1</v>
      </c>
      <c r="AL576" s="45" t="s">
        <v>1603</v>
      </c>
      <c r="AM576" s="46" t="s">
        <v>869</v>
      </c>
      <c r="AN576" s="46"/>
      <c r="AO576" s="47">
        <v>1</v>
      </c>
      <c r="AP576" s="48" t="s">
        <v>636</v>
      </c>
      <c r="AQ576" s="44"/>
      <c r="AR576" s="54"/>
      <c r="AS576" s="44"/>
      <c r="AT576" s="44"/>
      <c r="AU576" s="44"/>
      <c r="AV576" s="54"/>
      <c r="AW576" s="44"/>
      <c r="AX576" s="54"/>
      <c r="AY576" s="44"/>
      <c r="AZ576" s="44"/>
      <c r="BA576" s="44"/>
      <c r="BB576" s="54"/>
      <c r="BC576" s="44"/>
      <c r="BD576" s="54"/>
      <c r="BE576" s="44"/>
      <c r="BF576" s="44"/>
      <c r="BG576" s="44"/>
      <c r="BH576" s="54"/>
      <c r="BI576" s="44"/>
      <c r="BJ576" s="54"/>
      <c r="BK576" s="44"/>
      <c r="BL576" s="44"/>
      <c r="BM576" s="44"/>
      <c r="BN576" s="54"/>
      <c r="BO576" s="44"/>
      <c r="BP576" s="54"/>
      <c r="BQ576" s="44"/>
      <c r="BR576" s="44"/>
      <c r="BS576" s="44"/>
      <c r="BT576" s="54"/>
      <c r="BU576" s="44"/>
      <c r="BV576" s="54"/>
      <c r="BW576" s="44"/>
      <c r="BX576" s="44"/>
      <c r="BY576" s="44"/>
      <c r="BZ576" s="54"/>
      <c r="CA576" s="44"/>
      <c r="CB576" s="54"/>
      <c r="CC576" s="44"/>
      <c r="CD576" s="44"/>
      <c r="CE576" s="44"/>
      <c r="CF576" s="44"/>
    </row>
    <row r="577" spans="1:84" s="95" customFormat="1" x14ac:dyDescent="0.5">
      <c r="A577" s="65">
        <v>19016114</v>
      </c>
      <c r="B577" s="66">
        <v>19010106</v>
      </c>
      <c r="C577" s="67" t="s">
        <v>1436</v>
      </c>
      <c r="D577" s="68" t="s">
        <v>1323</v>
      </c>
      <c r="E577" s="905">
        <v>43556</v>
      </c>
      <c r="F577" s="934"/>
      <c r="G577" s="935"/>
      <c r="H577" s="66"/>
      <c r="I577" s="71"/>
      <c r="J577" s="958"/>
      <c r="K577" s="84"/>
      <c r="L577" s="66" t="s">
        <v>1604</v>
      </c>
      <c r="M577" s="72" t="s">
        <v>1605</v>
      </c>
      <c r="N577" s="66" t="s">
        <v>50</v>
      </c>
      <c r="O577" s="73">
        <v>27200</v>
      </c>
      <c r="P577" s="73">
        <f t="shared" si="147"/>
        <v>1904</v>
      </c>
      <c r="Q577" s="73">
        <f t="shared" si="148"/>
        <v>29104</v>
      </c>
      <c r="R577" s="318"/>
      <c r="S577" s="319"/>
      <c r="T577" s="320"/>
      <c r="U577" s="321"/>
      <c r="V577" s="322"/>
      <c r="W577" s="79">
        <f t="shared" ref="W577:W584" si="151">O577</f>
        <v>27200</v>
      </c>
      <c r="X577" s="80">
        <v>0.25</v>
      </c>
      <c r="Y577" s="80">
        <f t="shared" si="149"/>
        <v>68</v>
      </c>
      <c r="Z577" s="81">
        <v>0.2</v>
      </c>
      <c r="AA577" s="82">
        <f t="shared" si="150"/>
        <v>54.4</v>
      </c>
      <c r="AB577" s="84"/>
      <c r="AC577" s="85"/>
      <c r="AD577" s="86"/>
      <c r="AE577" s="86"/>
      <c r="AF577" s="87"/>
      <c r="AG577" s="83"/>
      <c r="AH577" s="83"/>
      <c r="AI577" s="83"/>
      <c r="AJ577" s="65"/>
      <c r="AK577" s="88">
        <v>1</v>
      </c>
      <c r="AL577" s="89" t="s">
        <v>1606</v>
      </c>
      <c r="AM577" s="90" t="s">
        <v>869</v>
      </c>
      <c r="AN577" s="90"/>
      <c r="AO577" s="91">
        <v>4</v>
      </c>
      <c r="AP577" s="92" t="s">
        <v>636</v>
      </c>
      <c r="AQ577" s="88"/>
      <c r="AR577" s="94"/>
      <c r="AS577" s="88"/>
      <c r="AT577" s="88"/>
      <c r="AU577" s="88"/>
      <c r="AV577" s="94"/>
      <c r="AW577" s="88"/>
      <c r="AX577" s="94"/>
      <c r="AY577" s="88"/>
      <c r="AZ577" s="88"/>
      <c r="BA577" s="88"/>
      <c r="BB577" s="94"/>
      <c r="BC577" s="88"/>
      <c r="BD577" s="94"/>
      <c r="BE577" s="88"/>
      <c r="BF577" s="88"/>
      <c r="BG577" s="88"/>
      <c r="BH577" s="94"/>
      <c r="BI577" s="88"/>
      <c r="BJ577" s="94"/>
      <c r="BK577" s="88"/>
      <c r="BL577" s="88"/>
      <c r="BM577" s="88"/>
      <c r="BN577" s="94"/>
      <c r="BO577" s="88"/>
      <c r="BP577" s="94"/>
      <c r="BQ577" s="88"/>
      <c r="BR577" s="88"/>
      <c r="BS577" s="88"/>
      <c r="BT577" s="94"/>
      <c r="BU577" s="88"/>
      <c r="BV577" s="94"/>
      <c r="BW577" s="88"/>
      <c r="BX577" s="88"/>
      <c r="BY577" s="88"/>
      <c r="BZ577" s="94"/>
      <c r="CA577" s="88"/>
      <c r="CB577" s="94"/>
      <c r="CC577" s="88"/>
      <c r="CD577" s="88"/>
      <c r="CE577" s="88"/>
      <c r="CF577" s="88"/>
    </row>
    <row r="578" spans="1:84" s="95" customFormat="1" x14ac:dyDescent="0.5">
      <c r="A578" s="65">
        <v>19016113</v>
      </c>
      <c r="B578" s="66">
        <v>19010110</v>
      </c>
      <c r="C578" s="67" t="s">
        <v>1437</v>
      </c>
      <c r="D578" s="68" t="s">
        <v>1323</v>
      </c>
      <c r="E578" s="905">
        <v>43556</v>
      </c>
      <c r="F578" s="934"/>
      <c r="G578" s="935"/>
      <c r="H578" s="66"/>
      <c r="I578" s="71"/>
      <c r="J578" s="958"/>
      <c r="K578" s="84"/>
      <c r="L578" s="66" t="s">
        <v>1604</v>
      </c>
      <c r="M578" s="72" t="s">
        <v>1605</v>
      </c>
      <c r="N578" s="66" t="s">
        <v>50</v>
      </c>
      <c r="O578" s="73">
        <v>78880</v>
      </c>
      <c r="P578" s="73">
        <f t="shared" si="147"/>
        <v>5521.6</v>
      </c>
      <c r="Q578" s="73">
        <f t="shared" si="148"/>
        <v>84401.600000000006</v>
      </c>
      <c r="R578" s="318"/>
      <c r="S578" s="319"/>
      <c r="T578" s="320"/>
      <c r="U578" s="321"/>
      <c r="V578" s="322"/>
      <c r="W578" s="79">
        <f t="shared" si="151"/>
        <v>78880</v>
      </c>
      <c r="X578" s="80">
        <v>0.25</v>
      </c>
      <c r="Y578" s="80">
        <f t="shared" si="149"/>
        <v>197.2</v>
      </c>
      <c r="Z578" s="81">
        <v>0.2</v>
      </c>
      <c r="AA578" s="82">
        <f t="shared" si="150"/>
        <v>157.76</v>
      </c>
      <c r="AB578" s="84"/>
      <c r="AC578" s="85"/>
      <c r="AD578" s="86"/>
      <c r="AE578" s="86"/>
      <c r="AF578" s="87"/>
      <c r="AG578" s="83"/>
      <c r="AH578" s="83"/>
      <c r="AI578" s="83"/>
      <c r="AJ578" s="65"/>
      <c r="AK578" s="88">
        <v>1</v>
      </c>
      <c r="AL578" s="89" t="s">
        <v>1607</v>
      </c>
      <c r="AM578" s="90"/>
      <c r="AN578" s="90" t="s">
        <v>869</v>
      </c>
      <c r="AO578" s="91">
        <v>1</v>
      </c>
      <c r="AP578" s="92" t="s">
        <v>636</v>
      </c>
      <c r="AQ578" s="88"/>
      <c r="AR578" s="94"/>
      <c r="AS578" s="88"/>
      <c r="AT578" s="88"/>
      <c r="AU578" s="88"/>
      <c r="AV578" s="94"/>
      <c r="AW578" s="88"/>
      <c r="AX578" s="94"/>
      <c r="AY578" s="88"/>
      <c r="AZ578" s="88"/>
      <c r="BA578" s="88"/>
      <c r="BB578" s="94"/>
      <c r="BC578" s="88"/>
      <c r="BD578" s="94"/>
      <c r="BE578" s="88"/>
      <c r="BF578" s="88"/>
      <c r="BG578" s="88"/>
      <c r="BH578" s="94"/>
      <c r="BI578" s="88"/>
      <c r="BJ578" s="94"/>
      <c r="BK578" s="88"/>
      <c r="BL578" s="88"/>
      <c r="BM578" s="88"/>
      <c r="BN578" s="94"/>
      <c r="BO578" s="88"/>
      <c r="BP578" s="94"/>
      <c r="BQ578" s="88"/>
      <c r="BR578" s="88"/>
      <c r="BS578" s="88"/>
      <c r="BT578" s="94"/>
      <c r="BU578" s="88"/>
      <c r="BV578" s="94"/>
      <c r="BW578" s="88"/>
      <c r="BX578" s="88"/>
      <c r="BY578" s="88"/>
      <c r="BZ578" s="94"/>
      <c r="CA578" s="88"/>
      <c r="CB578" s="94"/>
      <c r="CC578" s="88"/>
      <c r="CD578" s="88"/>
      <c r="CE578" s="88"/>
      <c r="CF578" s="88"/>
    </row>
    <row r="579" spans="1:84" s="95" customFormat="1" x14ac:dyDescent="0.5">
      <c r="A579" s="65">
        <v>19016112</v>
      </c>
      <c r="B579" s="66">
        <v>19010109</v>
      </c>
      <c r="C579" s="67" t="s">
        <v>1438</v>
      </c>
      <c r="D579" s="68" t="s">
        <v>1323</v>
      </c>
      <c r="E579" s="905">
        <v>43556</v>
      </c>
      <c r="F579" s="934"/>
      <c r="G579" s="935"/>
      <c r="H579" s="66"/>
      <c r="I579" s="71"/>
      <c r="J579" s="958"/>
      <c r="K579" s="84"/>
      <c r="L579" s="66" t="s">
        <v>1604</v>
      </c>
      <c r="M579" s="72" t="s">
        <v>1605</v>
      </c>
      <c r="N579" s="66" t="s">
        <v>50</v>
      </c>
      <c r="O579" s="73">
        <v>254200</v>
      </c>
      <c r="P579" s="73">
        <f t="shared" si="147"/>
        <v>17794</v>
      </c>
      <c r="Q579" s="73">
        <f t="shared" si="148"/>
        <v>271994</v>
      </c>
      <c r="R579" s="318"/>
      <c r="S579" s="319"/>
      <c r="T579" s="320"/>
      <c r="U579" s="321"/>
      <c r="V579" s="322"/>
      <c r="W579" s="79">
        <f t="shared" si="151"/>
        <v>254200</v>
      </c>
      <c r="X579" s="80">
        <v>0.25</v>
      </c>
      <c r="Y579" s="80">
        <f t="shared" si="149"/>
        <v>635.5</v>
      </c>
      <c r="Z579" s="81">
        <v>0.2</v>
      </c>
      <c r="AA579" s="82">
        <f t="shared" si="150"/>
        <v>508.4</v>
      </c>
      <c r="AB579" s="84"/>
      <c r="AC579" s="85"/>
      <c r="AD579" s="86"/>
      <c r="AE579" s="86"/>
      <c r="AF579" s="87"/>
      <c r="AG579" s="83"/>
      <c r="AH579" s="83"/>
      <c r="AI579" s="83"/>
      <c r="AJ579" s="65"/>
      <c r="AK579" s="88">
        <v>1</v>
      </c>
      <c r="AL579" s="89" t="s">
        <v>1608</v>
      </c>
      <c r="AM579" s="90"/>
      <c r="AN579" s="90" t="s">
        <v>869</v>
      </c>
      <c r="AO579" s="91">
        <v>1</v>
      </c>
      <c r="AP579" s="92" t="s">
        <v>634</v>
      </c>
      <c r="AQ579" s="88"/>
      <c r="AR579" s="94"/>
      <c r="AS579" s="88"/>
      <c r="AT579" s="88"/>
      <c r="AU579" s="88"/>
      <c r="AV579" s="94"/>
      <c r="AW579" s="88"/>
      <c r="AX579" s="94"/>
      <c r="AY579" s="88"/>
      <c r="AZ579" s="88"/>
      <c r="BA579" s="88"/>
      <c r="BB579" s="94"/>
      <c r="BC579" s="88"/>
      <c r="BD579" s="94"/>
      <c r="BE579" s="88"/>
      <c r="BF579" s="88"/>
      <c r="BG579" s="88"/>
      <c r="BH579" s="94"/>
      <c r="BI579" s="88"/>
      <c r="BJ579" s="94"/>
      <c r="BK579" s="88"/>
      <c r="BL579" s="88"/>
      <c r="BM579" s="88"/>
      <c r="BN579" s="94"/>
      <c r="BO579" s="88"/>
      <c r="BP579" s="94"/>
      <c r="BQ579" s="88"/>
      <c r="BR579" s="88"/>
      <c r="BS579" s="88"/>
      <c r="BT579" s="94"/>
      <c r="BU579" s="88"/>
      <c r="BV579" s="94"/>
      <c r="BW579" s="88"/>
      <c r="BX579" s="88"/>
      <c r="BY579" s="88"/>
      <c r="BZ579" s="94"/>
      <c r="CA579" s="88"/>
      <c r="CB579" s="94"/>
      <c r="CC579" s="88"/>
      <c r="CD579" s="88"/>
      <c r="CE579" s="88"/>
      <c r="CF579" s="88"/>
    </row>
    <row r="580" spans="1:84" x14ac:dyDescent="0.5">
      <c r="A580" s="259">
        <v>19016111</v>
      </c>
      <c r="B580" s="104">
        <v>19010105</v>
      </c>
      <c r="C580" s="105" t="s">
        <v>1439</v>
      </c>
      <c r="D580" s="106" t="s">
        <v>1323</v>
      </c>
      <c r="E580" s="302">
        <v>43556</v>
      </c>
      <c r="F580" s="936" t="s">
        <v>1324</v>
      </c>
      <c r="G580" s="937" t="s">
        <v>1393</v>
      </c>
      <c r="H580" s="122">
        <v>43565</v>
      </c>
      <c r="I580" s="109">
        <v>19116</v>
      </c>
      <c r="J580" s="960" t="s">
        <v>869</v>
      </c>
      <c r="K580" s="965">
        <v>43566</v>
      </c>
      <c r="L580" s="104" t="s">
        <v>1604</v>
      </c>
      <c r="M580" s="110" t="s">
        <v>1609</v>
      </c>
      <c r="N580" s="104" t="s">
        <v>50</v>
      </c>
      <c r="O580" s="111">
        <v>13600</v>
      </c>
      <c r="P580" s="111">
        <f t="shared" si="147"/>
        <v>952</v>
      </c>
      <c r="Q580" s="111">
        <f t="shared" si="148"/>
        <v>14552</v>
      </c>
      <c r="R580" s="212"/>
      <c r="S580" s="165"/>
      <c r="T580" s="166"/>
      <c r="U580" s="167"/>
      <c r="V580" s="168"/>
      <c r="W580" s="117">
        <f t="shared" si="151"/>
        <v>13600</v>
      </c>
      <c r="X580" s="118">
        <v>0.25</v>
      </c>
      <c r="Y580" s="118">
        <f t="shared" si="149"/>
        <v>34</v>
      </c>
      <c r="Z580" s="119">
        <v>0.2</v>
      </c>
      <c r="AA580" s="120">
        <f t="shared" si="150"/>
        <v>27.2</v>
      </c>
      <c r="AB580" s="229">
        <v>19020055</v>
      </c>
      <c r="AC580" s="230">
        <v>4080</v>
      </c>
      <c r="AD580" s="233">
        <f>AC580*7/100</f>
        <v>285.60000000000002</v>
      </c>
      <c r="AE580" s="234">
        <f>AC580+AD580</f>
        <v>4365.6000000000004</v>
      </c>
      <c r="AF580" s="221">
        <v>43510</v>
      </c>
      <c r="AG580" s="121" t="s">
        <v>869</v>
      </c>
      <c r="AH580" s="121"/>
      <c r="AI580" s="121"/>
      <c r="AJ580" s="222" t="s">
        <v>1748</v>
      </c>
      <c r="AK580" s="128">
        <v>1</v>
      </c>
      <c r="AL580" s="129" t="s">
        <v>1606</v>
      </c>
      <c r="AM580" s="130" t="s">
        <v>869</v>
      </c>
      <c r="AN580" s="130"/>
      <c r="AO580" s="131">
        <v>2</v>
      </c>
      <c r="AP580" s="132" t="s">
        <v>636</v>
      </c>
      <c r="AQ580" s="128"/>
      <c r="AR580" s="133"/>
      <c r="AS580" s="128"/>
      <c r="AT580" s="128"/>
      <c r="AU580" s="128"/>
      <c r="AV580" s="133"/>
      <c r="AW580" s="128"/>
      <c r="AX580" s="133"/>
      <c r="AY580" s="128"/>
      <c r="AZ580" s="128"/>
      <c r="BA580" s="128"/>
      <c r="BB580" s="133"/>
      <c r="BC580" s="128"/>
      <c r="BD580" s="133"/>
      <c r="BE580" s="128"/>
      <c r="BF580" s="128"/>
      <c r="BG580" s="128"/>
      <c r="BH580" s="133"/>
      <c r="BI580" s="128"/>
      <c r="BJ580" s="133"/>
      <c r="BK580" s="128"/>
      <c r="BL580" s="128"/>
      <c r="BM580" s="128"/>
      <c r="BN580" s="133"/>
      <c r="BO580" s="128"/>
      <c r="BP580" s="133"/>
      <c r="BQ580" s="128"/>
      <c r="BR580" s="128"/>
      <c r="BS580" s="128"/>
      <c r="BT580" s="133"/>
      <c r="BU580" s="128"/>
      <c r="BV580" s="133"/>
      <c r="BW580" s="128"/>
      <c r="BX580" s="128"/>
      <c r="BY580" s="128"/>
      <c r="BZ580" s="133"/>
      <c r="CA580" s="128"/>
      <c r="CB580" s="133"/>
      <c r="CC580" s="128"/>
      <c r="CD580" s="128"/>
      <c r="CE580" s="128"/>
      <c r="CF580" s="128"/>
    </row>
    <row r="581" spans="1:84" x14ac:dyDescent="0.5">
      <c r="A581" s="262"/>
      <c r="B581" s="135"/>
      <c r="C581" s="136"/>
      <c r="D581" s="137"/>
      <c r="E581" s="906"/>
      <c r="F581" s="940"/>
      <c r="G581" s="941"/>
      <c r="H581" s="179"/>
      <c r="I581" s="140"/>
      <c r="J581" s="963"/>
      <c r="K581" s="964"/>
      <c r="L581" s="135"/>
      <c r="M581" s="141"/>
      <c r="N581" s="135"/>
      <c r="O581" s="142"/>
      <c r="P581" s="142"/>
      <c r="Q581" s="142"/>
      <c r="R581" s="213"/>
      <c r="S581" s="172"/>
      <c r="T581" s="173"/>
      <c r="U581" s="174"/>
      <c r="V581" s="175"/>
      <c r="W581" s="148"/>
      <c r="X581" s="149"/>
      <c r="Y581" s="149"/>
      <c r="Z581" s="150"/>
      <c r="AA581" s="151"/>
      <c r="AB581" s="154">
        <v>19040134</v>
      </c>
      <c r="AC581" s="155">
        <v>9520</v>
      </c>
      <c r="AD581" s="253">
        <f>AC581*7/100</f>
        <v>666.4</v>
      </c>
      <c r="AE581" s="263">
        <f>AC581+AD581</f>
        <v>10186.4</v>
      </c>
      <c r="AF581" s="157">
        <v>43588</v>
      </c>
      <c r="AG581" s="152" t="s">
        <v>869</v>
      </c>
      <c r="AH581" s="152"/>
      <c r="AI581" s="152"/>
      <c r="AJ581" s="134" t="s">
        <v>2169</v>
      </c>
      <c r="AK581" s="158"/>
      <c r="AL581" s="159"/>
      <c r="AM581" s="160"/>
      <c r="AN581" s="160"/>
      <c r="AO581" s="161"/>
      <c r="AP581" s="162"/>
      <c r="AQ581" s="158"/>
      <c r="AR581" s="163"/>
      <c r="AS581" s="158"/>
      <c r="AT581" s="158"/>
      <c r="AU581" s="158"/>
      <c r="AV581" s="163"/>
      <c r="AW581" s="158"/>
      <c r="AX581" s="163"/>
      <c r="AY581" s="158"/>
      <c r="AZ581" s="158"/>
      <c r="BA581" s="158"/>
      <c r="BB581" s="163"/>
      <c r="BC581" s="158"/>
      <c r="BD581" s="163"/>
      <c r="BE581" s="158"/>
      <c r="BF581" s="158"/>
      <c r="BG581" s="158"/>
      <c r="BH581" s="163"/>
      <c r="BI581" s="158"/>
      <c r="BJ581" s="163"/>
      <c r="BK581" s="158"/>
      <c r="BL581" s="158"/>
      <c r="BM581" s="158"/>
      <c r="BN581" s="163"/>
      <c r="BO581" s="158"/>
      <c r="BP581" s="163"/>
      <c r="BQ581" s="158"/>
      <c r="BR581" s="158"/>
      <c r="BS581" s="158"/>
      <c r="BT581" s="163"/>
      <c r="BU581" s="158"/>
      <c r="BV581" s="163"/>
      <c r="BW581" s="158"/>
      <c r="BX581" s="158"/>
      <c r="BY581" s="158"/>
      <c r="BZ581" s="163"/>
      <c r="CA581" s="158"/>
      <c r="CB581" s="163"/>
      <c r="CC581" s="158"/>
      <c r="CD581" s="158"/>
      <c r="CE581" s="158"/>
      <c r="CF581" s="158"/>
    </row>
    <row r="582" spans="1:84" x14ac:dyDescent="0.5">
      <c r="A582" s="259">
        <v>19016110</v>
      </c>
      <c r="B582" s="104">
        <v>19010108</v>
      </c>
      <c r="C582" s="105" t="s">
        <v>1440</v>
      </c>
      <c r="D582" s="106" t="s">
        <v>1323</v>
      </c>
      <c r="E582" s="302">
        <v>43524</v>
      </c>
      <c r="F582" s="936" t="s">
        <v>1324</v>
      </c>
      <c r="G582" s="937" t="s">
        <v>1406</v>
      </c>
      <c r="H582" s="122">
        <v>43547</v>
      </c>
      <c r="I582" s="109">
        <v>19099</v>
      </c>
      <c r="J582" s="960" t="s">
        <v>869</v>
      </c>
      <c r="K582" s="965">
        <v>43549</v>
      </c>
      <c r="L582" s="104" t="s">
        <v>1604</v>
      </c>
      <c r="M582" s="110" t="s">
        <v>1609</v>
      </c>
      <c r="N582" s="104" t="s">
        <v>50</v>
      </c>
      <c r="O582" s="111">
        <v>47080</v>
      </c>
      <c r="P582" s="111">
        <f t="shared" si="147"/>
        <v>3295.6</v>
      </c>
      <c r="Q582" s="111">
        <f t="shared" si="148"/>
        <v>50375.6</v>
      </c>
      <c r="R582" s="212"/>
      <c r="S582" s="165"/>
      <c r="T582" s="166"/>
      <c r="U582" s="167"/>
      <c r="V582" s="168"/>
      <c r="W582" s="117">
        <f t="shared" si="151"/>
        <v>47080</v>
      </c>
      <c r="X582" s="118">
        <v>0.25</v>
      </c>
      <c r="Y582" s="118">
        <f t="shared" si="149"/>
        <v>117.7</v>
      </c>
      <c r="Z582" s="119">
        <v>0.2</v>
      </c>
      <c r="AA582" s="120">
        <f t="shared" si="150"/>
        <v>94.16</v>
      </c>
      <c r="AB582" s="229">
        <v>19020054</v>
      </c>
      <c r="AC582" s="124">
        <v>14124</v>
      </c>
      <c r="AD582" s="125">
        <f>AC582*7/100</f>
        <v>988.68</v>
      </c>
      <c r="AE582" s="234">
        <f>AC582+AD582</f>
        <v>15112.68</v>
      </c>
      <c r="AF582" s="221">
        <v>43510</v>
      </c>
      <c r="AG582" s="127" t="s">
        <v>869</v>
      </c>
      <c r="AH582" s="121"/>
      <c r="AI582" s="121"/>
      <c r="AJ582" s="103" t="s">
        <v>1748</v>
      </c>
      <c r="AK582" s="128">
        <v>1</v>
      </c>
      <c r="AL582" s="129" t="s">
        <v>1216</v>
      </c>
      <c r="AM582" s="130"/>
      <c r="AN582" s="130" t="s">
        <v>869</v>
      </c>
      <c r="AO582" s="131">
        <v>1</v>
      </c>
      <c r="AP582" s="132" t="s">
        <v>636</v>
      </c>
      <c r="AQ582" s="128"/>
      <c r="AR582" s="133"/>
      <c r="AS582" s="128"/>
      <c r="AT582" s="128"/>
      <c r="AU582" s="128"/>
      <c r="AV582" s="133"/>
      <c r="AW582" s="128"/>
      <c r="AX582" s="133"/>
      <c r="AY582" s="128"/>
      <c r="AZ582" s="128"/>
      <c r="BA582" s="128"/>
      <c r="BB582" s="133"/>
      <c r="BC582" s="128"/>
      <c r="BD582" s="133"/>
      <c r="BE582" s="128"/>
      <c r="BF582" s="128"/>
      <c r="BG582" s="128"/>
      <c r="BH582" s="133"/>
      <c r="BI582" s="128"/>
      <c r="BJ582" s="133"/>
      <c r="BK582" s="128"/>
      <c r="BL582" s="128"/>
      <c r="BM582" s="128"/>
      <c r="BN582" s="133"/>
      <c r="BO582" s="128"/>
      <c r="BP582" s="133"/>
      <c r="BQ582" s="128"/>
      <c r="BR582" s="128"/>
      <c r="BS582" s="128"/>
      <c r="BT582" s="133"/>
      <c r="BU582" s="128"/>
      <c r="BV582" s="133"/>
      <c r="BW582" s="128"/>
      <c r="BX582" s="128"/>
      <c r="BY582" s="128"/>
      <c r="BZ582" s="133"/>
      <c r="CA582" s="128"/>
      <c r="CB582" s="133"/>
      <c r="CC582" s="128"/>
      <c r="CD582" s="128"/>
      <c r="CE582" s="128"/>
      <c r="CF582" s="128"/>
    </row>
    <row r="583" spans="1:84" x14ac:dyDescent="0.5">
      <c r="A583" s="262"/>
      <c r="B583" s="135"/>
      <c r="C583" s="136"/>
      <c r="D583" s="137"/>
      <c r="E583" s="906"/>
      <c r="F583" s="940"/>
      <c r="G583" s="941"/>
      <c r="H583" s="135"/>
      <c r="I583" s="140"/>
      <c r="J583" s="963"/>
      <c r="K583" s="964"/>
      <c r="L583" s="135"/>
      <c r="M583" s="141"/>
      <c r="N583" s="135"/>
      <c r="O583" s="142"/>
      <c r="P583" s="142"/>
      <c r="Q583" s="142"/>
      <c r="R583" s="213"/>
      <c r="S583" s="172"/>
      <c r="T583" s="173"/>
      <c r="U583" s="174"/>
      <c r="V583" s="175"/>
      <c r="W583" s="148"/>
      <c r="X583" s="149"/>
      <c r="Y583" s="149"/>
      <c r="Z583" s="150"/>
      <c r="AA583" s="151"/>
      <c r="AB583" s="154">
        <v>19030098</v>
      </c>
      <c r="AC583" s="224">
        <v>32956</v>
      </c>
      <c r="AD583" s="814">
        <f>AC583*7/100</f>
        <v>2306.92</v>
      </c>
      <c r="AE583" s="263">
        <f>AC583+AD583</f>
        <v>35262.92</v>
      </c>
      <c r="AF583" s="157">
        <v>43566</v>
      </c>
      <c r="AG583" s="815" t="s">
        <v>869</v>
      </c>
      <c r="AH583" s="152"/>
      <c r="AI583" s="152"/>
      <c r="AJ583" s="816" t="s">
        <v>2169</v>
      </c>
      <c r="AK583" s="158"/>
      <c r="AL583" s="159"/>
      <c r="AM583" s="160"/>
      <c r="AN583" s="160"/>
      <c r="AO583" s="161"/>
      <c r="AP583" s="162"/>
      <c r="AQ583" s="158"/>
      <c r="AR583" s="163"/>
      <c r="AS583" s="158"/>
      <c r="AT583" s="158"/>
      <c r="AU583" s="158"/>
      <c r="AV583" s="163"/>
      <c r="AW583" s="158"/>
      <c r="AX583" s="163"/>
      <c r="AY583" s="158"/>
      <c r="AZ583" s="158"/>
      <c r="BA583" s="158"/>
      <c r="BB583" s="163"/>
      <c r="BC583" s="158"/>
      <c r="BD583" s="163"/>
      <c r="BE583" s="158"/>
      <c r="BF583" s="158"/>
      <c r="BG583" s="158"/>
      <c r="BH583" s="163"/>
      <c r="BI583" s="158"/>
      <c r="BJ583" s="163"/>
      <c r="BK583" s="158"/>
      <c r="BL583" s="158"/>
      <c r="BM583" s="158"/>
      <c r="BN583" s="163"/>
      <c r="BO583" s="158"/>
      <c r="BP583" s="163"/>
      <c r="BQ583" s="158"/>
      <c r="BR583" s="158"/>
      <c r="BS583" s="158"/>
      <c r="BT583" s="163"/>
      <c r="BU583" s="158"/>
      <c r="BV583" s="163"/>
      <c r="BW583" s="158"/>
      <c r="BX583" s="158"/>
      <c r="BY583" s="158"/>
      <c r="BZ583" s="163"/>
      <c r="CA583" s="158"/>
      <c r="CB583" s="163"/>
      <c r="CC583" s="158"/>
      <c r="CD583" s="158"/>
      <c r="CE583" s="158"/>
      <c r="CF583" s="158"/>
    </row>
    <row r="584" spans="1:84" x14ac:dyDescent="0.5">
      <c r="A584" s="259">
        <v>19016109</v>
      </c>
      <c r="B584" s="104">
        <v>19010107</v>
      </c>
      <c r="C584" s="105" t="s">
        <v>1441</v>
      </c>
      <c r="D584" s="106" t="s">
        <v>1323</v>
      </c>
      <c r="E584" s="302">
        <v>43511</v>
      </c>
      <c r="F584" s="936" t="s">
        <v>1324</v>
      </c>
      <c r="G584" s="937" t="s">
        <v>1426</v>
      </c>
      <c r="H584" s="122">
        <v>43518</v>
      </c>
      <c r="I584" s="109">
        <v>19067</v>
      </c>
      <c r="J584" s="960" t="s">
        <v>869</v>
      </c>
      <c r="K584" s="965">
        <v>43519</v>
      </c>
      <c r="L584" s="104" t="s">
        <v>1604</v>
      </c>
      <c r="M584" s="110" t="s">
        <v>1609</v>
      </c>
      <c r="N584" s="104" t="s">
        <v>50</v>
      </c>
      <c r="O584" s="111">
        <v>95000</v>
      </c>
      <c r="P584" s="111">
        <f t="shared" si="147"/>
        <v>6650</v>
      </c>
      <c r="Q584" s="111">
        <f t="shared" si="148"/>
        <v>101650</v>
      </c>
      <c r="R584" s="166"/>
      <c r="S584" s="165"/>
      <c r="T584" s="166"/>
      <c r="U584" s="167"/>
      <c r="V584" s="168"/>
      <c r="W584" s="117">
        <f t="shared" si="151"/>
        <v>95000</v>
      </c>
      <c r="X584" s="118">
        <v>0.16</v>
      </c>
      <c r="Y584" s="118">
        <f t="shared" si="149"/>
        <v>152</v>
      </c>
      <c r="Z584" s="119">
        <v>0.2</v>
      </c>
      <c r="AA584" s="120">
        <f t="shared" si="150"/>
        <v>190</v>
      </c>
      <c r="AB584" s="123">
        <v>19020038</v>
      </c>
      <c r="AC584" s="124">
        <v>28500</v>
      </c>
      <c r="AD584" s="219">
        <f t="shared" ref="AD584:AD590" si="152">AC584*7/100</f>
        <v>1995</v>
      </c>
      <c r="AE584" s="220">
        <f t="shared" ref="AE584:AE591" si="153">AC584+AD584</f>
        <v>30495</v>
      </c>
      <c r="AF584" s="221">
        <v>43501</v>
      </c>
      <c r="AG584" s="121" t="s">
        <v>869</v>
      </c>
      <c r="AH584" s="121"/>
      <c r="AI584" s="121"/>
      <c r="AJ584" s="222" t="s">
        <v>1759</v>
      </c>
      <c r="AK584" s="128">
        <v>1</v>
      </c>
      <c r="AL584" s="129" t="s">
        <v>1564</v>
      </c>
      <c r="AM584" s="130"/>
      <c r="AN584" s="130" t="s">
        <v>869</v>
      </c>
      <c r="AO584" s="131">
        <v>1</v>
      </c>
      <c r="AP584" s="132" t="s">
        <v>634</v>
      </c>
      <c r="AQ584" s="128"/>
      <c r="AR584" s="133"/>
      <c r="AS584" s="128"/>
      <c r="AT584" s="128"/>
      <c r="AU584" s="128"/>
      <c r="AV584" s="133"/>
      <c r="AW584" s="128"/>
      <c r="AX584" s="133"/>
      <c r="AY584" s="128"/>
      <c r="AZ584" s="128"/>
      <c r="BA584" s="128"/>
      <c r="BB584" s="133"/>
      <c r="BC584" s="128"/>
      <c r="BD584" s="133"/>
      <c r="BE584" s="128"/>
      <c r="BF584" s="128"/>
      <c r="BG584" s="128"/>
      <c r="BH584" s="133"/>
      <c r="BI584" s="128"/>
      <c r="BJ584" s="133"/>
      <c r="BK584" s="128"/>
      <c r="BL584" s="128"/>
      <c r="BM584" s="128"/>
      <c r="BN584" s="133"/>
      <c r="BO584" s="128"/>
      <c r="BP584" s="133"/>
      <c r="BQ584" s="128"/>
      <c r="BR584" s="128"/>
      <c r="BS584" s="128"/>
      <c r="BT584" s="133"/>
      <c r="BU584" s="128"/>
      <c r="BV584" s="133"/>
      <c r="BW584" s="128"/>
      <c r="BX584" s="128"/>
      <c r="BY584" s="128"/>
      <c r="BZ584" s="133"/>
      <c r="CA584" s="128"/>
      <c r="CB584" s="133"/>
      <c r="CC584" s="128"/>
      <c r="CD584" s="128"/>
      <c r="CE584" s="128"/>
      <c r="CF584" s="128"/>
    </row>
    <row r="585" spans="1:84" x14ac:dyDescent="0.5">
      <c r="A585" s="268"/>
      <c r="B585" s="181"/>
      <c r="C585" s="182"/>
      <c r="D585" s="183"/>
      <c r="E585" s="749"/>
      <c r="F585" s="938"/>
      <c r="G585" s="939"/>
      <c r="H585" s="181"/>
      <c r="I585" s="187"/>
      <c r="J585" s="961"/>
      <c r="K585" s="966"/>
      <c r="L585" s="181"/>
      <c r="M585" s="188"/>
      <c r="N585" s="181"/>
      <c r="O585" s="189"/>
      <c r="P585" s="189"/>
      <c r="Q585" s="189"/>
      <c r="R585" s="214"/>
      <c r="S585" s="191"/>
      <c r="T585" s="192"/>
      <c r="U585" s="193"/>
      <c r="V585" s="194"/>
      <c r="W585" s="195"/>
      <c r="X585" s="196"/>
      <c r="Y585" s="196"/>
      <c r="Z585" s="197"/>
      <c r="AA585" s="198"/>
      <c r="AB585" s="223">
        <v>19030068</v>
      </c>
      <c r="AC585" s="224">
        <v>66500</v>
      </c>
      <c r="AD585" s="225">
        <f>AC585*7/100</f>
        <v>4655</v>
      </c>
      <c r="AE585" s="202">
        <f>AC585+AD585</f>
        <v>71155</v>
      </c>
      <c r="AF585" s="203">
        <v>43543</v>
      </c>
      <c r="AG585" s="199" t="s">
        <v>869</v>
      </c>
      <c r="AH585" s="199"/>
      <c r="AI585" s="199"/>
      <c r="AJ585" s="180" t="s">
        <v>1853</v>
      </c>
      <c r="AK585" s="204"/>
      <c r="AL585" s="205"/>
      <c r="AM585" s="206"/>
      <c r="AN585" s="206"/>
      <c r="AO585" s="207"/>
      <c r="AP585" s="208"/>
      <c r="AQ585" s="204"/>
      <c r="AR585" s="210"/>
      <c r="AS585" s="204"/>
      <c r="AT585" s="204"/>
      <c r="AU585" s="204"/>
      <c r="AV585" s="210"/>
      <c r="AW585" s="204"/>
      <c r="AX585" s="210"/>
      <c r="AY585" s="204"/>
      <c r="AZ585" s="204"/>
      <c r="BA585" s="204"/>
      <c r="BB585" s="210"/>
      <c r="BC585" s="204"/>
      <c r="BD585" s="210"/>
      <c r="BE585" s="204"/>
      <c r="BF585" s="204"/>
      <c r="BG585" s="204"/>
      <c r="BH585" s="210"/>
      <c r="BI585" s="204"/>
      <c r="BJ585" s="210"/>
      <c r="BK585" s="204"/>
      <c r="BL585" s="204"/>
      <c r="BM585" s="204"/>
      <c r="BN585" s="210"/>
      <c r="BO585" s="204"/>
      <c r="BP585" s="226"/>
      <c r="BQ585" s="204"/>
      <c r="BR585" s="204"/>
      <c r="BS585" s="204"/>
      <c r="BT585" s="210"/>
      <c r="BU585" s="204"/>
      <c r="BV585" s="210"/>
      <c r="BW585" s="204"/>
      <c r="BX585" s="204"/>
      <c r="BY585" s="204"/>
      <c r="BZ585" s="210"/>
      <c r="CA585" s="204"/>
      <c r="CB585" s="210"/>
      <c r="CC585" s="204"/>
      <c r="CD585" s="204"/>
      <c r="CE585" s="204"/>
      <c r="CF585" s="204"/>
    </row>
    <row r="586" spans="1:84" x14ac:dyDescent="0.5">
      <c r="A586" s="227">
        <v>19016108</v>
      </c>
      <c r="B586" s="22">
        <v>19010100</v>
      </c>
      <c r="C586" s="55"/>
      <c r="D586" s="56"/>
      <c r="E586" s="910"/>
      <c r="F586" s="932"/>
      <c r="G586" s="933"/>
      <c r="H586" s="59"/>
      <c r="I586" s="60"/>
      <c r="J586" s="931"/>
      <c r="K586" s="40"/>
      <c r="L586" s="22" t="s">
        <v>1551</v>
      </c>
      <c r="M586" s="28" t="s">
        <v>1552</v>
      </c>
      <c r="N586" s="22" t="s">
        <v>1523</v>
      </c>
      <c r="O586" s="29">
        <v>30000</v>
      </c>
      <c r="P586" s="29">
        <f t="shared" ref="P586:P595" si="154">O586*7/100</f>
        <v>2100</v>
      </c>
      <c r="Q586" s="29">
        <f t="shared" ref="Q586:Q595" si="155">O586+P586</f>
        <v>32100</v>
      </c>
      <c r="R586" s="61"/>
      <c r="S586" s="96"/>
      <c r="T586" s="97"/>
      <c r="U586" s="98"/>
      <c r="V586" s="99"/>
      <c r="W586" s="100"/>
      <c r="X586" s="99"/>
      <c r="Y586" s="99"/>
      <c r="Z586" s="100"/>
      <c r="AA586" s="101"/>
      <c r="AB586" s="40">
        <v>19020035</v>
      </c>
      <c r="AC586" s="41">
        <v>30000</v>
      </c>
      <c r="AD586" s="41">
        <f t="shared" si="152"/>
        <v>2100</v>
      </c>
      <c r="AE586" s="64">
        <f t="shared" si="153"/>
        <v>32100</v>
      </c>
      <c r="AF586" s="53">
        <v>43497</v>
      </c>
      <c r="AG586" s="39" t="s">
        <v>869</v>
      </c>
      <c r="AH586" s="39"/>
      <c r="AI586" s="39"/>
      <c r="AJ586" s="21" t="s">
        <v>1638</v>
      </c>
      <c r="AK586" s="44">
        <v>1</v>
      </c>
      <c r="AL586" s="45" t="s">
        <v>1553</v>
      </c>
      <c r="AM586" s="46"/>
      <c r="AN586" s="46"/>
      <c r="AO586" s="47">
        <v>1</v>
      </c>
      <c r="AP586" s="102"/>
      <c r="AQ586" s="44"/>
      <c r="AR586" s="54"/>
      <c r="AS586" s="44"/>
      <c r="AT586" s="44"/>
      <c r="AU586" s="44"/>
      <c r="AV586" s="54"/>
      <c r="AW586" s="44"/>
      <c r="AX586" s="54"/>
      <c r="AY586" s="44"/>
      <c r="AZ586" s="44"/>
      <c r="BA586" s="44"/>
      <c r="BB586" s="54"/>
      <c r="BC586" s="44"/>
      <c r="BD586" s="54"/>
      <c r="BE586" s="44"/>
      <c r="BF586" s="44"/>
      <c r="BG586" s="44"/>
      <c r="BH586" s="54"/>
      <c r="BI586" s="44"/>
      <c r="BJ586" s="54"/>
      <c r="BK586" s="44"/>
      <c r="BL586" s="44"/>
      <c r="BM586" s="44"/>
      <c r="BN586" s="54"/>
      <c r="BO586" s="44"/>
      <c r="BP586" s="228"/>
      <c r="BQ586" s="813"/>
      <c r="BR586" s="44"/>
      <c r="BS586" s="44"/>
      <c r="BT586" s="54"/>
      <c r="BU586" s="44"/>
      <c r="BV586" s="54"/>
      <c r="BW586" s="44"/>
      <c r="BX586" s="44"/>
      <c r="BY586" s="44"/>
      <c r="BZ586" s="54"/>
      <c r="CA586" s="44"/>
      <c r="CB586" s="54"/>
      <c r="CC586" s="44"/>
      <c r="CD586" s="44"/>
      <c r="CE586" s="44"/>
      <c r="CF586" s="44"/>
    </row>
    <row r="587" spans="1:84" x14ac:dyDescent="0.5">
      <c r="A587" s="227">
        <v>19016107</v>
      </c>
      <c r="B587" s="22">
        <v>19010099</v>
      </c>
      <c r="C587" s="23" t="s">
        <v>1443</v>
      </c>
      <c r="D587" s="24" t="s">
        <v>1323</v>
      </c>
      <c r="E587" s="884">
        <v>43501</v>
      </c>
      <c r="F587" s="932" t="s">
        <v>1324</v>
      </c>
      <c r="G587" s="933" t="s">
        <v>1435</v>
      </c>
      <c r="H587" s="62">
        <v>43501</v>
      </c>
      <c r="I587" s="27">
        <v>19042</v>
      </c>
      <c r="J587" s="931" t="s">
        <v>869</v>
      </c>
      <c r="K587" s="957">
        <v>43502</v>
      </c>
      <c r="L587" s="22" t="s">
        <v>20</v>
      </c>
      <c r="M587" s="28" t="s">
        <v>1554</v>
      </c>
      <c r="N587" s="22" t="s">
        <v>51</v>
      </c>
      <c r="O587" s="29">
        <v>34312</v>
      </c>
      <c r="P587" s="29">
        <f t="shared" si="154"/>
        <v>2401.84</v>
      </c>
      <c r="Q587" s="29">
        <f t="shared" si="155"/>
        <v>36713.839999999997</v>
      </c>
      <c r="R587" s="61"/>
      <c r="S587" s="96"/>
      <c r="T587" s="97"/>
      <c r="U587" s="98"/>
      <c r="V587" s="99"/>
      <c r="W587" s="100"/>
      <c r="X587" s="99"/>
      <c r="Y587" s="99"/>
      <c r="Z587" s="100"/>
      <c r="AA587" s="101"/>
      <c r="AB587" s="40">
        <v>19020044</v>
      </c>
      <c r="AC587" s="41">
        <v>34312</v>
      </c>
      <c r="AD587" s="42">
        <f t="shared" si="152"/>
        <v>2401.84</v>
      </c>
      <c r="AE587" s="64">
        <f t="shared" si="153"/>
        <v>36713.839999999997</v>
      </c>
      <c r="AF587" s="53">
        <v>43537</v>
      </c>
      <c r="AG587" s="39" t="s">
        <v>869</v>
      </c>
      <c r="AH587" s="39"/>
      <c r="AI587" s="39"/>
      <c r="AJ587" s="21" t="s">
        <v>2044</v>
      </c>
      <c r="AK587" s="44">
        <v>1</v>
      </c>
      <c r="AL587" s="45" t="s">
        <v>1555</v>
      </c>
      <c r="AM587" s="46"/>
      <c r="AN587" s="46" t="s">
        <v>869</v>
      </c>
      <c r="AO587" s="47">
        <v>2</v>
      </c>
      <c r="AP587" s="48" t="s">
        <v>633</v>
      </c>
      <c r="AQ587" s="44"/>
      <c r="AR587" s="54"/>
      <c r="AS587" s="44"/>
      <c r="AT587" s="44"/>
      <c r="AU587" s="44"/>
      <c r="AV587" s="54"/>
      <c r="AW587" s="44"/>
      <c r="AX587" s="54"/>
      <c r="AY587" s="44"/>
      <c r="AZ587" s="44"/>
      <c r="BA587" s="44"/>
      <c r="BB587" s="54"/>
      <c r="BC587" s="44"/>
      <c r="BD587" s="54"/>
      <c r="BE587" s="44"/>
      <c r="BF587" s="44"/>
      <c r="BG587" s="44"/>
      <c r="BH587" s="54"/>
      <c r="BI587" s="44"/>
      <c r="BJ587" s="54"/>
      <c r="BK587" s="44"/>
      <c r="BL587" s="44"/>
      <c r="BM587" s="44"/>
      <c r="BN587" s="54"/>
      <c r="BO587" s="44"/>
      <c r="BP587" s="54"/>
      <c r="BQ587" s="44"/>
      <c r="BR587" s="44"/>
      <c r="BS587" s="44"/>
      <c r="BT587" s="54"/>
      <c r="BU587" s="44"/>
      <c r="BV587" s="54"/>
      <c r="BW587" s="44"/>
      <c r="BX587" s="44"/>
      <c r="BY587" s="44"/>
      <c r="BZ587" s="54"/>
      <c r="CA587" s="44"/>
      <c r="CB587" s="54"/>
      <c r="CC587" s="44"/>
      <c r="CD587" s="44"/>
      <c r="CE587" s="44"/>
      <c r="CF587" s="44"/>
    </row>
    <row r="588" spans="1:84" x14ac:dyDescent="0.5">
      <c r="A588" s="227">
        <v>19016106</v>
      </c>
      <c r="B588" s="22">
        <v>19010094</v>
      </c>
      <c r="C588" s="23" t="s">
        <v>1442</v>
      </c>
      <c r="D588" s="24" t="s">
        <v>1323</v>
      </c>
      <c r="E588" s="884">
        <v>43501</v>
      </c>
      <c r="F588" s="932" t="s">
        <v>1324</v>
      </c>
      <c r="G588" s="933" t="s">
        <v>1438</v>
      </c>
      <c r="H588" s="62">
        <v>43497</v>
      </c>
      <c r="I588" s="27">
        <v>19039</v>
      </c>
      <c r="J588" s="931" t="s">
        <v>869</v>
      </c>
      <c r="K588" s="957">
        <v>43498</v>
      </c>
      <c r="L588" s="22" t="s">
        <v>1556</v>
      </c>
      <c r="M588" s="28" t="s">
        <v>1557</v>
      </c>
      <c r="N588" s="22" t="s">
        <v>52</v>
      </c>
      <c r="O588" s="29">
        <v>80000</v>
      </c>
      <c r="P588" s="29">
        <f t="shared" si="154"/>
        <v>5600</v>
      </c>
      <c r="Q588" s="29">
        <f t="shared" si="155"/>
        <v>85600</v>
      </c>
      <c r="R588" s="30">
        <v>5300</v>
      </c>
      <c r="S588" s="96"/>
      <c r="T588" s="97"/>
      <c r="U588" s="98"/>
      <c r="V588" s="99"/>
      <c r="W588" s="35">
        <f>O588-R588</f>
        <v>74700</v>
      </c>
      <c r="X588" s="36">
        <v>0.23</v>
      </c>
      <c r="Y588" s="36">
        <f>W588*X588/100</f>
        <v>171.81</v>
      </c>
      <c r="Z588" s="37">
        <v>0.2</v>
      </c>
      <c r="AA588" s="38">
        <f>W588*Z588/100</f>
        <v>149.4</v>
      </c>
      <c r="AB588" s="40">
        <v>19020047</v>
      </c>
      <c r="AC588" s="41">
        <v>80000</v>
      </c>
      <c r="AD588" s="52">
        <f t="shared" si="152"/>
        <v>5600</v>
      </c>
      <c r="AE588" s="52">
        <f t="shared" si="153"/>
        <v>85600</v>
      </c>
      <c r="AF588" s="53">
        <v>43567</v>
      </c>
      <c r="AG588" s="39" t="s">
        <v>869</v>
      </c>
      <c r="AH588" s="39"/>
      <c r="AI588" s="39"/>
      <c r="AJ588" s="21" t="s">
        <v>2242</v>
      </c>
      <c r="AK588" s="44">
        <v>1</v>
      </c>
      <c r="AL588" s="45" t="s">
        <v>1558</v>
      </c>
      <c r="AM588" s="46"/>
      <c r="AN588" s="46" t="s">
        <v>869</v>
      </c>
      <c r="AO588" s="47">
        <v>1</v>
      </c>
      <c r="AP588" s="48" t="s">
        <v>634</v>
      </c>
      <c r="AQ588" s="44"/>
      <c r="AR588" s="54"/>
      <c r="AS588" s="44"/>
      <c r="AT588" s="44"/>
      <c r="AU588" s="44"/>
      <c r="AV588" s="54"/>
      <c r="AW588" s="44"/>
      <c r="AX588" s="54"/>
      <c r="AY588" s="44"/>
      <c r="AZ588" s="44"/>
      <c r="BA588" s="44"/>
      <c r="BB588" s="54"/>
      <c r="BC588" s="44"/>
      <c r="BD588" s="54"/>
      <c r="BE588" s="44"/>
      <c r="BF588" s="44"/>
      <c r="BG588" s="44"/>
      <c r="BH588" s="54"/>
      <c r="BI588" s="44"/>
      <c r="BJ588" s="54"/>
      <c r="BK588" s="44"/>
      <c r="BL588" s="44"/>
      <c r="BM588" s="44"/>
      <c r="BN588" s="54"/>
      <c r="BO588" s="44"/>
      <c r="BP588" s="54"/>
      <c r="BQ588" s="44"/>
      <c r="BR588" s="44"/>
      <c r="BS588" s="44"/>
      <c r="BT588" s="54"/>
      <c r="BU588" s="44"/>
      <c r="BV588" s="54"/>
      <c r="BW588" s="44"/>
      <c r="BX588" s="44"/>
      <c r="BY588" s="44"/>
      <c r="BZ588" s="54"/>
      <c r="CA588" s="44"/>
      <c r="CB588" s="54"/>
      <c r="CC588" s="44"/>
      <c r="CD588" s="44"/>
      <c r="CE588" s="44"/>
      <c r="CF588" s="44"/>
    </row>
    <row r="589" spans="1:84" x14ac:dyDescent="0.5">
      <c r="A589" s="259">
        <v>19016105</v>
      </c>
      <c r="B589" s="104" t="s">
        <v>1559</v>
      </c>
      <c r="C589" s="105" t="s">
        <v>1445</v>
      </c>
      <c r="D589" s="106" t="s">
        <v>1323</v>
      </c>
      <c r="E589" s="302">
        <v>43509</v>
      </c>
      <c r="F589" s="936" t="s">
        <v>1324</v>
      </c>
      <c r="G589" s="937" t="s">
        <v>1430</v>
      </c>
      <c r="H589" s="122">
        <v>43518</v>
      </c>
      <c r="I589" s="109">
        <v>19072</v>
      </c>
      <c r="J589" s="960" t="s">
        <v>869</v>
      </c>
      <c r="K589" s="965">
        <v>43518</v>
      </c>
      <c r="L589" s="104" t="s">
        <v>430</v>
      </c>
      <c r="M589" s="110" t="s">
        <v>1560</v>
      </c>
      <c r="N589" s="104" t="s">
        <v>52</v>
      </c>
      <c r="O589" s="111">
        <v>280373.84000000003</v>
      </c>
      <c r="P589" s="111">
        <f t="shared" si="154"/>
        <v>19626.168799999999</v>
      </c>
      <c r="Q589" s="111">
        <f t="shared" si="155"/>
        <v>300000.00880000001</v>
      </c>
      <c r="R589" s="212"/>
      <c r="S589" s="165"/>
      <c r="T589" s="166"/>
      <c r="U589" s="167"/>
      <c r="V589" s="168"/>
      <c r="W589" s="117">
        <f>O589</f>
        <v>280373.84000000003</v>
      </c>
      <c r="X589" s="118">
        <v>0.2</v>
      </c>
      <c r="Y589" s="118">
        <f>W589*X589/100</f>
        <v>560.74768000000006</v>
      </c>
      <c r="Z589" s="119">
        <v>0.2</v>
      </c>
      <c r="AA589" s="120">
        <f>W589*Z589/100</f>
        <v>560.74768000000006</v>
      </c>
      <c r="AB589" s="229">
        <v>19010029</v>
      </c>
      <c r="AC589" s="230">
        <v>93457.94</v>
      </c>
      <c r="AD589" s="220">
        <f t="shared" si="152"/>
        <v>6542.055800000001</v>
      </c>
      <c r="AE589" s="220">
        <f t="shared" si="153"/>
        <v>99999.995800000004</v>
      </c>
      <c r="AF589" s="221">
        <v>43495</v>
      </c>
      <c r="AG589" s="121" t="s">
        <v>869</v>
      </c>
      <c r="AH589" s="121"/>
      <c r="AI589" s="121"/>
      <c r="AJ589" s="222" t="s">
        <v>1645</v>
      </c>
      <c r="AK589" s="128">
        <v>1</v>
      </c>
      <c r="AL589" s="129" t="s">
        <v>1561</v>
      </c>
      <c r="AM589" s="130"/>
      <c r="AN589" s="130" t="s">
        <v>869</v>
      </c>
      <c r="AO589" s="131">
        <v>1</v>
      </c>
      <c r="AP589" s="132" t="s">
        <v>634</v>
      </c>
      <c r="AQ589" s="128">
        <v>2</v>
      </c>
      <c r="AR589" s="123" t="s">
        <v>600</v>
      </c>
      <c r="AS589" s="131"/>
      <c r="AT589" s="131" t="s">
        <v>869</v>
      </c>
      <c r="AU589" s="131">
        <v>5</v>
      </c>
      <c r="AV589" s="169" t="s">
        <v>636</v>
      </c>
      <c r="AW589" s="128"/>
      <c r="AX589" s="133"/>
      <c r="AY589" s="128"/>
      <c r="AZ589" s="128"/>
      <c r="BA589" s="128"/>
      <c r="BB589" s="133"/>
      <c r="BC589" s="128"/>
      <c r="BD589" s="133"/>
      <c r="BE589" s="128"/>
      <c r="BF589" s="128"/>
      <c r="BG589" s="128"/>
      <c r="BH589" s="133"/>
      <c r="BI589" s="128"/>
      <c r="BJ589" s="133"/>
      <c r="BK589" s="128"/>
      <c r="BL589" s="128"/>
      <c r="BM589" s="128"/>
      <c r="BN589" s="133"/>
      <c r="BO589" s="128"/>
      <c r="BP589" s="133"/>
      <c r="BQ589" s="128"/>
      <c r="BR589" s="128"/>
      <c r="BS589" s="128"/>
      <c r="BT589" s="133"/>
      <c r="BU589" s="128"/>
      <c r="BV589" s="133"/>
      <c r="BW589" s="128"/>
      <c r="BX589" s="128"/>
      <c r="BY589" s="128"/>
      <c r="BZ589" s="133"/>
      <c r="CA589" s="128"/>
      <c r="CB589" s="133"/>
      <c r="CC589" s="128"/>
      <c r="CD589" s="128"/>
      <c r="CE589" s="128"/>
      <c r="CF589" s="128"/>
    </row>
    <row r="590" spans="1:84" x14ac:dyDescent="0.5">
      <c r="A590" s="268">
        <v>19016105</v>
      </c>
      <c r="B590" s="181"/>
      <c r="C590" s="182"/>
      <c r="D590" s="183"/>
      <c r="E590" s="749"/>
      <c r="F590" s="950" t="s">
        <v>1324</v>
      </c>
      <c r="G590" s="951" t="s">
        <v>1414</v>
      </c>
      <c r="H590" s="153">
        <v>43535</v>
      </c>
      <c r="I590" s="271">
        <v>19084</v>
      </c>
      <c r="J590" s="961"/>
      <c r="K590" s="966">
        <v>43535</v>
      </c>
      <c r="L590" s="181" t="s">
        <v>430</v>
      </c>
      <c r="M590" s="188" t="s">
        <v>1560</v>
      </c>
      <c r="N590" s="181"/>
      <c r="O590" s="189"/>
      <c r="P590" s="189"/>
      <c r="Q590" s="189"/>
      <c r="R590" s="214"/>
      <c r="S590" s="191"/>
      <c r="T590" s="192"/>
      <c r="U590" s="193"/>
      <c r="V590" s="194"/>
      <c r="W590" s="195"/>
      <c r="X590" s="196"/>
      <c r="Y590" s="196"/>
      <c r="Z590" s="197"/>
      <c r="AA590" s="198"/>
      <c r="AB590" s="200">
        <v>19020050</v>
      </c>
      <c r="AC590" s="201">
        <v>186915.9</v>
      </c>
      <c r="AD590" s="202">
        <f t="shared" si="152"/>
        <v>13084.113000000001</v>
      </c>
      <c r="AE590" s="202">
        <f t="shared" si="153"/>
        <v>200000.01300000001</v>
      </c>
      <c r="AF590" s="203">
        <v>43507</v>
      </c>
      <c r="AG590" s="199" t="s">
        <v>869</v>
      </c>
      <c r="AH590" s="199"/>
      <c r="AI590" s="199"/>
      <c r="AJ590" s="180" t="s">
        <v>1857</v>
      </c>
      <c r="AK590" s="204"/>
      <c r="AL590" s="205"/>
      <c r="AM590" s="206"/>
      <c r="AN590" s="206"/>
      <c r="AO590" s="207"/>
      <c r="AP590" s="208"/>
      <c r="AQ590" s="204"/>
      <c r="AR590" s="200"/>
      <c r="AS590" s="207"/>
      <c r="AT590" s="207"/>
      <c r="AU590" s="207"/>
      <c r="AV590" s="209"/>
      <c r="AW590" s="204"/>
      <c r="AX590" s="210"/>
      <c r="AY590" s="204"/>
      <c r="AZ590" s="204"/>
      <c r="BA590" s="204"/>
      <c r="BB590" s="210"/>
      <c r="BC590" s="204"/>
      <c r="BD590" s="210"/>
      <c r="BE590" s="204"/>
      <c r="BF590" s="204"/>
      <c r="BG590" s="204"/>
      <c r="BH590" s="210"/>
      <c r="BI590" s="204"/>
      <c r="BJ590" s="210"/>
      <c r="BK590" s="204"/>
      <c r="BL590" s="204"/>
      <c r="BM590" s="204"/>
      <c r="BN590" s="210"/>
      <c r="BO590" s="204"/>
      <c r="BP590" s="210"/>
      <c r="BQ590" s="204"/>
      <c r="BR590" s="204"/>
      <c r="BS590" s="204"/>
      <c r="BT590" s="210"/>
      <c r="BU590" s="204"/>
      <c r="BV590" s="210"/>
      <c r="BW590" s="204"/>
      <c r="BX590" s="204"/>
      <c r="BY590" s="204"/>
      <c r="BZ590" s="210"/>
      <c r="CA590" s="204"/>
      <c r="CB590" s="210"/>
      <c r="CC590" s="204"/>
      <c r="CD590" s="204"/>
      <c r="CE590" s="204"/>
      <c r="CF590" s="204"/>
    </row>
    <row r="591" spans="1:84" x14ac:dyDescent="0.5">
      <c r="A591" s="227">
        <v>19016104</v>
      </c>
      <c r="B591" s="22">
        <v>19010091</v>
      </c>
      <c r="C591" s="23" t="s">
        <v>1354</v>
      </c>
      <c r="D591" s="24" t="s">
        <v>1323</v>
      </c>
      <c r="E591" s="884"/>
      <c r="F591" s="932" t="s">
        <v>1324</v>
      </c>
      <c r="G591" s="933" t="s">
        <v>1375</v>
      </c>
      <c r="H591" s="62">
        <v>43609</v>
      </c>
      <c r="I591" s="27">
        <v>19138</v>
      </c>
      <c r="J591" s="931" t="s">
        <v>869</v>
      </c>
      <c r="K591" s="957">
        <v>43609</v>
      </c>
      <c r="L591" s="22" t="s">
        <v>154</v>
      </c>
      <c r="M591" s="28" t="s">
        <v>1565</v>
      </c>
      <c r="N591" s="22" t="s">
        <v>51</v>
      </c>
      <c r="O591" s="29">
        <v>55000</v>
      </c>
      <c r="P591" s="29">
        <f t="shared" si="154"/>
        <v>3850</v>
      </c>
      <c r="Q591" s="29">
        <f t="shared" si="155"/>
        <v>58850</v>
      </c>
      <c r="R591" s="61"/>
      <c r="S591" s="96"/>
      <c r="T591" s="97"/>
      <c r="U591" s="98"/>
      <c r="V591" s="99"/>
      <c r="W591" s="100"/>
      <c r="X591" s="99"/>
      <c r="Y591" s="99"/>
      <c r="Z591" s="100"/>
      <c r="AA591" s="101"/>
      <c r="AB591" s="40">
        <v>19060189</v>
      </c>
      <c r="AC591" s="41">
        <v>55000</v>
      </c>
      <c r="AD591" s="52">
        <f>AC591*7/100</f>
        <v>3850</v>
      </c>
      <c r="AE591" s="63">
        <f t="shared" si="153"/>
        <v>58850</v>
      </c>
      <c r="AF591" s="53">
        <v>43653</v>
      </c>
      <c r="AG591" s="39" t="s">
        <v>869</v>
      </c>
      <c r="AH591" s="39"/>
      <c r="AI591" s="39"/>
      <c r="AJ591" s="21" t="s">
        <v>2738</v>
      </c>
      <c r="AK591" s="44">
        <v>1</v>
      </c>
      <c r="AL591" s="45" t="s">
        <v>1321</v>
      </c>
      <c r="AM591" s="46"/>
      <c r="AN591" s="46"/>
      <c r="AO591" s="47">
        <v>10</v>
      </c>
      <c r="AP591" s="48" t="s">
        <v>628</v>
      </c>
      <c r="AQ591" s="44">
        <v>2</v>
      </c>
      <c r="AR591" s="40" t="s">
        <v>1566</v>
      </c>
      <c r="AS591" s="47"/>
      <c r="AT591" s="47"/>
      <c r="AU591" s="47">
        <v>4</v>
      </c>
      <c r="AV591" s="49" t="s">
        <v>628</v>
      </c>
      <c r="AW591" s="44">
        <v>3</v>
      </c>
      <c r="AX591" s="40" t="s">
        <v>1567</v>
      </c>
      <c r="AY591" s="47"/>
      <c r="AZ591" s="47"/>
      <c r="BA591" s="47">
        <v>3</v>
      </c>
      <c r="BB591" s="49" t="s">
        <v>628</v>
      </c>
      <c r="BC591" s="44">
        <v>4</v>
      </c>
      <c r="BD591" s="40" t="s">
        <v>1568</v>
      </c>
      <c r="BE591" s="47"/>
      <c r="BF591" s="47"/>
      <c r="BG591" s="47">
        <v>3</v>
      </c>
      <c r="BH591" s="49" t="s">
        <v>628</v>
      </c>
      <c r="BI591" s="44"/>
      <c r="BJ591" s="54"/>
      <c r="BK591" s="44"/>
      <c r="BL591" s="44"/>
      <c r="BM591" s="44"/>
      <c r="BN591" s="54"/>
      <c r="BO591" s="44"/>
      <c r="BP591" s="54"/>
      <c r="BQ591" s="44"/>
      <c r="BR591" s="44"/>
      <c r="BS591" s="44"/>
      <c r="BT591" s="54"/>
      <c r="BU591" s="44"/>
      <c r="BV591" s="54"/>
      <c r="BW591" s="44"/>
      <c r="BX591" s="44"/>
      <c r="BY591" s="44"/>
      <c r="BZ591" s="54"/>
      <c r="CA591" s="44"/>
      <c r="CB591" s="54"/>
      <c r="CC591" s="44"/>
      <c r="CD591" s="44"/>
      <c r="CE591" s="44"/>
      <c r="CF591" s="44"/>
    </row>
    <row r="592" spans="1:84" x14ac:dyDescent="0.5">
      <c r="A592" s="259">
        <v>19016103</v>
      </c>
      <c r="B592" s="104">
        <v>19010084</v>
      </c>
      <c r="C592" s="105" t="s">
        <v>1444</v>
      </c>
      <c r="D592" s="106" t="s">
        <v>1323</v>
      </c>
      <c r="E592" s="302">
        <v>43505</v>
      </c>
      <c r="F592" s="936" t="s">
        <v>1324</v>
      </c>
      <c r="G592" s="937" t="s">
        <v>1433</v>
      </c>
      <c r="H592" s="122">
        <v>43504</v>
      </c>
      <c r="I592" s="109">
        <v>19045</v>
      </c>
      <c r="J592" s="960" t="s">
        <v>869</v>
      </c>
      <c r="K592" s="965">
        <v>43505</v>
      </c>
      <c r="L592" s="104" t="s">
        <v>1562</v>
      </c>
      <c r="M592" s="110" t="s">
        <v>1563</v>
      </c>
      <c r="N592" s="104" t="s">
        <v>1523</v>
      </c>
      <c r="O592" s="111">
        <v>126706</v>
      </c>
      <c r="P592" s="111">
        <f t="shared" si="154"/>
        <v>8869.42</v>
      </c>
      <c r="Q592" s="111">
        <f t="shared" si="155"/>
        <v>135575.42000000001</v>
      </c>
      <c r="R592" s="166"/>
      <c r="S592" s="113" t="s">
        <v>1569</v>
      </c>
      <c r="T592" s="114">
        <f>O592</f>
        <v>126706</v>
      </c>
      <c r="U592" s="115">
        <v>5</v>
      </c>
      <c r="V592" s="116">
        <f>T592*U592/100</f>
        <v>6335.3</v>
      </c>
      <c r="W592" s="117">
        <f>T592-V592</f>
        <v>120370.7</v>
      </c>
      <c r="X592" s="118">
        <v>0.39</v>
      </c>
      <c r="Y592" s="118">
        <f>W592*X592/100</f>
        <v>469.44573000000003</v>
      </c>
      <c r="Z592" s="119">
        <v>0.2</v>
      </c>
      <c r="AA592" s="120">
        <f>W592*Z592/100</f>
        <v>240.7414</v>
      </c>
      <c r="AB592" s="229">
        <v>19010028</v>
      </c>
      <c r="AC592" s="230">
        <v>38011.800000000003</v>
      </c>
      <c r="AD592" s="220">
        <f t="shared" ref="AD592:AD598" si="156">AC592*7/100</f>
        <v>2660.8260000000005</v>
      </c>
      <c r="AE592" s="220">
        <f t="shared" ref="AE592:AE598" si="157">AC592+AD592</f>
        <v>40672.626000000004</v>
      </c>
      <c r="AF592" s="221">
        <v>43495</v>
      </c>
      <c r="AG592" s="121" t="s">
        <v>869</v>
      </c>
      <c r="AH592" s="121"/>
      <c r="AI592" s="121"/>
      <c r="AJ592" s="222" t="s">
        <v>1647</v>
      </c>
      <c r="AK592" s="128">
        <v>1</v>
      </c>
      <c r="AL592" s="129" t="s">
        <v>1564</v>
      </c>
      <c r="AM592" s="130"/>
      <c r="AN592" s="130" t="s">
        <v>869</v>
      </c>
      <c r="AO592" s="131">
        <v>1</v>
      </c>
      <c r="AP592" s="132" t="s">
        <v>634</v>
      </c>
      <c r="AQ592" s="128"/>
      <c r="AR592" s="133"/>
      <c r="AS592" s="128"/>
      <c r="AT592" s="128"/>
      <c r="AU592" s="128"/>
      <c r="AV592" s="133"/>
      <c r="AW592" s="128"/>
      <c r="AX592" s="133"/>
      <c r="AY592" s="128"/>
      <c r="AZ592" s="128"/>
      <c r="BA592" s="128"/>
      <c r="BB592" s="133"/>
      <c r="BC592" s="128"/>
      <c r="BD592" s="133"/>
      <c r="BE592" s="128"/>
      <c r="BF592" s="128"/>
      <c r="BG592" s="128"/>
      <c r="BH592" s="133"/>
      <c r="BI592" s="128"/>
      <c r="BJ592" s="133"/>
      <c r="BK592" s="128"/>
      <c r="BL592" s="128"/>
      <c r="BM592" s="128"/>
      <c r="BN592" s="133"/>
      <c r="BO592" s="128"/>
      <c r="BP592" s="133"/>
      <c r="BQ592" s="128"/>
      <c r="BR592" s="128"/>
      <c r="BS592" s="128"/>
      <c r="BT592" s="133"/>
      <c r="BU592" s="128"/>
      <c r="BV592" s="133"/>
      <c r="BW592" s="128"/>
      <c r="BX592" s="128"/>
      <c r="BY592" s="128"/>
      <c r="BZ592" s="133"/>
      <c r="CA592" s="128"/>
      <c r="CB592" s="133"/>
      <c r="CC592" s="128"/>
      <c r="CD592" s="128"/>
      <c r="CE592" s="128"/>
      <c r="CF592" s="128"/>
    </row>
    <row r="593" spans="1:86" x14ac:dyDescent="0.5">
      <c r="A593" s="268"/>
      <c r="B593" s="181"/>
      <c r="C593" s="182"/>
      <c r="D593" s="183"/>
      <c r="E593" s="749"/>
      <c r="F593" s="938"/>
      <c r="G593" s="939"/>
      <c r="H593" s="181"/>
      <c r="I593" s="187"/>
      <c r="J593" s="961"/>
      <c r="K593" s="200"/>
      <c r="L593" s="181"/>
      <c r="M593" s="188"/>
      <c r="N593" s="181"/>
      <c r="O593" s="189"/>
      <c r="P593" s="189"/>
      <c r="Q593" s="189"/>
      <c r="R593" s="214"/>
      <c r="S593" s="215"/>
      <c r="T593" s="216"/>
      <c r="U593" s="217"/>
      <c r="V593" s="218"/>
      <c r="W593" s="195"/>
      <c r="X593" s="196"/>
      <c r="Y593" s="196"/>
      <c r="Z593" s="197"/>
      <c r="AA593" s="198"/>
      <c r="AB593" s="200">
        <v>19020039</v>
      </c>
      <c r="AC593" s="201">
        <v>88694.2</v>
      </c>
      <c r="AD593" s="202">
        <f t="shared" si="156"/>
        <v>6208.5940000000001</v>
      </c>
      <c r="AE593" s="202">
        <f t="shared" si="157"/>
        <v>94902.793999999994</v>
      </c>
      <c r="AF593" s="203">
        <v>43502</v>
      </c>
      <c r="AG593" s="199" t="s">
        <v>869</v>
      </c>
      <c r="AH593" s="199"/>
      <c r="AI593" s="199"/>
      <c r="AJ593" s="180" t="s">
        <v>1764</v>
      </c>
      <c r="AK593" s="204"/>
      <c r="AL593" s="205"/>
      <c r="AM593" s="206"/>
      <c r="AN593" s="206"/>
      <c r="AO593" s="207"/>
      <c r="AP593" s="208"/>
      <c r="AQ593" s="204"/>
      <c r="AR593" s="210"/>
      <c r="AS593" s="204"/>
      <c r="AT593" s="204"/>
      <c r="AU593" s="204"/>
      <c r="AV593" s="210"/>
      <c r="AW593" s="204"/>
      <c r="AX593" s="210"/>
      <c r="AY593" s="204"/>
      <c r="AZ593" s="204"/>
      <c r="BA593" s="204"/>
      <c r="BB593" s="210"/>
      <c r="BC593" s="204"/>
      <c r="BD593" s="210"/>
      <c r="BE593" s="204"/>
      <c r="BF593" s="204"/>
      <c r="BG593" s="204"/>
      <c r="BH593" s="210"/>
      <c r="BI593" s="204"/>
      <c r="BJ593" s="210"/>
      <c r="BK593" s="204"/>
      <c r="BL593" s="204"/>
      <c r="BM593" s="204"/>
      <c r="BN593" s="210"/>
      <c r="BO593" s="204"/>
      <c r="BP593" s="210"/>
      <c r="BQ593" s="204"/>
      <c r="BR593" s="204"/>
      <c r="BS593" s="204"/>
      <c r="BT593" s="210"/>
      <c r="BU593" s="204"/>
      <c r="BV593" s="210"/>
      <c r="BW593" s="204"/>
      <c r="BX593" s="204"/>
      <c r="BY593" s="204"/>
      <c r="BZ593" s="210"/>
      <c r="CA593" s="204"/>
      <c r="CB593" s="210"/>
      <c r="CC593" s="204"/>
      <c r="CD593" s="204"/>
      <c r="CE593" s="204"/>
      <c r="CF593" s="204"/>
    </row>
    <row r="594" spans="1:86" x14ac:dyDescent="0.5">
      <c r="A594" s="227">
        <v>19016102</v>
      </c>
      <c r="B594" s="22">
        <v>19010054</v>
      </c>
      <c r="C594" s="23" t="s">
        <v>1446</v>
      </c>
      <c r="D594" s="24" t="s">
        <v>1323</v>
      </c>
      <c r="E594" s="884">
        <v>43511</v>
      </c>
      <c r="F594" s="932" t="s">
        <v>1324</v>
      </c>
      <c r="G594" s="933" t="s">
        <v>1429</v>
      </c>
      <c r="H594" s="62">
        <v>43517</v>
      </c>
      <c r="I594" s="27">
        <v>19066</v>
      </c>
      <c r="J594" s="931" t="s">
        <v>869</v>
      </c>
      <c r="K594" s="957">
        <v>43518</v>
      </c>
      <c r="L594" s="22" t="s">
        <v>1546</v>
      </c>
      <c r="M594" s="28" t="s">
        <v>1547</v>
      </c>
      <c r="N594" s="22" t="s">
        <v>1523</v>
      </c>
      <c r="O594" s="29">
        <v>76250</v>
      </c>
      <c r="P594" s="29">
        <f t="shared" si="154"/>
        <v>5337.5</v>
      </c>
      <c r="Q594" s="29">
        <f t="shared" si="155"/>
        <v>81587.5</v>
      </c>
      <c r="R594" s="61"/>
      <c r="S594" s="31" t="s">
        <v>1310</v>
      </c>
      <c r="T594" s="32">
        <f>O594</f>
        <v>76250</v>
      </c>
      <c r="U594" s="33">
        <v>5</v>
      </c>
      <c r="V594" s="34">
        <f>T594*U594/100</f>
        <v>3812.5</v>
      </c>
      <c r="W594" s="35">
        <f>T594-V594</f>
        <v>72437.5</v>
      </c>
      <c r="X594" s="36">
        <v>0.43</v>
      </c>
      <c r="Y594" s="36">
        <f>W594*X594/100</f>
        <v>311.48124999999999</v>
      </c>
      <c r="Z594" s="37">
        <v>0.2</v>
      </c>
      <c r="AA594" s="38">
        <f>W594*Z594/100</f>
        <v>144.875</v>
      </c>
      <c r="AB594" s="40">
        <v>19030067</v>
      </c>
      <c r="AC594" s="41">
        <v>76250</v>
      </c>
      <c r="AD594" s="63">
        <f t="shared" si="156"/>
        <v>5337.5</v>
      </c>
      <c r="AE594" s="63">
        <f t="shared" si="157"/>
        <v>81587.5</v>
      </c>
      <c r="AF594" s="53">
        <v>43558</v>
      </c>
      <c r="AG594" s="39" t="s">
        <v>869</v>
      </c>
      <c r="AH594" s="39"/>
      <c r="AI594" s="39"/>
      <c r="AJ594" s="21" t="s">
        <v>2163</v>
      </c>
      <c r="AK594" s="44">
        <v>1</v>
      </c>
      <c r="AL594" s="45" t="s">
        <v>833</v>
      </c>
      <c r="AM594" s="46"/>
      <c r="AN594" s="46" t="s">
        <v>869</v>
      </c>
      <c r="AO594" s="47">
        <v>2</v>
      </c>
      <c r="AP594" s="48" t="s">
        <v>634</v>
      </c>
      <c r="AQ594" s="44">
        <v>2</v>
      </c>
      <c r="AR594" s="40" t="s">
        <v>829</v>
      </c>
      <c r="AS594" s="47"/>
      <c r="AT594" s="47" t="s">
        <v>869</v>
      </c>
      <c r="AU594" s="47">
        <v>1</v>
      </c>
      <c r="AV594" s="49" t="s">
        <v>634</v>
      </c>
      <c r="AW594" s="44"/>
      <c r="AX594" s="54"/>
      <c r="AY594" s="44"/>
      <c r="AZ594" s="44"/>
      <c r="BA594" s="44"/>
      <c r="BB594" s="54"/>
      <c r="BC594" s="44"/>
      <c r="BD594" s="54"/>
      <c r="BE594" s="44"/>
      <c r="BF594" s="44"/>
      <c r="BG594" s="44"/>
      <c r="BH594" s="54"/>
      <c r="BI594" s="44"/>
      <c r="BJ594" s="54"/>
      <c r="BK594" s="44"/>
      <c r="BL594" s="44"/>
      <c r="BM594" s="44"/>
      <c r="BN594" s="54"/>
      <c r="BO594" s="44"/>
      <c r="BP594" s="54"/>
      <c r="BQ594" s="44"/>
      <c r="BR594" s="44"/>
      <c r="BS594" s="44"/>
      <c r="BT594" s="54"/>
      <c r="BU594" s="44"/>
      <c r="BV594" s="54"/>
      <c r="BW594" s="44"/>
      <c r="BX594" s="44"/>
      <c r="BY594" s="44"/>
      <c r="BZ594" s="54"/>
      <c r="CA594" s="44"/>
      <c r="CB594" s="54"/>
      <c r="CC594" s="44"/>
      <c r="CD594" s="44"/>
      <c r="CE594" s="44"/>
      <c r="CF594" s="44"/>
    </row>
    <row r="595" spans="1:86" x14ac:dyDescent="0.5">
      <c r="A595" s="259">
        <v>19016101</v>
      </c>
      <c r="B595" s="104">
        <v>19010076</v>
      </c>
      <c r="C595" s="105" t="s">
        <v>1447</v>
      </c>
      <c r="D595" s="106" t="s">
        <v>1323</v>
      </c>
      <c r="E595" s="302">
        <v>43500</v>
      </c>
      <c r="F595" s="936" t="s">
        <v>1324</v>
      </c>
      <c r="G595" s="937" t="s">
        <v>1396</v>
      </c>
      <c r="H595" s="122">
        <v>43564</v>
      </c>
      <c r="I595" s="109">
        <v>19113</v>
      </c>
      <c r="J595" s="960" t="s">
        <v>869</v>
      </c>
      <c r="K595" s="965">
        <v>43564</v>
      </c>
      <c r="L595" s="104" t="s">
        <v>97</v>
      </c>
      <c r="M595" s="104" t="s">
        <v>1543</v>
      </c>
      <c r="N595" s="104" t="s">
        <v>51</v>
      </c>
      <c r="O595" s="111">
        <v>382714</v>
      </c>
      <c r="P595" s="111">
        <f t="shared" si="154"/>
        <v>26789.98</v>
      </c>
      <c r="Q595" s="111">
        <f t="shared" si="155"/>
        <v>409503.98</v>
      </c>
      <c r="R595" s="166"/>
      <c r="S595" s="165"/>
      <c r="T595" s="166"/>
      <c r="U595" s="167"/>
      <c r="V595" s="168"/>
      <c r="W595" s="231"/>
      <c r="X595" s="168"/>
      <c r="Y595" s="168"/>
      <c r="Z595" s="231"/>
      <c r="AA595" s="232"/>
      <c r="AB595" s="229">
        <v>19010022</v>
      </c>
      <c r="AC595" s="230">
        <v>114814.2</v>
      </c>
      <c r="AD595" s="233">
        <f t="shared" si="156"/>
        <v>8036.9940000000006</v>
      </c>
      <c r="AE595" s="234">
        <f t="shared" si="157"/>
        <v>122851.194</v>
      </c>
      <c r="AF595" s="221">
        <v>43493</v>
      </c>
      <c r="AG595" s="121" t="s">
        <v>869</v>
      </c>
      <c r="AH595" s="121"/>
      <c r="AI595" s="121"/>
      <c r="AJ595" s="222" t="s">
        <v>1644</v>
      </c>
      <c r="AK595" s="128">
        <v>1</v>
      </c>
      <c r="AL595" s="129" t="s">
        <v>1544</v>
      </c>
      <c r="AM595" s="130"/>
      <c r="AN595" s="130" t="s">
        <v>869</v>
      </c>
      <c r="AO595" s="131">
        <v>1</v>
      </c>
      <c r="AP595" s="132" t="s">
        <v>633</v>
      </c>
      <c r="AQ595" s="128">
        <v>2</v>
      </c>
      <c r="AR595" s="123" t="s">
        <v>1545</v>
      </c>
      <c r="AS595" s="131"/>
      <c r="AT595" s="131" t="s">
        <v>869</v>
      </c>
      <c r="AU595" s="131">
        <v>1</v>
      </c>
      <c r="AV595" s="169" t="s">
        <v>633</v>
      </c>
      <c r="AW595" s="128"/>
      <c r="AX595" s="133"/>
      <c r="AY595" s="128"/>
      <c r="AZ595" s="128"/>
      <c r="BA595" s="128"/>
      <c r="BB595" s="133"/>
      <c r="BC595" s="128"/>
      <c r="BD595" s="133"/>
      <c r="BE595" s="128"/>
      <c r="BF595" s="128"/>
      <c r="BG595" s="128"/>
      <c r="BH595" s="133"/>
      <c r="BI595" s="128"/>
      <c r="BJ595" s="133"/>
      <c r="BK595" s="128"/>
      <c r="BL595" s="128"/>
      <c r="BM595" s="128"/>
      <c r="BN595" s="133"/>
      <c r="BO595" s="128"/>
      <c r="BP595" s="133"/>
      <c r="BQ595" s="128"/>
      <c r="BR595" s="128"/>
      <c r="BS595" s="128"/>
      <c r="BT595" s="133"/>
      <c r="BU595" s="128"/>
      <c r="BV595" s="133"/>
      <c r="BW595" s="128"/>
      <c r="BX595" s="128"/>
      <c r="BY595" s="128"/>
      <c r="BZ595" s="133"/>
      <c r="CA595" s="128"/>
      <c r="CB595" s="133"/>
      <c r="CC595" s="128"/>
      <c r="CD595" s="128"/>
      <c r="CE595" s="128"/>
      <c r="CF595" s="128"/>
    </row>
    <row r="596" spans="1:86" x14ac:dyDescent="0.5">
      <c r="A596" s="268"/>
      <c r="B596" s="181"/>
      <c r="C596" s="182"/>
      <c r="D596" s="183"/>
      <c r="E596" s="749"/>
      <c r="F596" s="938"/>
      <c r="G596" s="939"/>
      <c r="H596" s="181"/>
      <c r="I596" s="187"/>
      <c r="J596" s="961"/>
      <c r="K596" s="200"/>
      <c r="L596" s="181"/>
      <c r="M596" s="188"/>
      <c r="N596" s="181"/>
      <c r="O596" s="189"/>
      <c r="P596" s="189"/>
      <c r="Q596" s="189"/>
      <c r="R596" s="214"/>
      <c r="S596" s="191"/>
      <c r="T596" s="192"/>
      <c r="U596" s="193"/>
      <c r="V596" s="194"/>
      <c r="W596" s="235"/>
      <c r="X596" s="194"/>
      <c r="Y596" s="194"/>
      <c r="Z596" s="235"/>
      <c r="AA596" s="236"/>
      <c r="AB596" s="200">
        <v>19020037</v>
      </c>
      <c r="AC596" s="201">
        <v>267899.8</v>
      </c>
      <c r="AD596" s="237">
        <f t="shared" si="156"/>
        <v>18752.985999999997</v>
      </c>
      <c r="AE596" s="238">
        <f t="shared" si="157"/>
        <v>286652.78599999996</v>
      </c>
      <c r="AF596" s="203">
        <v>43530</v>
      </c>
      <c r="AG596" s="199" t="s">
        <v>869</v>
      </c>
      <c r="AH596" s="199"/>
      <c r="AI596" s="199"/>
      <c r="AJ596" s="343" t="s">
        <v>2258</v>
      </c>
      <c r="AK596" s="204"/>
      <c r="AL596" s="205"/>
      <c r="AM596" s="206"/>
      <c r="AN596" s="206"/>
      <c r="AO596" s="207"/>
      <c r="AP596" s="208"/>
      <c r="AQ596" s="204"/>
      <c r="AR596" s="200"/>
      <c r="AS596" s="207"/>
      <c r="AT596" s="207"/>
      <c r="AU596" s="207"/>
      <c r="AV596" s="209"/>
      <c r="AW596" s="204"/>
      <c r="AX596" s="210"/>
      <c r="AY596" s="204"/>
      <c r="AZ596" s="204"/>
      <c r="BA596" s="204"/>
      <c r="BB596" s="210"/>
      <c r="BC596" s="204"/>
      <c r="BD596" s="210"/>
      <c r="BE596" s="204"/>
      <c r="BF596" s="204"/>
      <c r="BG596" s="204"/>
      <c r="BH596" s="210"/>
      <c r="BI596" s="204"/>
      <c r="BJ596" s="210"/>
      <c r="BK596" s="204"/>
      <c r="BL596" s="204"/>
      <c r="BM596" s="204"/>
      <c r="BN596" s="210"/>
      <c r="BO596" s="204"/>
      <c r="BP596" s="210"/>
      <c r="BQ596" s="204"/>
      <c r="BR596" s="204"/>
      <c r="BS596" s="204"/>
      <c r="BT596" s="210"/>
      <c r="BU596" s="204"/>
      <c r="BV596" s="210"/>
      <c r="BW596" s="204"/>
      <c r="BX596" s="204"/>
      <c r="BY596" s="204"/>
      <c r="BZ596" s="210"/>
      <c r="CA596" s="204"/>
      <c r="CB596" s="210"/>
      <c r="CC596" s="204"/>
      <c r="CD596" s="204"/>
      <c r="CE596" s="204"/>
      <c r="CF596" s="204"/>
    </row>
    <row r="597" spans="1:86" x14ac:dyDescent="0.5">
      <c r="A597" s="227">
        <v>19016100</v>
      </c>
      <c r="B597" s="22">
        <v>19010068</v>
      </c>
      <c r="C597" s="23" t="s">
        <v>1448</v>
      </c>
      <c r="D597" s="24" t="s">
        <v>1323</v>
      </c>
      <c r="E597" s="884">
        <v>43496</v>
      </c>
      <c r="F597" s="932" t="s">
        <v>1324</v>
      </c>
      <c r="G597" s="933" t="s">
        <v>1436</v>
      </c>
      <c r="H597" s="62">
        <v>43501</v>
      </c>
      <c r="I597" s="27">
        <v>19041</v>
      </c>
      <c r="J597" s="931" t="s">
        <v>869</v>
      </c>
      <c r="K597" s="957">
        <v>43502</v>
      </c>
      <c r="L597" s="22" t="s">
        <v>20</v>
      </c>
      <c r="M597" s="28" t="s">
        <v>1526</v>
      </c>
      <c r="N597" s="22" t="s">
        <v>51</v>
      </c>
      <c r="O597" s="29">
        <v>6600</v>
      </c>
      <c r="P597" s="29">
        <f t="shared" ref="P597:P608" si="158">O597*7/100</f>
        <v>462</v>
      </c>
      <c r="Q597" s="29">
        <f t="shared" ref="Q597:Q608" si="159">O597+P597</f>
        <v>7062</v>
      </c>
      <c r="R597" s="61"/>
      <c r="S597" s="96"/>
      <c r="T597" s="97"/>
      <c r="U597" s="98"/>
      <c r="V597" s="99"/>
      <c r="W597" s="100"/>
      <c r="X597" s="99"/>
      <c r="Y597" s="99"/>
      <c r="Z597" s="100"/>
      <c r="AA597" s="101"/>
      <c r="AB597" s="40">
        <v>19020045</v>
      </c>
      <c r="AC597" s="41">
        <v>6600</v>
      </c>
      <c r="AD597" s="52">
        <f t="shared" si="156"/>
        <v>462</v>
      </c>
      <c r="AE597" s="52">
        <f t="shared" si="157"/>
        <v>7062</v>
      </c>
      <c r="AF597" s="53">
        <v>43537</v>
      </c>
      <c r="AG597" s="39" t="s">
        <v>869</v>
      </c>
      <c r="AH597" s="39"/>
      <c r="AI597" s="39"/>
      <c r="AJ597" s="21" t="s">
        <v>2044</v>
      </c>
      <c r="AK597" s="44">
        <v>1</v>
      </c>
      <c r="AL597" s="45" t="s">
        <v>1527</v>
      </c>
      <c r="AM597" s="46" t="s">
        <v>869</v>
      </c>
      <c r="AN597" s="46"/>
      <c r="AO597" s="47">
        <v>1</v>
      </c>
      <c r="AP597" s="48" t="s">
        <v>635</v>
      </c>
      <c r="AQ597" s="44"/>
      <c r="AR597" s="54"/>
      <c r="AS597" s="44"/>
      <c r="AT597" s="44"/>
      <c r="AU597" s="44"/>
      <c r="AV597" s="54"/>
      <c r="AW597" s="44"/>
      <c r="AX597" s="54"/>
      <c r="AY597" s="44"/>
      <c r="AZ597" s="44"/>
      <c r="BA597" s="44"/>
      <c r="BB597" s="54"/>
      <c r="BC597" s="44"/>
      <c r="BD597" s="54"/>
      <c r="BE597" s="44"/>
      <c r="BF597" s="44"/>
      <c r="BG597" s="44"/>
      <c r="BH597" s="54"/>
      <c r="BI597" s="44"/>
      <c r="BJ597" s="54"/>
      <c r="BK597" s="44"/>
      <c r="BL597" s="44"/>
      <c r="BM597" s="44"/>
      <c r="BN597" s="54"/>
      <c r="BO597" s="44"/>
      <c r="BP597" s="54"/>
      <c r="BQ597" s="44"/>
      <c r="BR597" s="44"/>
      <c r="BS597" s="44"/>
      <c r="BT597" s="54"/>
      <c r="BU597" s="44"/>
      <c r="BV597" s="54"/>
      <c r="BW597" s="44"/>
      <c r="BX597" s="44"/>
      <c r="BY597" s="44"/>
      <c r="BZ597" s="54"/>
      <c r="CA597" s="44"/>
      <c r="CB597" s="54"/>
      <c r="CC597" s="44"/>
      <c r="CD597" s="44"/>
      <c r="CE597" s="44"/>
      <c r="CF597" s="44"/>
    </row>
    <row r="598" spans="1:86" x14ac:dyDescent="0.5">
      <c r="A598" s="21">
        <v>19016099</v>
      </c>
      <c r="B598" s="22">
        <v>19010058</v>
      </c>
      <c r="C598" s="55"/>
      <c r="D598" s="56"/>
      <c r="E598" s="884"/>
      <c r="F598" s="932"/>
      <c r="G598" s="933"/>
      <c r="H598" s="59"/>
      <c r="I598" s="60"/>
      <c r="J598" s="931"/>
      <c r="K598" s="40"/>
      <c r="L598" s="22" t="s">
        <v>241</v>
      </c>
      <c r="M598" s="28" t="s">
        <v>1520</v>
      </c>
      <c r="N598" s="22" t="s">
        <v>51</v>
      </c>
      <c r="O598" s="29">
        <v>510000</v>
      </c>
      <c r="P598" s="29">
        <f t="shared" si="158"/>
        <v>35700</v>
      </c>
      <c r="Q598" s="29">
        <f t="shared" si="159"/>
        <v>545700</v>
      </c>
      <c r="R598" s="61"/>
      <c r="S598" s="96"/>
      <c r="T598" s="97"/>
      <c r="U598" s="98"/>
      <c r="V598" s="99"/>
      <c r="W598" s="100"/>
      <c r="X598" s="99"/>
      <c r="Y598" s="99"/>
      <c r="Z598" s="100"/>
      <c r="AA598" s="101"/>
      <c r="AB598" s="40">
        <v>19010020</v>
      </c>
      <c r="AC598" s="41">
        <v>102000</v>
      </c>
      <c r="AD598" s="52">
        <f t="shared" si="156"/>
        <v>7140</v>
      </c>
      <c r="AE598" s="52">
        <f t="shared" si="157"/>
        <v>109140</v>
      </c>
      <c r="AF598" s="53">
        <v>43488</v>
      </c>
      <c r="AG598" s="39"/>
      <c r="AH598" s="39"/>
      <c r="AI598" s="39" t="s">
        <v>869</v>
      </c>
      <c r="AJ598" s="21" t="s">
        <v>1542</v>
      </c>
      <c r="AK598" s="44">
        <v>1</v>
      </c>
      <c r="AL598" s="45" t="s">
        <v>1521</v>
      </c>
      <c r="AM598" s="46"/>
      <c r="AN598" s="46"/>
      <c r="AO598" s="47">
        <v>1</v>
      </c>
      <c r="AP598" s="48" t="s">
        <v>628</v>
      </c>
      <c r="AQ598" s="44"/>
      <c r="AR598" s="54"/>
      <c r="AS598" s="44"/>
      <c r="AT598" s="44"/>
      <c r="AU598" s="44"/>
      <c r="AV598" s="54"/>
      <c r="AW598" s="44"/>
      <c r="AX598" s="54"/>
      <c r="AY598" s="44"/>
      <c r="AZ598" s="44"/>
      <c r="BA598" s="44"/>
      <c r="BB598" s="54"/>
      <c r="BC598" s="44"/>
      <c r="BD598" s="54"/>
      <c r="BE598" s="44"/>
      <c r="BF598" s="44"/>
      <c r="BG598" s="44"/>
      <c r="BH598" s="54"/>
      <c r="BI598" s="44"/>
      <c r="BJ598" s="54"/>
      <c r="BK598" s="44"/>
      <c r="BL598" s="44"/>
      <c r="BM598" s="44"/>
      <c r="BN598" s="54"/>
      <c r="BO598" s="44"/>
      <c r="BP598" s="54"/>
      <c r="BQ598" s="44"/>
      <c r="BR598" s="44"/>
      <c r="BS598" s="44"/>
      <c r="BT598" s="54"/>
      <c r="BU598" s="44"/>
      <c r="BV598" s="54"/>
      <c r="BW598" s="44"/>
      <c r="BX598" s="44"/>
      <c r="BY598" s="44"/>
      <c r="BZ598" s="54"/>
      <c r="CA598" s="44"/>
      <c r="CB598" s="54"/>
      <c r="CC598" s="44"/>
      <c r="CD598" s="44"/>
      <c r="CE598" s="44"/>
      <c r="CF598" s="44"/>
    </row>
    <row r="599" spans="1:86" x14ac:dyDescent="0.5">
      <c r="A599" s="227">
        <v>19016098</v>
      </c>
      <c r="B599" s="22">
        <v>19010044</v>
      </c>
      <c r="C599" s="55"/>
      <c r="D599" s="56"/>
      <c r="E599" s="910"/>
      <c r="F599" s="932"/>
      <c r="G599" s="933"/>
      <c r="H599" s="59"/>
      <c r="I599" s="60"/>
      <c r="J599" s="931"/>
      <c r="K599" s="40"/>
      <c r="L599" s="22" t="s">
        <v>165</v>
      </c>
      <c r="M599" s="28" t="s">
        <v>1522</v>
      </c>
      <c r="N599" s="22" t="s">
        <v>1523</v>
      </c>
      <c r="O599" s="29">
        <v>21000</v>
      </c>
      <c r="P599" s="29">
        <f t="shared" si="158"/>
        <v>1470</v>
      </c>
      <c r="Q599" s="29">
        <f t="shared" si="159"/>
        <v>22470</v>
      </c>
      <c r="R599" s="61"/>
      <c r="S599" s="96"/>
      <c r="T599" s="97"/>
      <c r="U599" s="98"/>
      <c r="V599" s="99"/>
      <c r="W599" s="100"/>
      <c r="X599" s="99"/>
      <c r="Y599" s="99"/>
      <c r="Z599" s="100"/>
      <c r="AA599" s="101"/>
      <c r="AB599" s="40">
        <v>19090375</v>
      </c>
      <c r="AC599" s="41">
        <v>21000</v>
      </c>
      <c r="AD599" s="52">
        <f>AC599*7/100</f>
        <v>1470</v>
      </c>
      <c r="AE599" s="52">
        <f>AC599+AD599</f>
        <v>22470</v>
      </c>
      <c r="AF599" s="53">
        <v>43766</v>
      </c>
      <c r="AG599" s="39" t="s">
        <v>869</v>
      </c>
      <c r="AH599" s="39"/>
      <c r="AI599" s="39"/>
      <c r="AJ599" s="21" t="s">
        <v>3027</v>
      </c>
      <c r="AK599" s="44">
        <v>1</v>
      </c>
      <c r="AL599" s="45" t="s">
        <v>404</v>
      </c>
      <c r="AM599" s="46"/>
      <c r="AN599" s="46"/>
      <c r="AO599" s="47">
        <v>3</v>
      </c>
      <c r="AP599" s="102"/>
      <c r="AQ599" s="44"/>
      <c r="AR599" s="54"/>
      <c r="AS599" s="44"/>
      <c r="AT599" s="44"/>
      <c r="AU599" s="44"/>
      <c r="AV599" s="54"/>
      <c r="AW599" s="44"/>
      <c r="AX599" s="54"/>
      <c r="AY599" s="44"/>
      <c r="AZ599" s="44"/>
      <c r="BA599" s="44"/>
      <c r="BB599" s="54"/>
      <c r="BC599" s="44"/>
      <c r="BD599" s="54"/>
      <c r="BE599" s="44"/>
      <c r="BF599" s="44"/>
      <c r="BG599" s="44"/>
      <c r="BH599" s="54"/>
      <c r="BI599" s="44"/>
      <c r="BJ599" s="54"/>
      <c r="BK599" s="44"/>
      <c r="BL599" s="44"/>
      <c r="BM599" s="44"/>
      <c r="BN599" s="54"/>
      <c r="BO599" s="44"/>
      <c r="BP599" s="54"/>
      <c r="BQ599" s="44"/>
      <c r="BR599" s="44"/>
      <c r="BS599" s="44"/>
      <c r="BT599" s="54"/>
      <c r="BU599" s="44"/>
      <c r="BV599" s="54"/>
      <c r="BW599" s="44"/>
      <c r="BX599" s="44"/>
      <c r="BY599" s="44"/>
      <c r="BZ599" s="54"/>
      <c r="CA599" s="44"/>
      <c r="CB599" s="54"/>
      <c r="CC599" s="44"/>
      <c r="CD599" s="44"/>
      <c r="CE599" s="44"/>
      <c r="CF599" s="44"/>
    </row>
    <row r="600" spans="1:86" x14ac:dyDescent="0.5">
      <c r="A600" s="227">
        <v>19016097</v>
      </c>
      <c r="B600" s="22">
        <v>19010043</v>
      </c>
      <c r="C600" s="55"/>
      <c r="D600" s="56"/>
      <c r="E600" s="910"/>
      <c r="F600" s="932"/>
      <c r="G600" s="933"/>
      <c r="H600" s="59"/>
      <c r="I600" s="60"/>
      <c r="J600" s="931"/>
      <c r="K600" s="40"/>
      <c r="L600" s="22" t="s">
        <v>165</v>
      </c>
      <c r="M600" s="28" t="s">
        <v>1525</v>
      </c>
      <c r="N600" s="22" t="s">
        <v>1523</v>
      </c>
      <c r="O600" s="29">
        <v>14000</v>
      </c>
      <c r="P600" s="29">
        <f t="shared" si="158"/>
        <v>980</v>
      </c>
      <c r="Q600" s="29">
        <f t="shared" si="159"/>
        <v>14980</v>
      </c>
      <c r="R600" s="61"/>
      <c r="S600" s="96"/>
      <c r="T600" s="97"/>
      <c r="U600" s="98"/>
      <c r="V600" s="99"/>
      <c r="W600" s="100"/>
      <c r="X600" s="99"/>
      <c r="Y600" s="99"/>
      <c r="Z600" s="100"/>
      <c r="AA600" s="101"/>
      <c r="AB600" s="40">
        <v>19030071</v>
      </c>
      <c r="AC600" s="41">
        <v>14000</v>
      </c>
      <c r="AD600" s="52">
        <f>AC600*7/100</f>
        <v>980</v>
      </c>
      <c r="AE600" s="52">
        <f>AC600+AD600</f>
        <v>14980</v>
      </c>
      <c r="AF600" s="53">
        <v>43559</v>
      </c>
      <c r="AG600" s="39" t="s">
        <v>869</v>
      </c>
      <c r="AH600" s="39"/>
      <c r="AI600" s="39"/>
      <c r="AJ600" s="21" t="s">
        <v>2162</v>
      </c>
      <c r="AK600" s="44">
        <v>1</v>
      </c>
      <c r="AL600" s="45" t="s">
        <v>404</v>
      </c>
      <c r="AM600" s="46"/>
      <c r="AN600" s="46"/>
      <c r="AO600" s="47">
        <v>2</v>
      </c>
      <c r="AP600" s="102"/>
      <c r="AQ600" s="44"/>
      <c r="AR600" s="54"/>
      <c r="AS600" s="44"/>
      <c r="AT600" s="44"/>
      <c r="AU600" s="44"/>
      <c r="AV600" s="54"/>
      <c r="AW600" s="44"/>
      <c r="AX600" s="54"/>
      <c r="AY600" s="44"/>
      <c r="AZ600" s="44"/>
      <c r="BA600" s="44"/>
      <c r="BB600" s="54"/>
      <c r="BC600" s="44"/>
      <c r="BD600" s="54"/>
      <c r="BE600" s="44"/>
      <c r="BF600" s="44"/>
      <c r="BG600" s="44"/>
      <c r="BH600" s="54"/>
      <c r="BI600" s="44"/>
      <c r="BJ600" s="54"/>
      <c r="BK600" s="44"/>
      <c r="BL600" s="44"/>
      <c r="BM600" s="44"/>
      <c r="BN600" s="54"/>
      <c r="BO600" s="44"/>
      <c r="BP600" s="54"/>
      <c r="BQ600" s="44"/>
      <c r="BR600" s="44"/>
      <c r="BS600" s="44"/>
      <c r="BT600" s="54"/>
      <c r="BU600" s="44"/>
      <c r="BV600" s="54"/>
      <c r="BW600" s="44"/>
      <c r="BX600" s="44"/>
      <c r="BY600" s="44"/>
      <c r="BZ600" s="54"/>
      <c r="CA600" s="44"/>
      <c r="CB600" s="54"/>
      <c r="CC600" s="44"/>
      <c r="CD600" s="44"/>
      <c r="CE600" s="44"/>
      <c r="CF600" s="44"/>
    </row>
    <row r="601" spans="1:86" x14ac:dyDescent="0.5">
      <c r="A601" s="227">
        <v>19016096</v>
      </c>
      <c r="B601" s="22">
        <v>19010046</v>
      </c>
      <c r="C601" s="55"/>
      <c r="D601" s="56"/>
      <c r="E601" s="910"/>
      <c r="F601" s="932"/>
      <c r="G601" s="933"/>
      <c r="H601" s="59"/>
      <c r="I601" s="60"/>
      <c r="J601" s="931"/>
      <c r="K601" s="40"/>
      <c r="L601" s="22" t="s">
        <v>165</v>
      </c>
      <c r="M601" s="28" t="s">
        <v>1524</v>
      </c>
      <c r="N601" s="22" t="s">
        <v>1523</v>
      </c>
      <c r="O601" s="29">
        <v>25200</v>
      </c>
      <c r="P601" s="29">
        <f t="shared" si="158"/>
        <v>1764</v>
      </c>
      <c r="Q601" s="29">
        <f t="shared" si="159"/>
        <v>26964</v>
      </c>
      <c r="R601" s="61"/>
      <c r="S601" s="96"/>
      <c r="T601" s="97"/>
      <c r="U601" s="98"/>
      <c r="V601" s="99"/>
      <c r="W601" s="100"/>
      <c r="X601" s="99"/>
      <c r="Y601" s="99"/>
      <c r="Z601" s="100"/>
      <c r="AA601" s="101"/>
      <c r="AB601" s="40">
        <v>19070265</v>
      </c>
      <c r="AC601" s="41">
        <v>25200</v>
      </c>
      <c r="AD601" s="63">
        <f>AC601*7/100</f>
        <v>1764</v>
      </c>
      <c r="AE601" s="63">
        <f>AC601+AD601</f>
        <v>26964</v>
      </c>
      <c r="AF601" s="53">
        <v>43703</v>
      </c>
      <c r="AG601" s="39" t="s">
        <v>869</v>
      </c>
      <c r="AH601" s="39"/>
      <c r="AI601" s="39"/>
      <c r="AJ601" s="21" t="s">
        <v>2852</v>
      </c>
      <c r="AK601" s="44">
        <v>1</v>
      </c>
      <c r="AL601" s="45" t="s">
        <v>404</v>
      </c>
      <c r="AM601" s="46"/>
      <c r="AN601" s="46"/>
      <c r="AO601" s="47">
        <v>3</v>
      </c>
      <c r="AP601" s="102"/>
      <c r="AQ601" s="44">
        <v>2</v>
      </c>
      <c r="AR601" s="40" t="s">
        <v>404</v>
      </c>
      <c r="AS601" s="47"/>
      <c r="AT601" s="47"/>
      <c r="AU601" s="47">
        <v>1</v>
      </c>
      <c r="AV601" s="102"/>
      <c r="AW601" s="44"/>
      <c r="AX601" s="54"/>
      <c r="AY601" s="44"/>
      <c r="AZ601" s="44"/>
      <c r="BA601" s="44"/>
      <c r="BB601" s="54"/>
      <c r="BC601" s="44"/>
      <c r="BD601" s="54"/>
      <c r="BE601" s="44"/>
      <c r="BF601" s="44"/>
      <c r="BG601" s="44"/>
      <c r="BH601" s="54"/>
      <c r="BI601" s="44"/>
      <c r="BJ601" s="54"/>
      <c r="BK601" s="44"/>
      <c r="BL601" s="44"/>
      <c r="BM601" s="44"/>
      <c r="BN601" s="54"/>
      <c r="BO601" s="44"/>
      <c r="BP601" s="54"/>
      <c r="BQ601" s="44"/>
      <c r="BR601" s="44"/>
      <c r="BS601" s="44"/>
      <c r="BT601" s="54"/>
      <c r="BU601" s="44"/>
      <c r="BV601" s="54"/>
      <c r="BW601" s="44"/>
      <c r="BX601" s="44"/>
      <c r="BY601" s="44"/>
      <c r="BZ601" s="54"/>
      <c r="CA601" s="44"/>
      <c r="CB601" s="54"/>
      <c r="CC601" s="44"/>
      <c r="CD601" s="44"/>
      <c r="CE601" s="44"/>
      <c r="CF601" s="44"/>
    </row>
    <row r="602" spans="1:86" x14ac:dyDescent="0.5">
      <c r="A602" s="227">
        <v>19016095</v>
      </c>
      <c r="B602" s="22">
        <v>19010045</v>
      </c>
      <c r="C602" s="55"/>
      <c r="D602" s="56"/>
      <c r="E602" s="910"/>
      <c r="F602" s="932"/>
      <c r="G602" s="933"/>
      <c r="H602" s="59"/>
      <c r="I602" s="60"/>
      <c r="J602" s="931"/>
      <c r="K602" s="40"/>
      <c r="L602" s="22" t="s">
        <v>165</v>
      </c>
      <c r="M602" s="28" t="s">
        <v>1522</v>
      </c>
      <c r="N602" s="22" t="s">
        <v>1523</v>
      </c>
      <c r="O602" s="29">
        <v>21000</v>
      </c>
      <c r="P602" s="29">
        <f t="shared" si="158"/>
        <v>1470</v>
      </c>
      <c r="Q602" s="29">
        <f t="shared" si="159"/>
        <v>22470</v>
      </c>
      <c r="R602" s="61"/>
      <c r="S602" s="96"/>
      <c r="T602" s="97"/>
      <c r="U602" s="98"/>
      <c r="V602" s="99"/>
      <c r="W602" s="100"/>
      <c r="X602" s="99"/>
      <c r="Y602" s="99"/>
      <c r="Z602" s="100"/>
      <c r="AA602" s="101"/>
      <c r="AB602" s="40">
        <v>19070255</v>
      </c>
      <c r="AC602" s="41">
        <v>21000</v>
      </c>
      <c r="AD602" s="52">
        <f>AC602*7/100</f>
        <v>1470</v>
      </c>
      <c r="AE602" s="52">
        <f>AC602+AD602</f>
        <v>22470</v>
      </c>
      <c r="AF602" s="53">
        <v>43694</v>
      </c>
      <c r="AG602" s="39" t="s">
        <v>869</v>
      </c>
      <c r="AH602" s="39"/>
      <c r="AI602" s="39"/>
      <c r="AJ602" s="21" t="s">
        <v>2849</v>
      </c>
      <c r="AK602" s="44">
        <v>1</v>
      </c>
      <c r="AL602" s="45" t="s">
        <v>404</v>
      </c>
      <c r="AM602" s="46"/>
      <c r="AN602" s="46"/>
      <c r="AO602" s="47">
        <v>3</v>
      </c>
      <c r="AP602" s="102"/>
      <c r="AQ602" s="44"/>
      <c r="AR602" s="54"/>
      <c r="AS602" s="44"/>
      <c r="AT602" s="44"/>
      <c r="AU602" s="44"/>
      <c r="AV602" s="54"/>
      <c r="AW602" s="44"/>
      <c r="AX602" s="54"/>
      <c r="AY602" s="44"/>
      <c r="AZ602" s="44"/>
      <c r="BA602" s="44"/>
      <c r="BB602" s="54"/>
      <c r="BC602" s="44"/>
      <c r="BD602" s="54"/>
      <c r="BE602" s="44"/>
      <c r="BF602" s="44"/>
      <c r="BG602" s="44"/>
      <c r="BH602" s="54"/>
      <c r="BI602" s="44"/>
      <c r="BJ602" s="54"/>
      <c r="BK602" s="44"/>
      <c r="BL602" s="44"/>
      <c r="BM602" s="44"/>
      <c r="BN602" s="54"/>
      <c r="BO602" s="44"/>
      <c r="BP602" s="54"/>
      <c r="BQ602" s="44"/>
      <c r="BR602" s="44"/>
      <c r="BS602" s="44"/>
      <c r="BT602" s="54"/>
      <c r="BU602" s="44"/>
      <c r="BV602" s="54"/>
      <c r="BW602" s="44"/>
      <c r="BX602" s="44"/>
      <c r="BY602" s="44"/>
      <c r="BZ602" s="54"/>
      <c r="CA602" s="44"/>
      <c r="CB602" s="54"/>
      <c r="CC602" s="44"/>
      <c r="CD602" s="44"/>
      <c r="CE602" s="44"/>
      <c r="CF602" s="44"/>
    </row>
    <row r="603" spans="1:86" x14ac:dyDescent="0.5">
      <c r="A603" s="259">
        <v>19016094</v>
      </c>
      <c r="B603" s="104">
        <v>19010055</v>
      </c>
      <c r="C603" s="105" t="s">
        <v>1360</v>
      </c>
      <c r="D603" s="106" t="s">
        <v>1323</v>
      </c>
      <c r="E603" s="302">
        <v>43506</v>
      </c>
      <c r="F603" s="936" t="s">
        <v>1324</v>
      </c>
      <c r="G603" s="937" t="s">
        <v>1434</v>
      </c>
      <c r="H603" s="211">
        <v>43507</v>
      </c>
      <c r="I603" s="164">
        <v>19046</v>
      </c>
      <c r="J603" s="960" t="s">
        <v>869</v>
      </c>
      <c r="K603" s="965">
        <v>43508</v>
      </c>
      <c r="L603" s="104" t="s">
        <v>165</v>
      </c>
      <c r="M603" s="110" t="s">
        <v>1528</v>
      </c>
      <c r="N603" s="104" t="s">
        <v>1523</v>
      </c>
      <c r="O603" s="111">
        <v>108600</v>
      </c>
      <c r="P603" s="111">
        <f t="shared" si="158"/>
        <v>7602</v>
      </c>
      <c r="Q603" s="111">
        <f t="shared" si="159"/>
        <v>116202</v>
      </c>
      <c r="R603" s="212"/>
      <c r="S603" s="113" t="s">
        <v>1310</v>
      </c>
      <c r="T603" s="114">
        <f>O603</f>
        <v>108600</v>
      </c>
      <c r="U603" s="115">
        <v>5</v>
      </c>
      <c r="V603" s="116">
        <f>T603*U603/100</f>
        <v>5430</v>
      </c>
      <c r="W603" s="117">
        <f>T603-V603</f>
        <v>103170</v>
      </c>
      <c r="X603" s="118">
        <v>0.37</v>
      </c>
      <c r="Y603" s="118">
        <f>W603*X603/100</f>
        <v>381.72900000000004</v>
      </c>
      <c r="Z603" s="119">
        <v>0.2</v>
      </c>
      <c r="AA603" s="120">
        <f>W603*Z603/100</f>
        <v>206.34</v>
      </c>
      <c r="AB603" s="123">
        <v>19030069</v>
      </c>
      <c r="AC603" s="124">
        <v>108600</v>
      </c>
      <c r="AD603" s="125">
        <f>AC603*7/100</f>
        <v>7602</v>
      </c>
      <c r="AE603" s="125">
        <f>AC603+AD603</f>
        <v>116202</v>
      </c>
      <c r="AF603" s="126">
        <v>43558</v>
      </c>
      <c r="AG603" s="127" t="s">
        <v>869</v>
      </c>
      <c r="AH603" s="127"/>
      <c r="AI603" s="127"/>
      <c r="AJ603" s="103" t="s">
        <v>2162</v>
      </c>
      <c r="AK603" s="128">
        <v>1</v>
      </c>
      <c r="AL603" s="129" t="s">
        <v>829</v>
      </c>
      <c r="AM603" s="130"/>
      <c r="AN603" s="130" t="s">
        <v>869</v>
      </c>
      <c r="AO603" s="131">
        <v>8</v>
      </c>
      <c r="AP603" s="132" t="s">
        <v>634</v>
      </c>
      <c r="AQ603" s="128"/>
      <c r="AR603" s="133"/>
      <c r="AS603" s="128"/>
      <c r="AT603" s="128"/>
      <c r="AU603" s="128"/>
      <c r="AV603" s="133"/>
      <c r="AW603" s="128"/>
      <c r="AX603" s="133"/>
      <c r="AY603" s="128"/>
      <c r="AZ603" s="128"/>
      <c r="BA603" s="128"/>
      <c r="BB603" s="133"/>
      <c r="BC603" s="128"/>
      <c r="BD603" s="133"/>
      <c r="BE603" s="128"/>
      <c r="BF603" s="128"/>
      <c r="BG603" s="128"/>
      <c r="BH603" s="133"/>
      <c r="BI603" s="128"/>
      <c r="BJ603" s="133"/>
      <c r="BK603" s="128"/>
      <c r="BL603" s="128"/>
      <c r="BM603" s="128"/>
      <c r="BN603" s="133"/>
      <c r="BO603" s="128"/>
      <c r="BP603" s="133"/>
      <c r="BQ603" s="128"/>
      <c r="BR603" s="128"/>
      <c r="BS603" s="128"/>
      <c r="BT603" s="133"/>
      <c r="BU603" s="128"/>
      <c r="BV603" s="133"/>
      <c r="BW603" s="128"/>
      <c r="BX603" s="128"/>
      <c r="BY603" s="128"/>
      <c r="BZ603" s="133"/>
      <c r="CA603" s="128"/>
      <c r="CB603" s="133"/>
      <c r="CC603" s="128"/>
      <c r="CD603" s="128"/>
      <c r="CE603" s="128"/>
      <c r="CF603" s="128"/>
      <c r="CH603" s="239"/>
    </row>
    <row r="604" spans="1:86" x14ac:dyDescent="0.5">
      <c r="A604" s="268"/>
      <c r="B604" s="181"/>
      <c r="C604" s="182"/>
      <c r="D604" s="183"/>
      <c r="E604" s="749"/>
      <c r="F604" s="938"/>
      <c r="G604" s="939"/>
      <c r="H604" s="186">
        <v>43507</v>
      </c>
      <c r="I604" s="187">
        <v>19047</v>
      </c>
      <c r="J604" s="961"/>
      <c r="K604" s="966"/>
      <c r="L604" s="181"/>
      <c r="M604" s="188"/>
      <c r="N604" s="181"/>
      <c r="O604" s="189"/>
      <c r="P604" s="189"/>
      <c r="Q604" s="189"/>
      <c r="R604" s="214"/>
      <c r="S604" s="215"/>
      <c r="T604" s="216"/>
      <c r="U604" s="217"/>
      <c r="V604" s="218"/>
      <c r="W604" s="195"/>
      <c r="X604" s="196"/>
      <c r="Y604" s="196"/>
      <c r="Z604" s="197"/>
      <c r="AA604" s="198"/>
      <c r="AB604" s="200"/>
      <c r="AC604" s="201"/>
      <c r="AD604" s="240"/>
      <c r="AE604" s="240"/>
      <c r="AF604" s="241"/>
      <c r="AG604" s="199"/>
      <c r="AH604" s="199"/>
      <c r="AI604" s="199"/>
      <c r="AJ604" s="180"/>
      <c r="AK604" s="204"/>
      <c r="AL604" s="205"/>
      <c r="AM604" s="206"/>
      <c r="AN604" s="206"/>
      <c r="AO604" s="207"/>
      <c r="AP604" s="208"/>
      <c r="AQ604" s="204"/>
      <c r="AR604" s="210"/>
      <c r="AS604" s="204"/>
      <c r="AT604" s="204"/>
      <c r="AU604" s="204"/>
      <c r="AV604" s="210"/>
      <c r="AW604" s="204"/>
      <c r="AX604" s="210"/>
      <c r="AY604" s="204"/>
      <c r="AZ604" s="204"/>
      <c r="BA604" s="204"/>
      <c r="BB604" s="210"/>
      <c r="BC604" s="204"/>
      <c r="BD604" s="210"/>
      <c r="BE604" s="204"/>
      <c r="BF604" s="204"/>
      <c r="BG604" s="204"/>
      <c r="BH604" s="210"/>
      <c r="BI604" s="204"/>
      <c r="BJ604" s="210"/>
      <c r="BK604" s="204"/>
      <c r="BL604" s="204"/>
      <c r="BM604" s="204"/>
      <c r="BN604" s="210"/>
      <c r="BO604" s="204"/>
      <c r="BP604" s="210"/>
      <c r="BQ604" s="204"/>
      <c r="BR604" s="204"/>
      <c r="BS604" s="204"/>
      <c r="BT604" s="210"/>
      <c r="BU604" s="204"/>
      <c r="BV604" s="210"/>
      <c r="BW604" s="204"/>
      <c r="BX604" s="204"/>
      <c r="BY604" s="204"/>
      <c r="BZ604" s="210"/>
      <c r="CA604" s="204"/>
      <c r="CB604" s="210"/>
      <c r="CC604" s="204"/>
      <c r="CD604" s="204"/>
      <c r="CE604" s="204"/>
      <c r="CF604" s="204"/>
    </row>
    <row r="605" spans="1:86" x14ac:dyDescent="0.5">
      <c r="A605" s="259">
        <v>19016093</v>
      </c>
      <c r="B605" s="104" t="s">
        <v>1529</v>
      </c>
      <c r="C605" s="105" t="s">
        <v>1449</v>
      </c>
      <c r="D605" s="106" t="s">
        <v>1323</v>
      </c>
      <c r="E605" s="302">
        <v>43518</v>
      </c>
      <c r="F605" s="936" t="s">
        <v>1324</v>
      </c>
      <c r="G605" s="937" t="s">
        <v>1367</v>
      </c>
      <c r="H605" s="211">
        <v>43622</v>
      </c>
      <c r="I605" s="164">
        <v>19148</v>
      </c>
      <c r="J605" s="960" t="s">
        <v>869</v>
      </c>
      <c r="K605" s="965">
        <v>43623</v>
      </c>
      <c r="L605" s="104" t="s">
        <v>1530</v>
      </c>
      <c r="M605" s="110" t="s">
        <v>1531</v>
      </c>
      <c r="N605" s="104" t="s">
        <v>52</v>
      </c>
      <c r="O605" s="111">
        <v>148000</v>
      </c>
      <c r="P605" s="111">
        <f t="shared" si="158"/>
        <v>10360</v>
      </c>
      <c r="Q605" s="111">
        <f t="shared" si="159"/>
        <v>158360</v>
      </c>
      <c r="R605" s="212"/>
      <c r="S605" s="113" t="s">
        <v>2696</v>
      </c>
      <c r="T605" s="114">
        <f>O605</f>
        <v>148000</v>
      </c>
      <c r="U605" s="115">
        <v>5</v>
      </c>
      <c r="V605" s="116">
        <f>T605*U605/100</f>
        <v>7400</v>
      </c>
      <c r="W605" s="117">
        <f>T605-V605</f>
        <v>140600</v>
      </c>
      <c r="X605" s="118">
        <v>0.36</v>
      </c>
      <c r="Y605" s="118">
        <f>W605*X605/100</f>
        <v>506.16</v>
      </c>
      <c r="Z605" s="119">
        <v>0.2</v>
      </c>
      <c r="AA605" s="120">
        <f>W605*Z605/100</f>
        <v>281.2</v>
      </c>
      <c r="AB605" s="123" t="s">
        <v>1941</v>
      </c>
      <c r="AC605" s="124">
        <v>44400</v>
      </c>
      <c r="AD605" s="260">
        <f>AC605*7/100</f>
        <v>3108</v>
      </c>
      <c r="AE605" s="261">
        <f>AC605+AD605</f>
        <v>47508</v>
      </c>
      <c r="AF605" s="126">
        <v>43565</v>
      </c>
      <c r="AG605" s="127" t="s">
        <v>869</v>
      </c>
      <c r="AH605" s="127"/>
      <c r="AI605" s="127"/>
      <c r="AJ605" s="103" t="s">
        <v>2047</v>
      </c>
      <c r="AK605" s="128">
        <v>1</v>
      </c>
      <c r="AL605" s="129" t="s">
        <v>1532</v>
      </c>
      <c r="AM605" s="130"/>
      <c r="AN605" s="130" t="s">
        <v>869</v>
      </c>
      <c r="AO605" s="131">
        <v>1</v>
      </c>
      <c r="AP605" s="132" t="s">
        <v>634</v>
      </c>
      <c r="AQ605" s="128">
        <v>2</v>
      </c>
      <c r="AR605" s="123" t="s">
        <v>1533</v>
      </c>
      <c r="AS605" s="131"/>
      <c r="AT605" s="131" t="s">
        <v>869</v>
      </c>
      <c r="AU605" s="131">
        <v>1</v>
      </c>
      <c r="AV605" s="169" t="s">
        <v>634</v>
      </c>
      <c r="AW605" s="128">
        <v>3</v>
      </c>
      <c r="AX605" s="123" t="s">
        <v>712</v>
      </c>
      <c r="AY605" s="131" t="s">
        <v>869</v>
      </c>
      <c r="AZ605" s="131"/>
      <c r="BA605" s="131">
        <v>4</v>
      </c>
      <c r="BB605" s="169" t="s">
        <v>636</v>
      </c>
      <c r="BC605" s="128"/>
      <c r="BD605" s="133"/>
      <c r="BE605" s="128"/>
      <c r="BF605" s="128"/>
      <c r="BG605" s="128"/>
      <c r="BH605" s="133"/>
      <c r="BI605" s="128"/>
      <c r="BJ605" s="133"/>
      <c r="BK605" s="128"/>
      <c r="BL605" s="128"/>
      <c r="BM605" s="128"/>
      <c r="BN605" s="133"/>
      <c r="BO605" s="128"/>
      <c r="BP605" s="133"/>
      <c r="BQ605" s="128"/>
      <c r="BR605" s="128"/>
      <c r="BS605" s="128"/>
      <c r="BT605" s="133"/>
      <c r="BU605" s="128"/>
      <c r="BV605" s="133"/>
      <c r="BW605" s="128"/>
      <c r="BX605" s="128"/>
      <c r="BY605" s="128"/>
      <c r="BZ605" s="133"/>
      <c r="CA605" s="128"/>
      <c r="CB605" s="133"/>
      <c r="CC605" s="128"/>
      <c r="CD605" s="128"/>
      <c r="CE605" s="128"/>
      <c r="CF605" s="128"/>
    </row>
    <row r="606" spans="1:86" x14ac:dyDescent="0.5">
      <c r="A606" s="268"/>
      <c r="B606" s="181"/>
      <c r="C606" s="182"/>
      <c r="D606" s="183"/>
      <c r="E606" s="749"/>
      <c r="F606" s="938"/>
      <c r="G606" s="939"/>
      <c r="H606" s="186">
        <v>43622</v>
      </c>
      <c r="I606" s="187">
        <v>19149</v>
      </c>
      <c r="J606" s="961"/>
      <c r="K606" s="200"/>
      <c r="L606" s="181"/>
      <c r="M606" s="188"/>
      <c r="N606" s="181"/>
      <c r="O606" s="189"/>
      <c r="P606" s="189"/>
      <c r="Q606" s="189"/>
      <c r="R606" s="214"/>
      <c r="S606" s="215"/>
      <c r="T606" s="216"/>
      <c r="U606" s="217"/>
      <c r="V606" s="218"/>
      <c r="W606" s="195"/>
      <c r="X606" s="196"/>
      <c r="Y606" s="196"/>
      <c r="Z606" s="197"/>
      <c r="AA606" s="198"/>
      <c r="AB606" s="200">
        <v>19060192</v>
      </c>
      <c r="AC606" s="887">
        <v>103600</v>
      </c>
      <c r="AD606" s="888">
        <f>AC606*7/100</f>
        <v>7252</v>
      </c>
      <c r="AE606" s="889">
        <f>AC606+AD606</f>
        <v>110852</v>
      </c>
      <c r="AF606" s="203">
        <v>43656</v>
      </c>
      <c r="AG606" s="199" t="s">
        <v>869</v>
      </c>
      <c r="AH606" s="199"/>
      <c r="AI606" s="199"/>
      <c r="AJ606" s="180" t="s">
        <v>2739</v>
      </c>
      <c r="AK606" s="204"/>
      <c r="AL606" s="205"/>
      <c r="AM606" s="206"/>
      <c r="AN606" s="206"/>
      <c r="AO606" s="207"/>
      <c r="AP606" s="208"/>
      <c r="AQ606" s="204"/>
      <c r="AR606" s="200"/>
      <c r="AS606" s="207"/>
      <c r="AT606" s="207"/>
      <c r="AU606" s="207"/>
      <c r="AV606" s="209"/>
      <c r="AW606" s="204"/>
      <c r="AX606" s="200"/>
      <c r="AY606" s="207"/>
      <c r="AZ606" s="207"/>
      <c r="BA606" s="207"/>
      <c r="BB606" s="209"/>
      <c r="BC606" s="204"/>
      <c r="BD606" s="210"/>
      <c r="BE606" s="204"/>
      <c r="BF606" s="204"/>
      <c r="BG606" s="204"/>
      <c r="BH606" s="210"/>
      <c r="BI606" s="204"/>
      <c r="BJ606" s="210"/>
      <c r="BK606" s="204"/>
      <c r="BL606" s="204"/>
      <c r="BM606" s="204"/>
      <c r="BN606" s="210"/>
      <c r="BO606" s="204"/>
      <c r="BP606" s="210"/>
      <c r="BQ606" s="204"/>
      <c r="BR606" s="204"/>
      <c r="BS606" s="204"/>
      <c r="BT606" s="210"/>
      <c r="BU606" s="204"/>
      <c r="BV606" s="210"/>
      <c r="BW606" s="204"/>
      <c r="BX606" s="204"/>
      <c r="BY606" s="204"/>
      <c r="BZ606" s="210"/>
      <c r="CA606" s="204"/>
      <c r="CB606" s="210"/>
      <c r="CC606" s="204"/>
      <c r="CD606" s="204"/>
      <c r="CE606" s="204"/>
      <c r="CF606" s="204"/>
    </row>
    <row r="607" spans="1:86" x14ac:dyDescent="0.5">
      <c r="A607" s="227">
        <v>19016092</v>
      </c>
      <c r="B607" s="22">
        <v>19010050</v>
      </c>
      <c r="C607" s="55"/>
      <c r="D607" s="56"/>
      <c r="E607" s="884"/>
      <c r="F607" s="932"/>
      <c r="G607" s="933"/>
      <c r="H607" s="59"/>
      <c r="I607" s="60"/>
      <c r="J607" s="931"/>
      <c r="K607" s="40"/>
      <c r="L607" s="22" t="s">
        <v>1534</v>
      </c>
      <c r="M607" s="28" t="s">
        <v>1535</v>
      </c>
      <c r="N607" s="22" t="s">
        <v>51</v>
      </c>
      <c r="O607" s="29">
        <v>10800</v>
      </c>
      <c r="P607" s="29">
        <f t="shared" si="158"/>
        <v>756</v>
      </c>
      <c r="Q607" s="29">
        <f t="shared" si="159"/>
        <v>11556</v>
      </c>
      <c r="R607" s="61"/>
      <c r="S607" s="96"/>
      <c r="T607" s="97"/>
      <c r="U607" s="98"/>
      <c r="V607" s="99"/>
      <c r="W607" s="100"/>
      <c r="X607" s="99"/>
      <c r="Y607" s="99"/>
      <c r="Z607" s="100"/>
      <c r="AA607" s="101"/>
      <c r="AB607" s="40">
        <v>19010031</v>
      </c>
      <c r="AC607" s="41">
        <v>10800</v>
      </c>
      <c r="AD607" s="52">
        <f t="shared" ref="AD607:AD614" si="160">AC607*7/100</f>
        <v>756</v>
      </c>
      <c r="AE607" s="52">
        <f t="shared" ref="AE607:AE614" si="161">AC607+AD607</f>
        <v>11556</v>
      </c>
      <c r="AF607" s="53">
        <v>43525</v>
      </c>
      <c r="AG607" s="39" t="s">
        <v>869</v>
      </c>
      <c r="AH607" s="39"/>
      <c r="AI607" s="39"/>
      <c r="AJ607" s="21" t="s">
        <v>1864</v>
      </c>
      <c r="AK607" s="44">
        <v>1</v>
      </c>
      <c r="AL607" s="45" t="s">
        <v>1536</v>
      </c>
      <c r="AM607" s="46"/>
      <c r="AN607" s="46"/>
      <c r="AO607" s="47">
        <v>1</v>
      </c>
      <c r="AP607" s="48" t="s">
        <v>628</v>
      </c>
      <c r="AQ607" s="44"/>
      <c r="AR607" s="54"/>
      <c r="AS607" s="44"/>
      <c r="AT607" s="44"/>
      <c r="AU607" s="44"/>
      <c r="AV607" s="54"/>
      <c r="AW607" s="44"/>
      <c r="AX607" s="54"/>
      <c r="AY607" s="44"/>
      <c r="AZ607" s="44"/>
      <c r="BA607" s="44"/>
      <c r="BB607" s="54"/>
      <c r="BC607" s="44"/>
      <c r="BD607" s="54"/>
      <c r="BE607" s="44"/>
      <c r="BF607" s="44"/>
      <c r="BG607" s="44"/>
      <c r="BH607" s="54"/>
      <c r="BI607" s="44"/>
      <c r="BJ607" s="54"/>
      <c r="BK607" s="44"/>
      <c r="BL607" s="44"/>
      <c r="BM607" s="44"/>
      <c r="BN607" s="54"/>
      <c r="BO607" s="44"/>
      <c r="BP607" s="54"/>
      <c r="BQ607" s="44"/>
      <c r="BR607" s="44"/>
      <c r="BS607" s="44"/>
      <c r="BT607" s="54"/>
      <c r="BU607" s="44"/>
      <c r="BV607" s="54"/>
      <c r="BW607" s="44"/>
      <c r="BX607" s="44"/>
      <c r="BY607" s="44"/>
      <c r="BZ607" s="54"/>
      <c r="CA607" s="44"/>
      <c r="CB607" s="54"/>
      <c r="CC607" s="44"/>
      <c r="CD607" s="44"/>
      <c r="CE607" s="44"/>
      <c r="CF607" s="44"/>
    </row>
    <row r="608" spans="1:86" x14ac:dyDescent="0.5">
      <c r="A608" s="259">
        <v>19016091</v>
      </c>
      <c r="B608" s="104">
        <v>19010047</v>
      </c>
      <c r="C608" s="242"/>
      <c r="D608" s="243"/>
      <c r="E608" s="912"/>
      <c r="F608" s="244"/>
      <c r="G608" s="245"/>
      <c r="H608" s="246"/>
      <c r="I608" s="247"/>
      <c r="J608" s="306"/>
      <c r="K608" s="246"/>
      <c r="L608" s="104" t="s">
        <v>1311</v>
      </c>
      <c r="M608" s="110" t="s">
        <v>1312</v>
      </c>
      <c r="N608" s="104" t="s">
        <v>51</v>
      </c>
      <c r="O608" s="111">
        <v>380000</v>
      </c>
      <c r="P608" s="111">
        <f t="shared" si="158"/>
        <v>26600</v>
      </c>
      <c r="Q608" s="111">
        <f t="shared" si="159"/>
        <v>406600</v>
      </c>
      <c r="R608" s="212"/>
      <c r="S608" s="165"/>
      <c r="T608" s="166"/>
      <c r="U608" s="167"/>
      <c r="V608" s="168"/>
      <c r="W608" s="231"/>
      <c r="X608" s="168"/>
      <c r="Y608" s="168"/>
      <c r="Z608" s="231"/>
      <c r="AA608" s="232"/>
      <c r="AB608" s="229">
        <v>19010017</v>
      </c>
      <c r="AC608" s="230">
        <v>200000</v>
      </c>
      <c r="AD608" s="233">
        <f t="shared" si="160"/>
        <v>14000</v>
      </c>
      <c r="AE608" s="234">
        <f t="shared" si="161"/>
        <v>214000</v>
      </c>
      <c r="AF608" s="221">
        <v>43483</v>
      </c>
      <c r="AG608" s="121" t="s">
        <v>869</v>
      </c>
      <c r="AH608" s="121"/>
      <c r="AI608" s="121"/>
      <c r="AJ608" s="222" t="s">
        <v>1653</v>
      </c>
      <c r="AK608" s="128">
        <v>1</v>
      </c>
      <c r="AL608" s="129" t="s">
        <v>1537</v>
      </c>
      <c r="AM608" s="130"/>
      <c r="AN608" s="130"/>
      <c r="AO608" s="131">
        <v>1</v>
      </c>
      <c r="AP608" s="132" t="s">
        <v>628</v>
      </c>
      <c r="AQ608" s="128"/>
      <c r="AR608" s="133"/>
      <c r="AS608" s="128"/>
      <c r="AT608" s="128"/>
      <c r="AU608" s="128"/>
      <c r="AV608" s="133"/>
      <c r="AW608" s="128"/>
      <c r="AX608" s="133"/>
      <c r="AY608" s="128"/>
      <c r="AZ608" s="128"/>
      <c r="BA608" s="128"/>
      <c r="BB608" s="133"/>
      <c r="BC608" s="128"/>
      <c r="BD608" s="133"/>
      <c r="BE608" s="128"/>
      <c r="BF608" s="128"/>
      <c r="BG608" s="128"/>
      <c r="BH608" s="133"/>
      <c r="BI608" s="128"/>
      <c r="BJ608" s="133"/>
      <c r="BK608" s="128"/>
      <c r="BL608" s="128"/>
      <c r="BM608" s="128"/>
      <c r="BN608" s="133"/>
      <c r="BO608" s="128"/>
      <c r="BP608" s="133"/>
      <c r="BQ608" s="128"/>
      <c r="BR608" s="128"/>
      <c r="BS608" s="128"/>
      <c r="BT608" s="133"/>
      <c r="BU608" s="128"/>
      <c r="BV608" s="133"/>
      <c r="BW608" s="128"/>
      <c r="BX608" s="128"/>
      <c r="BY608" s="128"/>
      <c r="BZ608" s="133"/>
      <c r="CA608" s="128"/>
      <c r="CB608" s="133"/>
      <c r="CC608" s="128"/>
      <c r="CD608" s="128"/>
      <c r="CE608" s="128"/>
      <c r="CF608" s="128"/>
    </row>
    <row r="609" spans="1:84" x14ac:dyDescent="0.5">
      <c r="A609" s="268"/>
      <c r="B609" s="181"/>
      <c r="C609" s="285"/>
      <c r="D609" s="286"/>
      <c r="E609" s="913"/>
      <c r="F609" s="287"/>
      <c r="G609" s="288"/>
      <c r="H609" s="289"/>
      <c r="I609" s="290"/>
      <c r="J609" s="832"/>
      <c r="K609" s="289"/>
      <c r="L609" s="181"/>
      <c r="M609" s="188"/>
      <c r="N609" s="181"/>
      <c r="O609" s="189"/>
      <c r="P609" s="189"/>
      <c r="Q609" s="189"/>
      <c r="R609" s="214"/>
      <c r="S609" s="191"/>
      <c r="T609" s="192"/>
      <c r="U609" s="193"/>
      <c r="V609" s="194"/>
      <c r="W609" s="235"/>
      <c r="X609" s="194"/>
      <c r="Y609" s="194"/>
      <c r="Z609" s="235"/>
      <c r="AA609" s="236"/>
      <c r="AB609" s="200">
        <v>19010018</v>
      </c>
      <c r="AC609" s="201">
        <v>180000</v>
      </c>
      <c r="AD609" s="237">
        <f t="shared" si="160"/>
        <v>12600</v>
      </c>
      <c r="AE609" s="238">
        <f t="shared" si="161"/>
        <v>192600</v>
      </c>
      <c r="AF609" s="203">
        <v>43486</v>
      </c>
      <c r="AG609" s="199" t="s">
        <v>869</v>
      </c>
      <c r="AH609" s="199"/>
      <c r="AI609" s="199"/>
      <c r="AJ609" s="180" t="s">
        <v>1756</v>
      </c>
      <c r="AK609" s="204"/>
      <c r="AL609" s="205"/>
      <c r="AM609" s="206"/>
      <c r="AN609" s="206"/>
      <c r="AO609" s="207"/>
      <c r="AP609" s="208"/>
      <c r="AQ609" s="204"/>
      <c r="AR609" s="210"/>
      <c r="AS609" s="204"/>
      <c r="AT609" s="204"/>
      <c r="AU609" s="204"/>
      <c r="AV609" s="210"/>
      <c r="AW609" s="204"/>
      <c r="AX609" s="210"/>
      <c r="AY609" s="204"/>
      <c r="AZ609" s="204"/>
      <c r="BA609" s="204"/>
      <c r="BB609" s="210"/>
      <c r="BC609" s="204"/>
      <c r="BD609" s="210"/>
      <c r="BE609" s="204"/>
      <c r="BF609" s="204"/>
      <c r="BG609" s="204"/>
      <c r="BH609" s="210"/>
      <c r="BI609" s="204"/>
      <c r="BJ609" s="210"/>
      <c r="BK609" s="204"/>
      <c r="BL609" s="204"/>
      <c r="BM609" s="204"/>
      <c r="BN609" s="210"/>
      <c r="BO609" s="204"/>
      <c r="BP609" s="210"/>
      <c r="BQ609" s="204"/>
      <c r="BR609" s="204"/>
      <c r="BS609" s="204"/>
      <c r="BT609" s="210"/>
      <c r="BU609" s="204"/>
      <c r="BV609" s="210"/>
      <c r="BW609" s="204"/>
      <c r="BX609" s="204"/>
      <c r="BY609" s="204"/>
      <c r="BZ609" s="210"/>
      <c r="CA609" s="204"/>
      <c r="CB609" s="210"/>
      <c r="CC609" s="204"/>
      <c r="CD609" s="204"/>
      <c r="CE609" s="204"/>
      <c r="CF609" s="204"/>
    </row>
    <row r="610" spans="1:84" x14ac:dyDescent="0.5">
      <c r="A610" s="227">
        <v>19016090</v>
      </c>
      <c r="B610" s="22">
        <v>19010041</v>
      </c>
      <c r="C610" s="23" t="s">
        <v>1358</v>
      </c>
      <c r="D610" s="24" t="s">
        <v>1323</v>
      </c>
      <c r="E610" s="884">
        <v>43511</v>
      </c>
      <c r="F610" s="932" t="s">
        <v>1324</v>
      </c>
      <c r="G610" s="933" t="s">
        <v>1403</v>
      </c>
      <c r="H610" s="62">
        <v>43551</v>
      </c>
      <c r="I610" s="27">
        <v>19102</v>
      </c>
      <c r="J610" s="931" t="s">
        <v>869</v>
      </c>
      <c r="K610" s="957">
        <v>43552</v>
      </c>
      <c r="L610" s="22" t="s">
        <v>1538</v>
      </c>
      <c r="M610" s="28" t="s">
        <v>1539</v>
      </c>
      <c r="N610" s="22" t="s">
        <v>1523</v>
      </c>
      <c r="O610" s="29">
        <v>32100</v>
      </c>
      <c r="P610" s="29">
        <f>O610*7/100</f>
        <v>2247</v>
      </c>
      <c r="Q610" s="29">
        <f>O610+P610</f>
        <v>34347</v>
      </c>
      <c r="R610" s="61"/>
      <c r="S610" s="96"/>
      <c r="T610" s="97"/>
      <c r="U610" s="98"/>
      <c r="V610" s="99"/>
      <c r="W610" s="35">
        <f>O610</f>
        <v>32100</v>
      </c>
      <c r="X610" s="36">
        <v>0.5</v>
      </c>
      <c r="Y610" s="36">
        <f>W610*X610/100</f>
        <v>160.5</v>
      </c>
      <c r="Z610" s="37">
        <v>0.2</v>
      </c>
      <c r="AA610" s="38">
        <f>W610*Z610/100</f>
        <v>64.2</v>
      </c>
      <c r="AB610" s="40">
        <v>19030096</v>
      </c>
      <c r="AC610" s="41">
        <v>32100</v>
      </c>
      <c r="AD610" s="52">
        <f t="shared" si="160"/>
        <v>2247</v>
      </c>
      <c r="AE610" s="52">
        <f t="shared" si="161"/>
        <v>34347</v>
      </c>
      <c r="AF610" s="53">
        <v>43549</v>
      </c>
      <c r="AG610" s="39" t="s">
        <v>869</v>
      </c>
      <c r="AH610" s="39"/>
      <c r="AI610" s="39"/>
      <c r="AJ610" s="21" t="s">
        <v>1849</v>
      </c>
      <c r="AK610" s="44">
        <v>1</v>
      </c>
      <c r="AL610" s="45" t="s">
        <v>849</v>
      </c>
      <c r="AM610" s="46"/>
      <c r="AN610" s="46" t="s">
        <v>869</v>
      </c>
      <c r="AO610" s="47">
        <v>2</v>
      </c>
      <c r="AP610" s="48" t="s">
        <v>634</v>
      </c>
      <c r="AQ610" s="44">
        <v>2</v>
      </c>
      <c r="AR610" s="40" t="s">
        <v>829</v>
      </c>
      <c r="AS610" s="47"/>
      <c r="AT610" s="47" t="s">
        <v>869</v>
      </c>
      <c r="AU610" s="47">
        <v>1</v>
      </c>
      <c r="AV610" s="49" t="s">
        <v>634</v>
      </c>
      <c r="AW610" s="44">
        <v>3</v>
      </c>
      <c r="AX610" s="40" t="s">
        <v>1157</v>
      </c>
      <c r="AY610" s="47"/>
      <c r="AZ610" s="47" t="s">
        <v>869</v>
      </c>
      <c r="BA610" s="47">
        <v>1</v>
      </c>
      <c r="BB610" s="49" t="s">
        <v>634</v>
      </c>
      <c r="BC610" s="44"/>
      <c r="BD610" s="54"/>
      <c r="BE610" s="44"/>
      <c r="BF610" s="44"/>
      <c r="BG610" s="44"/>
      <c r="BH610" s="54"/>
      <c r="BI610" s="44"/>
      <c r="BJ610" s="54"/>
      <c r="BK610" s="44"/>
      <c r="BL610" s="44"/>
      <c r="BM610" s="44"/>
      <c r="BN610" s="54"/>
      <c r="BO610" s="44"/>
      <c r="BP610" s="54"/>
      <c r="BQ610" s="44"/>
      <c r="BR610" s="44"/>
      <c r="BS610" s="44"/>
      <c r="BT610" s="54"/>
      <c r="BU610" s="44"/>
      <c r="BV610" s="54"/>
      <c r="BW610" s="44"/>
      <c r="BX610" s="44"/>
      <c r="BY610" s="44"/>
      <c r="BZ610" s="54"/>
      <c r="CA610" s="44"/>
      <c r="CB610" s="54"/>
      <c r="CC610" s="44"/>
      <c r="CD610" s="44"/>
      <c r="CE610" s="44"/>
      <c r="CF610" s="44"/>
    </row>
    <row r="611" spans="1:84" x14ac:dyDescent="0.5">
      <c r="A611" s="259">
        <v>19016089</v>
      </c>
      <c r="B611" s="104" t="s">
        <v>1481</v>
      </c>
      <c r="C611" s="105" t="s">
        <v>1359</v>
      </c>
      <c r="D611" s="106" t="s">
        <v>1323</v>
      </c>
      <c r="E611" s="302">
        <v>43512</v>
      </c>
      <c r="F611" s="936"/>
      <c r="G611" s="937"/>
      <c r="H611" s="246"/>
      <c r="I611" s="247"/>
      <c r="J611" s="960" t="s">
        <v>869</v>
      </c>
      <c r="K611" s="123"/>
      <c r="L611" s="104" t="s">
        <v>1482</v>
      </c>
      <c r="M611" s="110" t="s">
        <v>1483</v>
      </c>
      <c r="N611" s="104" t="s">
        <v>50</v>
      </c>
      <c r="O611" s="111">
        <v>480000</v>
      </c>
      <c r="P611" s="111">
        <f>O611*7/100</f>
        <v>33600</v>
      </c>
      <c r="Q611" s="111">
        <f>O611+P611</f>
        <v>513600</v>
      </c>
      <c r="R611" s="212"/>
      <c r="S611" s="165"/>
      <c r="T611" s="166"/>
      <c r="U611" s="167"/>
      <c r="V611" s="168"/>
      <c r="W611" s="117">
        <f>O611</f>
        <v>480000</v>
      </c>
      <c r="X611" s="118">
        <v>0.9</v>
      </c>
      <c r="Y611" s="118">
        <f>W611*X611/100</f>
        <v>4320</v>
      </c>
      <c r="Z611" s="119">
        <v>0.2</v>
      </c>
      <c r="AA611" s="120">
        <f>W611*Z611/100</f>
        <v>960</v>
      </c>
      <c r="AB611" s="229">
        <v>19010019</v>
      </c>
      <c r="AC611" s="230">
        <v>96000</v>
      </c>
      <c r="AD611" s="233">
        <f t="shared" si="160"/>
        <v>6720</v>
      </c>
      <c r="AE611" s="234">
        <f t="shared" si="161"/>
        <v>102720</v>
      </c>
      <c r="AF611" s="221">
        <v>43486</v>
      </c>
      <c r="AG611" s="121" t="s">
        <v>869</v>
      </c>
      <c r="AH611" s="121"/>
      <c r="AI611" s="121"/>
      <c r="AJ611" s="222" t="s">
        <v>1650</v>
      </c>
      <c r="AK611" s="128">
        <v>1</v>
      </c>
      <c r="AL611" s="129" t="s">
        <v>1484</v>
      </c>
      <c r="AM611" s="130"/>
      <c r="AN611" s="130"/>
      <c r="AO611" s="131">
        <v>3</v>
      </c>
      <c r="AP611" s="132" t="s">
        <v>1485</v>
      </c>
      <c r="AQ611" s="128">
        <v>2</v>
      </c>
      <c r="AR611" s="123" t="s">
        <v>1486</v>
      </c>
      <c r="AS611" s="131"/>
      <c r="AT611" s="131"/>
      <c r="AU611" s="131">
        <v>1</v>
      </c>
      <c r="AV611" s="169" t="s">
        <v>1485</v>
      </c>
      <c r="AW611" s="128"/>
      <c r="AX611" s="133"/>
      <c r="AY611" s="128"/>
      <c r="AZ611" s="128"/>
      <c r="BA611" s="128"/>
      <c r="BB611" s="133"/>
      <c r="BC611" s="128"/>
      <c r="BD611" s="133"/>
      <c r="BE611" s="128"/>
      <c r="BF611" s="128"/>
      <c r="BG611" s="128"/>
      <c r="BH611" s="133"/>
      <c r="BI611" s="128"/>
      <c r="BJ611" s="133"/>
      <c r="BK611" s="128"/>
      <c r="BL611" s="128"/>
      <c r="BM611" s="128"/>
      <c r="BN611" s="133"/>
      <c r="BO611" s="128"/>
      <c r="BP611" s="133"/>
      <c r="BQ611" s="128"/>
      <c r="BR611" s="128"/>
      <c r="BS611" s="128"/>
      <c r="BT611" s="133"/>
      <c r="BU611" s="128"/>
      <c r="BV611" s="133"/>
      <c r="BW611" s="128"/>
      <c r="BX611" s="128"/>
      <c r="BY611" s="128"/>
      <c r="BZ611" s="133"/>
      <c r="CA611" s="128"/>
      <c r="CB611" s="133"/>
      <c r="CC611" s="128"/>
      <c r="CD611" s="128"/>
      <c r="CE611" s="128"/>
      <c r="CF611" s="128"/>
    </row>
    <row r="612" spans="1:84" x14ac:dyDescent="0.5">
      <c r="A612" s="262"/>
      <c r="B612" s="135"/>
      <c r="C612" s="136"/>
      <c r="D612" s="137"/>
      <c r="E612" s="906"/>
      <c r="F612" s="940"/>
      <c r="G612" s="941"/>
      <c r="H612" s="280"/>
      <c r="I612" s="281"/>
      <c r="J612" s="963"/>
      <c r="K612" s="154"/>
      <c r="L612" s="135"/>
      <c r="M612" s="141"/>
      <c r="N612" s="135"/>
      <c r="O612" s="142"/>
      <c r="P612" s="142"/>
      <c r="Q612" s="142"/>
      <c r="R612" s="213"/>
      <c r="S612" s="172"/>
      <c r="T612" s="173"/>
      <c r="U612" s="174"/>
      <c r="V612" s="175"/>
      <c r="W612" s="148"/>
      <c r="X612" s="149"/>
      <c r="Y612" s="149"/>
      <c r="Z612" s="150"/>
      <c r="AA612" s="151"/>
      <c r="AB612" s="154">
        <v>19040135</v>
      </c>
      <c r="AC612" s="155">
        <v>384000</v>
      </c>
      <c r="AD612" s="253">
        <f t="shared" si="160"/>
        <v>26880</v>
      </c>
      <c r="AE612" s="263">
        <f t="shared" si="161"/>
        <v>410880</v>
      </c>
      <c r="AF612" s="157">
        <v>43588</v>
      </c>
      <c r="AG612" s="152" t="s">
        <v>869</v>
      </c>
      <c r="AH612" s="152"/>
      <c r="AI612" s="152"/>
      <c r="AJ612" s="134" t="s">
        <v>2175</v>
      </c>
      <c r="AK612" s="158"/>
      <c r="AL612" s="159"/>
      <c r="AM612" s="160"/>
      <c r="AN612" s="160"/>
      <c r="AO612" s="161"/>
      <c r="AP612" s="162"/>
      <c r="AQ612" s="158"/>
      <c r="AR612" s="154"/>
      <c r="AS612" s="161"/>
      <c r="AT612" s="161"/>
      <c r="AU612" s="161"/>
      <c r="AV612" s="177"/>
      <c r="AW612" s="158"/>
      <c r="AX612" s="163"/>
      <c r="AY612" s="158"/>
      <c r="AZ612" s="158"/>
      <c r="BA612" s="158"/>
      <c r="BB612" s="163"/>
      <c r="BC612" s="158"/>
      <c r="BD612" s="163"/>
      <c r="BE612" s="158"/>
      <c r="BF612" s="158"/>
      <c r="BG612" s="158"/>
      <c r="BH612" s="163"/>
      <c r="BI612" s="158"/>
      <c r="BJ612" s="163"/>
      <c r="BK612" s="158"/>
      <c r="BL612" s="158"/>
      <c r="BM612" s="158"/>
      <c r="BN612" s="163"/>
      <c r="BO612" s="158"/>
      <c r="BP612" s="163"/>
      <c r="BQ612" s="158"/>
      <c r="BR612" s="158"/>
      <c r="BS612" s="158"/>
      <c r="BT612" s="163"/>
      <c r="BU612" s="158"/>
      <c r="BV612" s="163"/>
      <c r="BW612" s="158"/>
      <c r="BX612" s="158"/>
      <c r="BY612" s="158"/>
      <c r="BZ612" s="163"/>
      <c r="CA612" s="158"/>
      <c r="CB612" s="163"/>
      <c r="CC612" s="158"/>
      <c r="CD612" s="158"/>
      <c r="CE612" s="158"/>
      <c r="CF612" s="158"/>
    </row>
    <row r="613" spans="1:84" x14ac:dyDescent="0.5">
      <c r="A613" s="259">
        <v>19016088</v>
      </c>
      <c r="B613" s="104" t="s">
        <v>1487</v>
      </c>
      <c r="C613" s="105" t="s">
        <v>1357</v>
      </c>
      <c r="D613" s="106" t="s">
        <v>1323</v>
      </c>
      <c r="E613" s="302">
        <v>43496</v>
      </c>
      <c r="F613" s="936" t="s">
        <v>1324</v>
      </c>
      <c r="G613" s="937" t="s">
        <v>1448</v>
      </c>
      <c r="H613" s="211">
        <v>43487</v>
      </c>
      <c r="I613" s="164">
        <v>19022</v>
      </c>
      <c r="J613" s="960" t="s">
        <v>869</v>
      </c>
      <c r="K613" s="965">
        <v>43488</v>
      </c>
      <c r="L613" s="104" t="s">
        <v>1336</v>
      </c>
      <c r="M613" s="110" t="s">
        <v>1488</v>
      </c>
      <c r="N613" s="104" t="s">
        <v>52</v>
      </c>
      <c r="O613" s="111">
        <v>252000</v>
      </c>
      <c r="P613" s="111">
        <f>O613*7/100</f>
        <v>17640</v>
      </c>
      <c r="Q613" s="111">
        <f>O613+P613</f>
        <v>269640</v>
      </c>
      <c r="R613" s="212"/>
      <c r="S613" s="113" t="s">
        <v>1198</v>
      </c>
      <c r="T613" s="114">
        <f>O613</f>
        <v>252000</v>
      </c>
      <c r="U613" s="115">
        <v>3</v>
      </c>
      <c r="V613" s="116">
        <f>T613*U613/100</f>
        <v>7560</v>
      </c>
      <c r="W613" s="117">
        <f>T613-V613</f>
        <v>244440</v>
      </c>
      <c r="X613" s="118">
        <v>0.22</v>
      </c>
      <c r="Y613" s="118">
        <f>W613*X613/100</f>
        <v>537.76800000000003</v>
      </c>
      <c r="Z613" s="119">
        <v>0.2</v>
      </c>
      <c r="AA613" s="120">
        <f>W613*Z613/100</f>
        <v>488.88</v>
      </c>
      <c r="AB613" s="123">
        <v>19010025</v>
      </c>
      <c r="AC613" s="124">
        <v>168000</v>
      </c>
      <c r="AD613" s="125">
        <f t="shared" si="160"/>
        <v>11760</v>
      </c>
      <c r="AE613" s="125">
        <f t="shared" si="161"/>
        <v>179760</v>
      </c>
      <c r="AF613" s="126">
        <v>43523</v>
      </c>
      <c r="AG613" s="127" t="s">
        <v>869</v>
      </c>
      <c r="AH613" s="127"/>
      <c r="AI613" s="127"/>
      <c r="AJ613" s="103" t="s">
        <v>1872</v>
      </c>
      <c r="AK613" s="128">
        <v>1</v>
      </c>
      <c r="AL613" s="129" t="s">
        <v>593</v>
      </c>
      <c r="AM613" s="130"/>
      <c r="AN613" s="130" t="s">
        <v>869</v>
      </c>
      <c r="AO613" s="131">
        <v>12</v>
      </c>
      <c r="AP613" s="132" t="s">
        <v>634</v>
      </c>
      <c r="AQ613" s="128"/>
      <c r="AR613" s="133"/>
      <c r="AS613" s="128"/>
      <c r="AT613" s="128"/>
      <c r="AU613" s="128"/>
      <c r="AV613" s="133"/>
      <c r="AW613" s="128"/>
      <c r="AX613" s="133"/>
      <c r="AY613" s="128"/>
      <c r="AZ613" s="128"/>
      <c r="BA613" s="128"/>
      <c r="BB613" s="133"/>
      <c r="BC613" s="128"/>
      <c r="BD613" s="133"/>
      <c r="BE613" s="128"/>
      <c r="BF613" s="128"/>
      <c r="BG613" s="128"/>
      <c r="BH613" s="133"/>
      <c r="BI613" s="128"/>
      <c r="BJ613" s="133"/>
      <c r="BK613" s="128"/>
      <c r="BL613" s="128"/>
      <c r="BM613" s="128"/>
      <c r="BN613" s="133"/>
      <c r="BO613" s="128"/>
      <c r="BP613" s="133"/>
      <c r="BQ613" s="128"/>
      <c r="BR613" s="128"/>
      <c r="BS613" s="128"/>
      <c r="BT613" s="133"/>
      <c r="BU613" s="128"/>
      <c r="BV613" s="133"/>
      <c r="BW613" s="128"/>
      <c r="BX613" s="128"/>
      <c r="BY613" s="128"/>
      <c r="BZ613" s="133"/>
      <c r="CA613" s="128"/>
      <c r="CB613" s="133"/>
      <c r="CC613" s="128"/>
      <c r="CD613" s="128"/>
      <c r="CE613" s="128"/>
      <c r="CF613" s="128"/>
    </row>
    <row r="614" spans="1:84" x14ac:dyDescent="0.5">
      <c r="A614" s="262"/>
      <c r="B614" s="135"/>
      <c r="C614" s="136"/>
      <c r="D614" s="137"/>
      <c r="E614" s="906"/>
      <c r="F614" s="952"/>
      <c r="G614" s="953"/>
      <c r="H614" s="170">
        <v>43487</v>
      </c>
      <c r="I614" s="251">
        <v>19023</v>
      </c>
      <c r="J614" s="963"/>
      <c r="K614" s="637"/>
      <c r="L614" s="135"/>
      <c r="M614" s="141"/>
      <c r="N614" s="135"/>
      <c r="O614" s="142"/>
      <c r="P614" s="142"/>
      <c r="Q614" s="142"/>
      <c r="R614" s="213"/>
      <c r="S614" s="144"/>
      <c r="T614" s="145"/>
      <c r="U614" s="146"/>
      <c r="V614" s="147"/>
      <c r="W614" s="148"/>
      <c r="X614" s="149"/>
      <c r="Y614" s="149"/>
      <c r="Z614" s="150"/>
      <c r="AA614" s="151"/>
      <c r="AB614" s="154">
        <v>19020057</v>
      </c>
      <c r="AC614" s="155">
        <v>84000</v>
      </c>
      <c r="AD614" s="253">
        <f t="shared" si="160"/>
        <v>5880</v>
      </c>
      <c r="AE614" s="253">
        <f t="shared" si="161"/>
        <v>89880</v>
      </c>
      <c r="AF614" s="157">
        <v>43544</v>
      </c>
      <c r="AG614" s="152" t="s">
        <v>869</v>
      </c>
      <c r="AH614" s="152"/>
      <c r="AI614" s="152"/>
      <c r="AJ614" s="134" t="s">
        <v>1846</v>
      </c>
      <c r="AK614" s="158"/>
      <c r="AL614" s="159"/>
      <c r="AM614" s="160"/>
      <c r="AN614" s="160"/>
      <c r="AO614" s="161"/>
      <c r="AP614" s="162"/>
      <c r="AQ614" s="158"/>
      <c r="AR614" s="163"/>
      <c r="AS614" s="158"/>
      <c r="AT614" s="158"/>
      <c r="AU614" s="158"/>
      <c r="AV614" s="163"/>
      <c r="AW614" s="158"/>
      <c r="AX614" s="163"/>
      <c r="AY614" s="158"/>
      <c r="AZ614" s="158"/>
      <c r="BA614" s="158"/>
      <c r="BB614" s="163"/>
      <c r="BC614" s="158"/>
      <c r="BD614" s="163"/>
      <c r="BE614" s="158"/>
      <c r="BF614" s="158"/>
      <c r="BG614" s="158"/>
      <c r="BH614" s="163"/>
      <c r="BI614" s="158"/>
      <c r="BJ614" s="163"/>
      <c r="BK614" s="158"/>
      <c r="BL614" s="158"/>
      <c r="BM614" s="158"/>
      <c r="BN614" s="163"/>
      <c r="BO614" s="158"/>
      <c r="BP614" s="163"/>
      <c r="BQ614" s="158"/>
      <c r="BR614" s="158"/>
      <c r="BS614" s="158"/>
      <c r="BT614" s="163"/>
      <c r="BU614" s="158"/>
      <c r="BV614" s="163"/>
      <c r="BW614" s="158"/>
      <c r="BX614" s="158"/>
      <c r="BY614" s="158"/>
      <c r="BZ614" s="163"/>
      <c r="CA614" s="158"/>
      <c r="CB614" s="163"/>
      <c r="CC614" s="158"/>
      <c r="CD614" s="158"/>
      <c r="CE614" s="158"/>
      <c r="CF614" s="158"/>
    </row>
    <row r="615" spans="1:84" x14ac:dyDescent="0.5">
      <c r="A615" s="262"/>
      <c r="B615" s="135"/>
      <c r="C615" s="136"/>
      <c r="D615" s="137"/>
      <c r="E615" s="906"/>
      <c r="F615" s="954" t="s">
        <v>1324</v>
      </c>
      <c r="G615" s="941" t="s">
        <v>1443</v>
      </c>
      <c r="H615" s="170">
        <v>43494</v>
      </c>
      <c r="I615" s="251">
        <v>19031</v>
      </c>
      <c r="J615" s="973"/>
      <c r="K615" s="964">
        <v>43495</v>
      </c>
      <c r="L615" s="135"/>
      <c r="M615" s="141"/>
      <c r="N615" s="135"/>
      <c r="O615" s="142"/>
      <c r="P615" s="142"/>
      <c r="Q615" s="142"/>
      <c r="R615" s="213"/>
      <c r="S615" s="144"/>
      <c r="T615" s="145"/>
      <c r="U615" s="146"/>
      <c r="V615" s="147"/>
      <c r="W615" s="148"/>
      <c r="X615" s="149"/>
      <c r="Y615" s="149"/>
      <c r="Z615" s="150"/>
      <c r="AA615" s="151"/>
      <c r="AB615" s="154"/>
      <c r="AC615" s="155"/>
      <c r="AD615" s="255"/>
      <c r="AE615" s="255"/>
      <c r="AF615" s="256"/>
      <c r="AG615" s="152"/>
      <c r="AH615" s="152"/>
      <c r="AI615" s="152"/>
      <c r="AJ615" s="134"/>
      <c r="AK615" s="158"/>
      <c r="AL615" s="159"/>
      <c r="AM615" s="160"/>
      <c r="AN615" s="160"/>
      <c r="AO615" s="161"/>
      <c r="AP615" s="162"/>
      <c r="AQ615" s="158"/>
      <c r="AR615" s="163"/>
      <c r="AS615" s="158"/>
      <c r="AT615" s="158"/>
      <c r="AU615" s="158"/>
      <c r="AV615" s="163"/>
      <c r="AW615" s="158"/>
      <c r="AX615" s="163"/>
      <c r="AY615" s="158"/>
      <c r="AZ615" s="158"/>
      <c r="BA615" s="158"/>
      <c r="BB615" s="163"/>
      <c r="BC615" s="158"/>
      <c r="BD615" s="163"/>
      <c r="BE615" s="158"/>
      <c r="BF615" s="158"/>
      <c r="BG615" s="158"/>
      <c r="BH615" s="163"/>
      <c r="BI615" s="158"/>
      <c r="BJ615" s="163"/>
      <c r="BK615" s="158"/>
      <c r="BL615" s="158"/>
      <c r="BM615" s="158"/>
      <c r="BN615" s="163"/>
      <c r="BO615" s="158"/>
      <c r="BP615" s="163"/>
      <c r="BQ615" s="158"/>
      <c r="BR615" s="158"/>
      <c r="BS615" s="158"/>
      <c r="BT615" s="163"/>
      <c r="BU615" s="158"/>
      <c r="BV615" s="163"/>
      <c r="BW615" s="158"/>
      <c r="BX615" s="158"/>
      <c r="BY615" s="158"/>
      <c r="BZ615" s="163"/>
      <c r="CA615" s="158"/>
      <c r="CB615" s="163"/>
      <c r="CC615" s="158"/>
      <c r="CD615" s="158"/>
      <c r="CE615" s="158"/>
      <c r="CF615" s="158"/>
    </row>
    <row r="616" spans="1:84" x14ac:dyDescent="0.5">
      <c r="A616" s="262"/>
      <c r="B616" s="135"/>
      <c r="C616" s="136"/>
      <c r="D616" s="137"/>
      <c r="E616" s="906"/>
      <c r="F616" s="952"/>
      <c r="G616" s="953"/>
      <c r="H616" s="178">
        <v>43494</v>
      </c>
      <c r="I616" s="171">
        <v>19032</v>
      </c>
      <c r="J616" s="963"/>
      <c r="K616" s="974"/>
      <c r="L616" s="135"/>
      <c r="M616" s="135"/>
      <c r="N616" s="135"/>
      <c r="O616" s="142"/>
      <c r="P616" s="142"/>
      <c r="Q616" s="142"/>
      <c r="R616" s="173"/>
      <c r="S616" s="144"/>
      <c r="T616" s="145"/>
      <c r="U616" s="146"/>
      <c r="V616" s="147"/>
      <c r="W616" s="148"/>
      <c r="X616" s="149"/>
      <c r="Y616" s="149"/>
      <c r="Z616" s="150"/>
      <c r="AA616" s="151"/>
      <c r="AB616" s="154"/>
      <c r="AC616" s="155"/>
      <c r="AD616" s="255"/>
      <c r="AE616" s="255"/>
      <c r="AF616" s="256"/>
      <c r="AG616" s="152"/>
      <c r="AH616" s="152"/>
      <c r="AI616" s="152"/>
      <c r="AJ616" s="134"/>
      <c r="AK616" s="158"/>
      <c r="AL616" s="159"/>
      <c r="AM616" s="161"/>
      <c r="AN616" s="160"/>
      <c r="AO616" s="161"/>
      <c r="AP616" s="162"/>
      <c r="AQ616" s="158"/>
      <c r="AR616" s="163"/>
      <c r="AS616" s="158"/>
      <c r="AT616" s="158"/>
      <c r="AU616" s="158"/>
      <c r="AV616" s="163"/>
      <c r="AW616" s="158"/>
      <c r="AX616" s="163"/>
      <c r="AY616" s="158"/>
      <c r="AZ616" s="158"/>
      <c r="BA616" s="158"/>
      <c r="BB616" s="163"/>
      <c r="BC616" s="158"/>
      <c r="BD616" s="163"/>
      <c r="BE616" s="158"/>
      <c r="BF616" s="158"/>
      <c r="BG616" s="158"/>
      <c r="BH616" s="163"/>
      <c r="BI616" s="158"/>
      <c r="BJ616" s="163"/>
      <c r="BK616" s="158"/>
      <c r="BL616" s="158"/>
      <c r="BM616" s="158"/>
      <c r="BN616" s="163"/>
      <c r="BO616" s="158"/>
      <c r="BP616" s="163"/>
      <c r="BQ616" s="158"/>
      <c r="BR616" s="158"/>
      <c r="BS616" s="158"/>
      <c r="BT616" s="163"/>
      <c r="BU616" s="158"/>
      <c r="BV616" s="163"/>
      <c r="BW616" s="158"/>
      <c r="BX616" s="158"/>
      <c r="BY616" s="158"/>
      <c r="BZ616" s="163"/>
      <c r="CA616" s="158"/>
      <c r="CB616" s="163"/>
      <c r="CC616" s="158"/>
      <c r="CD616" s="158"/>
      <c r="CE616" s="158"/>
      <c r="CF616" s="158"/>
    </row>
    <row r="617" spans="1:84" x14ac:dyDescent="0.5">
      <c r="A617" s="262">
        <v>19016088</v>
      </c>
      <c r="B617" s="135"/>
      <c r="C617" s="136"/>
      <c r="D617" s="137"/>
      <c r="E617" s="906"/>
      <c r="F617" s="940" t="s">
        <v>1324</v>
      </c>
      <c r="G617" s="941" t="s">
        <v>1428</v>
      </c>
      <c r="H617" s="170">
        <v>43509</v>
      </c>
      <c r="I617" s="251">
        <v>19051</v>
      </c>
      <c r="J617" s="973"/>
      <c r="K617" s="964">
        <v>43510</v>
      </c>
      <c r="L617" s="135" t="s">
        <v>1336</v>
      </c>
      <c r="M617" s="141" t="s">
        <v>1488</v>
      </c>
      <c r="N617" s="135"/>
      <c r="O617" s="142"/>
      <c r="P617" s="142"/>
      <c r="Q617" s="142"/>
      <c r="R617" s="213"/>
      <c r="S617" s="144"/>
      <c r="T617" s="145"/>
      <c r="U617" s="146"/>
      <c r="V617" s="147"/>
      <c r="W617" s="148"/>
      <c r="X617" s="149"/>
      <c r="Y617" s="149"/>
      <c r="Z617" s="150"/>
      <c r="AA617" s="151"/>
      <c r="AB617" s="154"/>
      <c r="AC617" s="155"/>
      <c r="AD617" s="255"/>
      <c r="AE617" s="255"/>
      <c r="AF617" s="256"/>
      <c r="AG617" s="152"/>
      <c r="AH617" s="152"/>
      <c r="AI617" s="152"/>
      <c r="AJ617" s="134"/>
      <c r="AK617" s="158"/>
      <c r="AL617" s="154"/>
      <c r="AM617" s="160"/>
      <c r="AN617" s="160"/>
      <c r="AO617" s="161"/>
      <c r="AP617" s="162"/>
      <c r="AQ617" s="158"/>
      <c r="AR617" s="163"/>
      <c r="AS617" s="158"/>
      <c r="AT617" s="158"/>
      <c r="AU617" s="158"/>
      <c r="AV617" s="163"/>
      <c r="AW617" s="158"/>
      <c r="AX617" s="163"/>
      <c r="AY617" s="158"/>
      <c r="AZ617" s="158"/>
      <c r="BA617" s="158"/>
      <c r="BB617" s="163"/>
      <c r="BC617" s="158"/>
      <c r="BD617" s="163"/>
      <c r="BE617" s="158"/>
      <c r="BF617" s="158"/>
      <c r="BG617" s="158"/>
      <c r="BH617" s="163"/>
      <c r="BI617" s="158"/>
      <c r="BJ617" s="163"/>
      <c r="BK617" s="158"/>
      <c r="BL617" s="158"/>
      <c r="BM617" s="158"/>
      <c r="BN617" s="163"/>
      <c r="BO617" s="158"/>
      <c r="BP617" s="163"/>
      <c r="BQ617" s="158"/>
      <c r="BR617" s="158"/>
      <c r="BS617" s="158"/>
      <c r="BT617" s="163"/>
      <c r="BU617" s="158"/>
      <c r="BV617" s="163"/>
      <c r="BW617" s="158"/>
      <c r="BX617" s="158"/>
      <c r="BY617" s="158"/>
      <c r="BZ617" s="163"/>
      <c r="CA617" s="158"/>
      <c r="CB617" s="163"/>
      <c r="CC617" s="158"/>
      <c r="CD617" s="158"/>
      <c r="CE617" s="158"/>
      <c r="CF617" s="158"/>
    </row>
    <row r="618" spans="1:84" x14ac:dyDescent="0.5">
      <c r="A618" s="268"/>
      <c r="B618" s="181"/>
      <c r="C618" s="182"/>
      <c r="D618" s="183"/>
      <c r="E618" s="749"/>
      <c r="F618" s="938"/>
      <c r="G618" s="939"/>
      <c r="H618" s="186">
        <v>43509</v>
      </c>
      <c r="I618" s="187">
        <v>19052</v>
      </c>
      <c r="J618" s="961"/>
      <c r="K618" s="966"/>
      <c r="L618" s="181"/>
      <c r="M618" s="188"/>
      <c r="N618" s="181"/>
      <c r="O618" s="189"/>
      <c r="P618" s="189"/>
      <c r="Q618" s="189"/>
      <c r="R618" s="214"/>
      <c r="S618" s="215"/>
      <c r="T618" s="216"/>
      <c r="U618" s="217"/>
      <c r="V618" s="218"/>
      <c r="W618" s="195"/>
      <c r="X618" s="196"/>
      <c r="Y618" s="196"/>
      <c r="Z618" s="197"/>
      <c r="AA618" s="198"/>
      <c r="AB618" s="200"/>
      <c r="AC618" s="201"/>
      <c r="AD618" s="240"/>
      <c r="AE618" s="240"/>
      <c r="AF618" s="241"/>
      <c r="AG618" s="199"/>
      <c r="AH618" s="199"/>
      <c r="AI618" s="199"/>
      <c r="AJ618" s="180"/>
      <c r="AK618" s="204"/>
      <c r="AL618" s="205"/>
      <c r="AM618" s="206"/>
      <c r="AN618" s="206"/>
      <c r="AO618" s="207"/>
      <c r="AP618" s="208"/>
      <c r="AQ618" s="204"/>
      <c r="AR618" s="210"/>
      <c r="AS618" s="204"/>
      <c r="AT618" s="204"/>
      <c r="AU618" s="204"/>
      <c r="AV618" s="210"/>
      <c r="AW618" s="204"/>
      <c r="AX618" s="210"/>
      <c r="AY618" s="204"/>
      <c r="AZ618" s="204"/>
      <c r="BA618" s="204"/>
      <c r="BB618" s="210"/>
      <c r="BC618" s="204"/>
      <c r="BD618" s="210"/>
      <c r="BE618" s="204"/>
      <c r="BF618" s="204"/>
      <c r="BG618" s="204"/>
      <c r="BH618" s="210"/>
      <c r="BI618" s="204"/>
      <c r="BJ618" s="210"/>
      <c r="BK618" s="204"/>
      <c r="BL618" s="204"/>
      <c r="BM618" s="204"/>
      <c r="BN618" s="210"/>
      <c r="BO618" s="204"/>
      <c r="BP618" s="210"/>
      <c r="BQ618" s="204"/>
      <c r="BR618" s="204"/>
      <c r="BS618" s="204"/>
      <c r="BT618" s="210"/>
      <c r="BU618" s="204"/>
      <c r="BV618" s="210"/>
      <c r="BW618" s="204"/>
      <c r="BX618" s="204"/>
      <c r="BY618" s="204"/>
      <c r="BZ618" s="210"/>
      <c r="CA618" s="204"/>
      <c r="CB618" s="210"/>
      <c r="CC618" s="204"/>
      <c r="CD618" s="204"/>
      <c r="CE618" s="204"/>
      <c r="CF618" s="204"/>
    </row>
    <row r="619" spans="1:84" x14ac:dyDescent="0.5">
      <c r="A619" s="227">
        <v>19016087</v>
      </c>
      <c r="B619" s="22">
        <v>19010030</v>
      </c>
      <c r="C619" s="23" t="s">
        <v>1362</v>
      </c>
      <c r="D619" s="24" t="s">
        <v>1323</v>
      </c>
      <c r="E619" s="884">
        <v>43480</v>
      </c>
      <c r="F619" s="932" t="s">
        <v>1324</v>
      </c>
      <c r="G619" s="933" t="s">
        <v>1358</v>
      </c>
      <c r="H619" s="62">
        <v>43480</v>
      </c>
      <c r="I619" s="27">
        <v>19014</v>
      </c>
      <c r="J619" s="931" t="s">
        <v>869</v>
      </c>
      <c r="K619" s="957">
        <v>43480</v>
      </c>
      <c r="L619" s="22" t="s">
        <v>15</v>
      </c>
      <c r="M619" s="28" t="s">
        <v>1450</v>
      </c>
      <c r="N619" s="22" t="s">
        <v>51</v>
      </c>
      <c r="O619" s="29">
        <v>40152</v>
      </c>
      <c r="P619" s="29">
        <f>O619*7/100</f>
        <v>2810.64</v>
      </c>
      <c r="Q619" s="29">
        <f>O619+P619</f>
        <v>42962.64</v>
      </c>
      <c r="R619" s="61"/>
      <c r="S619" s="96"/>
      <c r="T619" s="97"/>
      <c r="U619" s="98"/>
      <c r="V619" s="99"/>
      <c r="W619" s="100"/>
      <c r="X619" s="99"/>
      <c r="Y619" s="99"/>
      <c r="Z619" s="100"/>
      <c r="AA619" s="101"/>
      <c r="AB619" s="40">
        <v>19010012</v>
      </c>
      <c r="AC619" s="41">
        <v>40152</v>
      </c>
      <c r="AD619" s="42">
        <f>AC619*7/100</f>
        <v>2810.64</v>
      </c>
      <c r="AE619" s="64">
        <f>AC619+AD619</f>
        <v>42962.64</v>
      </c>
      <c r="AF619" s="53">
        <v>43524</v>
      </c>
      <c r="AG619" s="39" t="s">
        <v>869</v>
      </c>
      <c r="AH619" s="39"/>
      <c r="AI619" s="39"/>
      <c r="AJ619" s="21" t="s">
        <v>1676</v>
      </c>
      <c r="AK619" s="44">
        <v>1</v>
      </c>
      <c r="AL619" s="45" t="s">
        <v>1451</v>
      </c>
      <c r="AM619" s="46" t="s">
        <v>869</v>
      </c>
      <c r="AN619" s="46"/>
      <c r="AO619" s="47"/>
      <c r="AP619" s="48" t="s">
        <v>635</v>
      </c>
      <c r="AQ619" s="44"/>
      <c r="AR619" s="54"/>
      <c r="AS619" s="44"/>
      <c r="AT619" s="44"/>
      <c r="AU619" s="44"/>
      <c r="AV619" s="54"/>
      <c r="AW619" s="44"/>
      <c r="AX619" s="54"/>
      <c r="AY619" s="44"/>
      <c r="AZ619" s="44"/>
      <c r="BA619" s="44"/>
      <c r="BB619" s="54"/>
      <c r="BC619" s="44"/>
      <c r="BD619" s="54"/>
      <c r="BE619" s="44"/>
      <c r="BF619" s="44"/>
      <c r="BG619" s="44"/>
      <c r="BH619" s="54"/>
      <c r="BI619" s="44"/>
      <c r="BJ619" s="54"/>
      <c r="BK619" s="44"/>
      <c r="BL619" s="44"/>
      <c r="BM619" s="44"/>
      <c r="BN619" s="54"/>
      <c r="BO619" s="44"/>
      <c r="BP619" s="54"/>
      <c r="BQ619" s="44"/>
      <c r="BR619" s="44"/>
      <c r="BS619" s="44"/>
      <c r="BT619" s="54"/>
      <c r="BU619" s="44"/>
      <c r="BV619" s="54"/>
      <c r="BW619" s="44"/>
      <c r="BX619" s="44"/>
      <c r="BY619" s="44"/>
      <c r="BZ619" s="54"/>
      <c r="CA619" s="44"/>
      <c r="CB619" s="54"/>
      <c r="CC619" s="44"/>
      <c r="CD619" s="44"/>
      <c r="CE619" s="44"/>
      <c r="CF619" s="44"/>
    </row>
    <row r="620" spans="1:84" x14ac:dyDescent="0.5">
      <c r="A620" s="259">
        <v>19016086</v>
      </c>
      <c r="B620" s="104" t="s">
        <v>1345</v>
      </c>
      <c r="C620" s="105" t="s">
        <v>1356</v>
      </c>
      <c r="D620" s="106" t="s">
        <v>1323</v>
      </c>
      <c r="E620" s="914">
        <v>43481</v>
      </c>
      <c r="F620" s="936" t="s">
        <v>1324</v>
      </c>
      <c r="G620" s="937" t="s">
        <v>1357</v>
      </c>
      <c r="H620" s="211">
        <v>43487</v>
      </c>
      <c r="I620" s="164">
        <v>19018</v>
      </c>
      <c r="J620" s="960" t="s">
        <v>869</v>
      </c>
      <c r="K620" s="965">
        <v>43488</v>
      </c>
      <c r="L620" s="104" t="s">
        <v>1346</v>
      </c>
      <c r="M620" s="110" t="s">
        <v>1347</v>
      </c>
      <c r="N620" s="104" t="s">
        <v>52</v>
      </c>
      <c r="O620" s="111">
        <v>176000</v>
      </c>
      <c r="P620" s="111">
        <f>O620*7/100</f>
        <v>12320</v>
      </c>
      <c r="Q620" s="111">
        <f>O620+P620</f>
        <v>188320</v>
      </c>
      <c r="R620" s="212"/>
      <c r="S620" s="113" t="s">
        <v>2696</v>
      </c>
      <c r="T620" s="114">
        <f>O620</f>
        <v>176000</v>
      </c>
      <c r="U620" s="115">
        <v>5</v>
      </c>
      <c r="V620" s="116">
        <f>T620*U620/100</f>
        <v>8800</v>
      </c>
      <c r="W620" s="117">
        <f>T620-V620</f>
        <v>167200</v>
      </c>
      <c r="X620" s="118">
        <v>0.25</v>
      </c>
      <c r="Y620" s="118">
        <f>W620*X620/100</f>
        <v>418</v>
      </c>
      <c r="Z620" s="119">
        <v>0.2</v>
      </c>
      <c r="AA620" s="120">
        <f>W620*Z620/100</f>
        <v>334.4</v>
      </c>
      <c r="AB620" s="123">
        <v>19010010</v>
      </c>
      <c r="AC620" s="124">
        <v>176000</v>
      </c>
      <c r="AD620" s="260">
        <f>AC620*7/100</f>
        <v>12320</v>
      </c>
      <c r="AE620" s="261">
        <f>AC620+AD620</f>
        <v>188320</v>
      </c>
      <c r="AF620" s="126">
        <v>43479</v>
      </c>
      <c r="AG620" s="127" t="s">
        <v>869</v>
      </c>
      <c r="AH620" s="127"/>
      <c r="AI620" s="127"/>
      <c r="AJ620" s="103" t="s">
        <v>1658</v>
      </c>
      <c r="AK620" s="128">
        <v>1</v>
      </c>
      <c r="AL620" s="129" t="s">
        <v>593</v>
      </c>
      <c r="AM620" s="130"/>
      <c r="AN620" s="130" t="s">
        <v>869</v>
      </c>
      <c r="AO620" s="131">
        <v>8</v>
      </c>
      <c r="AP620" s="132" t="s">
        <v>634</v>
      </c>
      <c r="AQ620" s="128"/>
      <c r="AR620" s="133"/>
      <c r="AS620" s="128"/>
      <c r="AT620" s="128"/>
      <c r="AU620" s="128"/>
      <c r="AV620" s="133"/>
      <c r="AW620" s="128"/>
      <c r="AX620" s="133"/>
      <c r="AY620" s="128"/>
      <c r="AZ620" s="128"/>
      <c r="BA620" s="128"/>
      <c r="BB620" s="133"/>
      <c r="BC620" s="128"/>
      <c r="BD620" s="133"/>
      <c r="BE620" s="128"/>
      <c r="BF620" s="128"/>
      <c r="BG620" s="128"/>
      <c r="BH620" s="133"/>
      <c r="BI620" s="128"/>
      <c r="BJ620" s="133"/>
      <c r="BK620" s="128"/>
      <c r="BL620" s="128"/>
      <c r="BM620" s="128"/>
      <c r="BN620" s="133"/>
      <c r="BO620" s="128"/>
      <c r="BP620" s="133"/>
      <c r="BQ620" s="128"/>
      <c r="BR620" s="128"/>
      <c r="BS620" s="128"/>
      <c r="BT620" s="133"/>
      <c r="BU620" s="128"/>
      <c r="BV620" s="133"/>
      <c r="BW620" s="128"/>
      <c r="BX620" s="128"/>
      <c r="BY620" s="128"/>
      <c r="BZ620" s="133"/>
      <c r="CA620" s="128"/>
      <c r="CB620" s="133"/>
      <c r="CC620" s="128"/>
      <c r="CD620" s="128"/>
      <c r="CE620" s="128"/>
      <c r="CF620" s="128"/>
    </row>
    <row r="621" spans="1:84" x14ac:dyDescent="0.5">
      <c r="A621" s="262"/>
      <c r="B621" s="135"/>
      <c r="C621" s="136"/>
      <c r="D621" s="137"/>
      <c r="E621" s="906">
        <v>43488</v>
      </c>
      <c r="F621" s="940"/>
      <c r="G621" s="941"/>
      <c r="H621" s="178">
        <v>43487</v>
      </c>
      <c r="I621" s="171">
        <v>19019</v>
      </c>
      <c r="J621" s="963"/>
      <c r="K621" s="154"/>
      <c r="L621" s="135"/>
      <c r="M621" s="141"/>
      <c r="N621" s="135"/>
      <c r="O621" s="142"/>
      <c r="P621" s="142"/>
      <c r="Q621" s="142"/>
      <c r="R621" s="213"/>
      <c r="S621" s="144"/>
      <c r="T621" s="145"/>
      <c r="U621" s="146"/>
      <c r="V621" s="147"/>
      <c r="W621" s="148"/>
      <c r="X621" s="149"/>
      <c r="Y621" s="149"/>
      <c r="Z621" s="150"/>
      <c r="AA621" s="151"/>
      <c r="AB621" s="154"/>
      <c r="AC621" s="155"/>
      <c r="AD621" s="253"/>
      <c r="AE621" s="263"/>
      <c r="AF621" s="157"/>
      <c r="AG621" s="152"/>
      <c r="AH621" s="152"/>
      <c r="AI621" s="152"/>
      <c r="AJ621" s="134"/>
      <c r="AK621" s="158"/>
      <c r="AL621" s="159"/>
      <c r="AM621" s="160"/>
      <c r="AN621" s="160"/>
      <c r="AO621" s="161"/>
      <c r="AP621" s="162"/>
      <c r="AQ621" s="158"/>
      <c r="AR621" s="163"/>
      <c r="AS621" s="158"/>
      <c r="AT621" s="158"/>
      <c r="AU621" s="158"/>
      <c r="AV621" s="163"/>
      <c r="AW621" s="158"/>
      <c r="AX621" s="163"/>
      <c r="AY621" s="158"/>
      <c r="AZ621" s="158"/>
      <c r="BA621" s="158"/>
      <c r="BB621" s="163"/>
      <c r="BC621" s="158"/>
      <c r="BD621" s="163"/>
      <c r="BE621" s="158"/>
      <c r="BF621" s="158"/>
      <c r="BG621" s="158"/>
      <c r="BH621" s="163"/>
      <c r="BI621" s="158"/>
      <c r="BJ621" s="163"/>
      <c r="BK621" s="158"/>
      <c r="BL621" s="158"/>
      <c r="BM621" s="158"/>
      <c r="BN621" s="163"/>
      <c r="BO621" s="158"/>
      <c r="BP621" s="163"/>
      <c r="BQ621" s="158"/>
      <c r="BR621" s="158"/>
      <c r="BS621" s="158"/>
      <c r="BT621" s="163"/>
      <c r="BU621" s="158"/>
      <c r="BV621" s="163"/>
      <c r="BW621" s="158"/>
      <c r="BX621" s="158"/>
      <c r="BY621" s="158"/>
      <c r="BZ621" s="163"/>
      <c r="CA621" s="158"/>
      <c r="CB621" s="163"/>
      <c r="CC621" s="158"/>
      <c r="CD621" s="158"/>
      <c r="CE621" s="158"/>
      <c r="CF621" s="158"/>
    </row>
    <row r="622" spans="1:84" x14ac:dyDescent="0.5">
      <c r="A622" s="262"/>
      <c r="B622" s="135"/>
      <c r="C622" s="136"/>
      <c r="D622" s="137"/>
      <c r="E622" s="906"/>
      <c r="F622" s="940"/>
      <c r="G622" s="941"/>
      <c r="H622" s="170">
        <v>43487</v>
      </c>
      <c r="I622" s="251">
        <v>19020</v>
      </c>
      <c r="J622" s="963"/>
      <c r="K622" s="154"/>
      <c r="L622" s="135"/>
      <c r="M622" s="141"/>
      <c r="N622" s="135"/>
      <c r="O622" s="142"/>
      <c r="P622" s="142"/>
      <c r="Q622" s="142"/>
      <c r="R622" s="213"/>
      <c r="S622" s="144"/>
      <c r="T622" s="145"/>
      <c r="U622" s="146"/>
      <c r="V622" s="147"/>
      <c r="W622" s="148"/>
      <c r="X622" s="149"/>
      <c r="Y622" s="149"/>
      <c r="Z622" s="150"/>
      <c r="AA622" s="151"/>
      <c r="AB622" s="154"/>
      <c r="AC622" s="155"/>
      <c r="AD622" s="253"/>
      <c r="AE622" s="263"/>
      <c r="AF622" s="157"/>
      <c r="AG622" s="152"/>
      <c r="AH622" s="152"/>
      <c r="AI622" s="152"/>
      <c r="AJ622" s="134"/>
      <c r="AK622" s="158"/>
      <c r="AL622" s="159"/>
      <c r="AM622" s="160"/>
      <c r="AN622" s="160"/>
      <c r="AO622" s="161"/>
      <c r="AP622" s="162"/>
      <c r="AQ622" s="158"/>
      <c r="AR622" s="163"/>
      <c r="AS622" s="158"/>
      <c r="AT622" s="158"/>
      <c r="AU622" s="158"/>
      <c r="AV622" s="163"/>
      <c r="AW622" s="158"/>
      <c r="AX622" s="163"/>
      <c r="AY622" s="158"/>
      <c r="AZ622" s="158"/>
      <c r="BA622" s="158"/>
      <c r="BB622" s="163"/>
      <c r="BC622" s="158"/>
      <c r="BD622" s="163"/>
      <c r="BE622" s="158"/>
      <c r="BF622" s="158"/>
      <c r="BG622" s="158"/>
      <c r="BH622" s="163"/>
      <c r="BI622" s="158"/>
      <c r="BJ622" s="163"/>
      <c r="BK622" s="158"/>
      <c r="BL622" s="158"/>
      <c r="BM622" s="158"/>
      <c r="BN622" s="163"/>
      <c r="BO622" s="158"/>
      <c r="BP622" s="163"/>
      <c r="BQ622" s="158"/>
      <c r="BR622" s="158"/>
      <c r="BS622" s="158"/>
      <c r="BT622" s="163"/>
      <c r="BU622" s="158"/>
      <c r="BV622" s="163"/>
      <c r="BW622" s="158"/>
      <c r="BX622" s="158"/>
      <c r="BY622" s="158"/>
      <c r="BZ622" s="163"/>
      <c r="CA622" s="158"/>
      <c r="CB622" s="163"/>
      <c r="CC622" s="158"/>
      <c r="CD622" s="158"/>
      <c r="CE622" s="158"/>
      <c r="CF622" s="158"/>
    </row>
    <row r="623" spans="1:84" x14ac:dyDescent="0.5">
      <c r="A623" s="262"/>
      <c r="B623" s="135"/>
      <c r="C623" s="136"/>
      <c r="D623" s="137"/>
      <c r="E623" s="906"/>
      <c r="F623" s="940"/>
      <c r="G623" s="941"/>
      <c r="H623" s="179">
        <v>43487</v>
      </c>
      <c r="I623" s="140">
        <v>19021</v>
      </c>
      <c r="J623" s="963"/>
      <c r="K623" s="154"/>
      <c r="L623" s="135"/>
      <c r="M623" s="141"/>
      <c r="N623" s="135"/>
      <c r="O623" s="142"/>
      <c r="P623" s="142"/>
      <c r="Q623" s="142"/>
      <c r="R623" s="213"/>
      <c r="S623" s="144"/>
      <c r="T623" s="145"/>
      <c r="U623" s="146"/>
      <c r="V623" s="147"/>
      <c r="W623" s="148"/>
      <c r="X623" s="149"/>
      <c r="Y623" s="149"/>
      <c r="Z623" s="150"/>
      <c r="AA623" s="151"/>
      <c r="AB623" s="154"/>
      <c r="AC623" s="155"/>
      <c r="AD623" s="253"/>
      <c r="AE623" s="263"/>
      <c r="AF623" s="157"/>
      <c r="AG623" s="152"/>
      <c r="AH623" s="152"/>
      <c r="AI623" s="152"/>
      <c r="AJ623" s="134"/>
      <c r="AK623" s="158"/>
      <c r="AL623" s="159"/>
      <c r="AM623" s="160"/>
      <c r="AN623" s="160"/>
      <c r="AO623" s="161"/>
      <c r="AP623" s="162"/>
      <c r="AQ623" s="158"/>
      <c r="AR623" s="163"/>
      <c r="AS623" s="158"/>
      <c r="AT623" s="158"/>
      <c r="AU623" s="158"/>
      <c r="AV623" s="163"/>
      <c r="AW623" s="158"/>
      <c r="AX623" s="163"/>
      <c r="AY623" s="158"/>
      <c r="AZ623" s="158"/>
      <c r="BA623" s="158"/>
      <c r="BB623" s="163"/>
      <c r="BC623" s="158"/>
      <c r="BD623" s="163"/>
      <c r="BE623" s="158"/>
      <c r="BF623" s="158"/>
      <c r="BG623" s="158"/>
      <c r="BH623" s="163"/>
      <c r="BI623" s="158"/>
      <c r="BJ623" s="163"/>
      <c r="BK623" s="158"/>
      <c r="BL623" s="158"/>
      <c r="BM623" s="158"/>
      <c r="BN623" s="163"/>
      <c r="BO623" s="158"/>
      <c r="BP623" s="163"/>
      <c r="BQ623" s="158"/>
      <c r="BR623" s="158"/>
      <c r="BS623" s="158"/>
      <c r="BT623" s="163"/>
      <c r="BU623" s="158"/>
      <c r="BV623" s="163"/>
      <c r="BW623" s="158"/>
      <c r="BX623" s="158"/>
      <c r="BY623" s="158"/>
      <c r="BZ623" s="163"/>
      <c r="CA623" s="158"/>
      <c r="CB623" s="163"/>
      <c r="CC623" s="158"/>
      <c r="CD623" s="158"/>
      <c r="CE623" s="158"/>
      <c r="CF623" s="158"/>
    </row>
    <row r="624" spans="1:84" x14ac:dyDescent="0.5">
      <c r="A624" s="259">
        <v>19016085</v>
      </c>
      <c r="B624" s="104" t="s">
        <v>1332</v>
      </c>
      <c r="C624" s="105" t="s">
        <v>1351</v>
      </c>
      <c r="D624" s="106" t="s">
        <v>1323</v>
      </c>
      <c r="E624" s="302">
        <v>43480</v>
      </c>
      <c r="F624" s="936" t="s">
        <v>1324</v>
      </c>
      <c r="G624" s="937" t="s">
        <v>1359</v>
      </c>
      <c r="H624" s="122">
        <v>43480</v>
      </c>
      <c r="I624" s="109">
        <v>19015</v>
      </c>
      <c r="J624" s="960" t="s">
        <v>869</v>
      </c>
      <c r="K624" s="965">
        <v>43481</v>
      </c>
      <c r="L624" s="104" t="s">
        <v>1333</v>
      </c>
      <c r="M624" s="110" t="s">
        <v>1334</v>
      </c>
      <c r="N624" s="104" t="s">
        <v>52</v>
      </c>
      <c r="O624" s="111">
        <v>93457.94</v>
      </c>
      <c r="P624" s="111">
        <f>O624*7/100</f>
        <v>6542.055800000001</v>
      </c>
      <c r="Q624" s="111">
        <f>O624+P624</f>
        <v>99999.995800000004</v>
      </c>
      <c r="R624" s="112">
        <v>8800</v>
      </c>
      <c r="S624" s="264" t="s">
        <v>2696</v>
      </c>
      <c r="T624" s="265">
        <f>O624-R624</f>
        <v>84657.94</v>
      </c>
      <c r="U624" s="266">
        <v>3</v>
      </c>
      <c r="V624" s="267">
        <f>T624*U624/100</f>
        <v>2539.7382000000002</v>
      </c>
      <c r="W624" s="117">
        <f>T624-V624-V625</f>
        <v>79578.463599999988</v>
      </c>
      <c r="X624" s="118">
        <v>0.27</v>
      </c>
      <c r="Y624" s="118">
        <f>W624*X624/100</f>
        <v>214.86185171999998</v>
      </c>
      <c r="Z624" s="119">
        <v>0.2</v>
      </c>
      <c r="AA624" s="120">
        <f>W624*Z624/100</f>
        <v>159.15692719999998</v>
      </c>
      <c r="AB624" s="123">
        <v>19010011</v>
      </c>
      <c r="AC624" s="124">
        <v>93457.94</v>
      </c>
      <c r="AD624" s="260">
        <f>AC624*7/100</f>
        <v>6542.055800000001</v>
      </c>
      <c r="AE624" s="261">
        <f>AC624+AD624</f>
        <v>99999.995800000004</v>
      </c>
      <c r="AF624" s="126">
        <v>43479</v>
      </c>
      <c r="AG624" s="127" t="s">
        <v>869</v>
      </c>
      <c r="AH624" s="127"/>
      <c r="AI624" s="127"/>
      <c r="AJ624" s="103" t="s">
        <v>1659</v>
      </c>
      <c r="AK624" s="128">
        <v>1</v>
      </c>
      <c r="AL624" s="129" t="s">
        <v>658</v>
      </c>
      <c r="AM624" s="130"/>
      <c r="AN624" s="130" t="s">
        <v>869</v>
      </c>
      <c r="AO624" s="131">
        <v>1</v>
      </c>
      <c r="AP624" s="132" t="s">
        <v>634</v>
      </c>
      <c r="AQ624" s="128">
        <v>2</v>
      </c>
      <c r="AR624" s="123" t="s">
        <v>657</v>
      </c>
      <c r="AS624" s="131"/>
      <c r="AT624" s="131" t="s">
        <v>869</v>
      </c>
      <c r="AU624" s="131">
        <v>1</v>
      </c>
      <c r="AV624" s="169" t="s">
        <v>634</v>
      </c>
      <c r="AW624" s="128"/>
      <c r="AX624" s="133"/>
      <c r="AY624" s="128"/>
      <c r="AZ624" s="128"/>
      <c r="BA624" s="128"/>
      <c r="BB624" s="133"/>
      <c r="BC624" s="128"/>
      <c r="BD624" s="133"/>
      <c r="BE624" s="128"/>
      <c r="BF624" s="128"/>
      <c r="BG624" s="128"/>
      <c r="BH624" s="133"/>
      <c r="BI624" s="128"/>
      <c r="BJ624" s="133"/>
      <c r="BK624" s="128"/>
      <c r="BL624" s="128"/>
      <c r="BM624" s="128"/>
      <c r="BN624" s="133"/>
      <c r="BO624" s="128"/>
      <c r="BP624" s="133"/>
      <c r="BQ624" s="128"/>
      <c r="BR624" s="128"/>
      <c r="BS624" s="128"/>
      <c r="BT624" s="133"/>
      <c r="BU624" s="128"/>
      <c r="BV624" s="133"/>
      <c r="BW624" s="128"/>
      <c r="BX624" s="128"/>
      <c r="BY624" s="128"/>
      <c r="BZ624" s="133"/>
      <c r="CA624" s="128"/>
      <c r="CB624" s="133"/>
      <c r="CC624" s="128"/>
      <c r="CD624" s="128"/>
      <c r="CE624" s="128"/>
      <c r="CF624" s="128"/>
    </row>
    <row r="625" spans="1:84" x14ac:dyDescent="0.5">
      <c r="A625" s="268"/>
      <c r="B625" s="181"/>
      <c r="C625" s="182"/>
      <c r="D625" s="183"/>
      <c r="E625" s="749"/>
      <c r="F625" s="938"/>
      <c r="G625" s="939"/>
      <c r="H625" s="186">
        <v>43480</v>
      </c>
      <c r="I625" s="187">
        <v>19016</v>
      </c>
      <c r="J625" s="961"/>
      <c r="K625" s="200"/>
      <c r="L625" s="181"/>
      <c r="M625" s="188"/>
      <c r="N625" s="181"/>
      <c r="O625" s="189"/>
      <c r="P625" s="189"/>
      <c r="Q625" s="189"/>
      <c r="R625" s="190"/>
      <c r="S625" s="215" t="s">
        <v>1344</v>
      </c>
      <c r="T625" s="216">
        <f>O624-R624</f>
        <v>84657.94</v>
      </c>
      <c r="U625" s="217">
        <v>3</v>
      </c>
      <c r="V625" s="218">
        <f>T625*U625/100</f>
        <v>2539.7382000000002</v>
      </c>
      <c r="W625" s="195"/>
      <c r="X625" s="196"/>
      <c r="Y625" s="196"/>
      <c r="Z625" s="197"/>
      <c r="AA625" s="198"/>
      <c r="AB625" s="200"/>
      <c r="AC625" s="201"/>
      <c r="AD625" s="240"/>
      <c r="AE625" s="240"/>
      <c r="AF625" s="241"/>
      <c r="AG625" s="199"/>
      <c r="AH625" s="199"/>
      <c r="AI625" s="199"/>
      <c r="AJ625" s="180"/>
      <c r="AK625" s="204"/>
      <c r="AL625" s="205"/>
      <c r="AM625" s="206"/>
      <c r="AN625" s="206"/>
      <c r="AO625" s="207"/>
      <c r="AP625" s="208"/>
      <c r="AQ625" s="204"/>
      <c r="AR625" s="200"/>
      <c r="AS625" s="207"/>
      <c r="AT625" s="207"/>
      <c r="AU625" s="207"/>
      <c r="AV625" s="209"/>
      <c r="AW625" s="204"/>
      <c r="AX625" s="210"/>
      <c r="AY625" s="204"/>
      <c r="AZ625" s="204"/>
      <c r="BA625" s="204"/>
      <c r="BB625" s="210"/>
      <c r="BC625" s="204"/>
      <c r="BD625" s="210"/>
      <c r="BE625" s="204"/>
      <c r="BF625" s="204"/>
      <c r="BG625" s="204"/>
      <c r="BH625" s="210"/>
      <c r="BI625" s="204"/>
      <c r="BJ625" s="210"/>
      <c r="BK625" s="204"/>
      <c r="BL625" s="204"/>
      <c r="BM625" s="204"/>
      <c r="BN625" s="210"/>
      <c r="BO625" s="204"/>
      <c r="BP625" s="210"/>
      <c r="BQ625" s="204"/>
      <c r="BR625" s="204"/>
      <c r="BS625" s="204"/>
      <c r="BT625" s="210"/>
      <c r="BU625" s="204"/>
      <c r="BV625" s="210"/>
      <c r="BW625" s="204"/>
      <c r="BX625" s="204"/>
      <c r="BY625" s="204"/>
      <c r="BZ625" s="210"/>
      <c r="CA625" s="204"/>
      <c r="CB625" s="210"/>
      <c r="CC625" s="204"/>
      <c r="CD625" s="204"/>
      <c r="CE625" s="204"/>
      <c r="CF625" s="204"/>
    </row>
    <row r="626" spans="1:84" x14ac:dyDescent="0.5">
      <c r="A626" s="259">
        <v>19016084</v>
      </c>
      <c r="B626" s="104" t="s">
        <v>1335</v>
      </c>
      <c r="C626" s="105" t="s">
        <v>1353</v>
      </c>
      <c r="D626" s="106" t="s">
        <v>1323</v>
      </c>
      <c r="E626" s="302">
        <v>43516</v>
      </c>
      <c r="F626" s="936" t="s">
        <v>1324</v>
      </c>
      <c r="G626" s="937" t="s">
        <v>1439</v>
      </c>
      <c r="H626" s="122">
        <v>43502</v>
      </c>
      <c r="I626" s="164">
        <v>19043</v>
      </c>
      <c r="J626" s="960" t="s">
        <v>869</v>
      </c>
      <c r="K626" s="965">
        <v>43503</v>
      </c>
      <c r="L626" s="104" t="s">
        <v>1336</v>
      </c>
      <c r="M626" s="110" t="s">
        <v>1337</v>
      </c>
      <c r="N626" s="104" t="s">
        <v>52</v>
      </c>
      <c r="O626" s="111">
        <v>84000</v>
      </c>
      <c r="P626" s="111">
        <f t="shared" ref="P626:P633" si="162">O626*7/100</f>
        <v>5880</v>
      </c>
      <c r="Q626" s="111">
        <f t="shared" ref="Q626:Q633" si="163">O626+P626</f>
        <v>89880</v>
      </c>
      <c r="R626" s="212"/>
      <c r="S626" s="113" t="s">
        <v>1198</v>
      </c>
      <c r="T626" s="114">
        <f>O626</f>
        <v>84000</v>
      </c>
      <c r="U626" s="115">
        <v>5</v>
      </c>
      <c r="V626" s="116">
        <f>T626*U626/100</f>
        <v>4200</v>
      </c>
      <c r="W626" s="117">
        <f>T626-V626</f>
        <v>79800</v>
      </c>
      <c r="X626" s="118">
        <v>0.2</v>
      </c>
      <c r="Y626" s="118">
        <f>W626*X626/100</f>
        <v>159.6</v>
      </c>
      <c r="Z626" s="119">
        <v>0.2</v>
      </c>
      <c r="AA626" s="120">
        <f>W626*Z626/100</f>
        <v>159.6</v>
      </c>
      <c r="AB626" s="123">
        <v>19020048</v>
      </c>
      <c r="AC626" s="124">
        <v>84000</v>
      </c>
      <c r="AD626" s="125">
        <f>AC626*7/100</f>
        <v>5880</v>
      </c>
      <c r="AE626" s="125">
        <f>AC626+AD626</f>
        <v>89880</v>
      </c>
      <c r="AF626" s="126">
        <v>43537</v>
      </c>
      <c r="AG626" s="127" t="s">
        <v>869</v>
      </c>
      <c r="AH626" s="127"/>
      <c r="AI626" s="127"/>
      <c r="AJ626" s="103" t="s">
        <v>1847</v>
      </c>
      <c r="AK626" s="128">
        <v>1</v>
      </c>
      <c r="AL626" s="129" t="s">
        <v>593</v>
      </c>
      <c r="AM626" s="130"/>
      <c r="AN626" s="130" t="s">
        <v>869</v>
      </c>
      <c r="AO626" s="131">
        <v>4</v>
      </c>
      <c r="AP626" s="132" t="s">
        <v>634</v>
      </c>
      <c r="AQ626" s="128"/>
      <c r="AR626" s="133"/>
      <c r="AS626" s="128"/>
      <c r="AT626" s="128"/>
      <c r="AU626" s="128"/>
      <c r="AV626" s="133"/>
      <c r="AW626" s="128"/>
      <c r="AX626" s="133"/>
      <c r="AY626" s="128"/>
      <c r="AZ626" s="128"/>
      <c r="BA626" s="128"/>
      <c r="BB626" s="133"/>
      <c r="BC626" s="128"/>
      <c r="BD626" s="133"/>
      <c r="BE626" s="128"/>
      <c r="BF626" s="128"/>
      <c r="BG626" s="128"/>
      <c r="BH626" s="133"/>
      <c r="BI626" s="128"/>
      <c r="BJ626" s="133"/>
      <c r="BK626" s="128"/>
      <c r="BL626" s="128"/>
      <c r="BM626" s="128"/>
      <c r="BN626" s="133"/>
      <c r="BO626" s="128"/>
      <c r="BP626" s="133"/>
      <c r="BQ626" s="128"/>
      <c r="BR626" s="128"/>
      <c r="BS626" s="128"/>
      <c r="BT626" s="133"/>
      <c r="BU626" s="128"/>
      <c r="BV626" s="133"/>
      <c r="BW626" s="128"/>
      <c r="BX626" s="128"/>
      <c r="BY626" s="128"/>
      <c r="BZ626" s="133"/>
      <c r="CA626" s="128"/>
      <c r="CB626" s="133"/>
      <c r="CC626" s="128"/>
      <c r="CD626" s="128"/>
      <c r="CE626" s="128"/>
      <c r="CF626" s="128"/>
    </row>
    <row r="627" spans="1:84" x14ac:dyDescent="0.5">
      <c r="A627" s="268"/>
      <c r="B627" s="181"/>
      <c r="C627" s="182"/>
      <c r="D627" s="183"/>
      <c r="E627" s="749"/>
      <c r="F627" s="938"/>
      <c r="G627" s="939"/>
      <c r="H627" s="153">
        <v>43502</v>
      </c>
      <c r="I627" s="187">
        <v>19044</v>
      </c>
      <c r="J627" s="961"/>
      <c r="K627" s="966"/>
      <c r="L627" s="181"/>
      <c r="M627" s="188"/>
      <c r="N627" s="181"/>
      <c r="O627" s="189"/>
      <c r="P627" s="189"/>
      <c r="Q627" s="189"/>
      <c r="R627" s="214"/>
      <c r="S627" s="215"/>
      <c r="T627" s="216"/>
      <c r="U627" s="217"/>
      <c r="V627" s="218"/>
      <c r="W627" s="195"/>
      <c r="X627" s="196"/>
      <c r="Y627" s="196"/>
      <c r="Z627" s="197"/>
      <c r="AA627" s="198"/>
      <c r="AB627" s="200"/>
      <c r="AC627" s="201"/>
      <c r="AD627" s="202"/>
      <c r="AE627" s="202"/>
      <c r="AF627" s="203"/>
      <c r="AG627" s="199"/>
      <c r="AH627" s="199"/>
      <c r="AI627" s="199"/>
      <c r="AJ627" s="180"/>
      <c r="AK627" s="204"/>
      <c r="AL627" s="205"/>
      <c r="AM627" s="206"/>
      <c r="AN627" s="206"/>
      <c r="AO627" s="207"/>
      <c r="AP627" s="208"/>
      <c r="AQ627" s="204"/>
      <c r="AR627" s="210"/>
      <c r="AS627" s="204"/>
      <c r="AT627" s="204"/>
      <c r="AU627" s="204"/>
      <c r="AV627" s="210"/>
      <c r="AW627" s="204"/>
      <c r="AX627" s="210"/>
      <c r="AY627" s="204"/>
      <c r="AZ627" s="204"/>
      <c r="BA627" s="204"/>
      <c r="BB627" s="210"/>
      <c r="BC627" s="204"/>
      <c r="BD627" s="210"/>
      <c r="BE627" s="204"/>
      <c r="BF627" s="204"/>
      <c r="BG627" s="204"/>
      <c r="BH627" s="210"/>
      <c r="BI627" s="204"/>
      <c r="BJ627" s="210"/>
      <c r="BK627" s="204"/>
      <c r="BL627" s="204"/>
      <c r="BM627" s="204"/>
      <c r="BN627" s="210"/>
      <c r="BO627" s="204"/>
      <c r="BP627" s="210"/>
      <c r="BQ627" s="204"/>
      <c r="BR627" s="204"/>
      <c r="BS627" s="204"/>
      <c r="BT627" s="210"/>
      <c r="BU627" s="204"/>
      <c r="BV627" s="210"/>
      <c r="BW627" s="204"/>
      <c r="BX627" s="204"/>
      <c r="BY627" s="204"/>
      <c r="BZ627" s="210"/>
      <c r="CA627" s="204"/>
      <c r="CB627" s="210"/>
      <c r="CC627" s="204"/>
      <c r="CD627" s="204"/>
      <c r="CE627" s="204"/>
      <c r="CF627" s="204"/>
    </row>
    <row r="628" spans="1:84" x14ac:dyDescent="0.5">
      <c r="A628" s="227">
        <v>19016083</v>
      </c>
      <c r="B628" s="22">
        <v>19010012</v>
      </c>
      <c r="C628" s="55"/>
      <c r="D628" s="56"/>
      <c r="E628" s="884"/>
      <c r="F628" s="932"/>
      <c r="G628" s="933"/>
      <c r="H628" s="59"/>
      <c r="I628" s="60"/>
      <c r="J628" s="931"/>
      <c r="K628" s="40"/>
      <c r="L628" s="22" t="s">
        <v>1122</v>
      </c>
      <c r="M628" s="28" t="s">
        <v>344</v>
      </c>
      <c r="N628" s="22" t="s">
        <v>51</v>
      </c>
      <c r="O628" s="29">
        <v>72000</v>
      </c>
      <c r="P628" s="29">
        <f t="shared" si="162"/>
        <v>5040</v>
      </c>
      <c r="Q628" s="29">
        <f t="shared" si="163"/>
        <v>77040</v>
      </c>
      <c r="R628" s="61"/>
      <c r="S628" s="96"/>
      <c r="T628" s="97"/>
      <c r="U628" s="98"/>
      <c r="V628" s="99"/>
      <c r="W628" s="100"/>
      <c r="X628" s="99"/>
      <c r="Y628" s="99"/>
      <c r="Z628" s="100"/>
      <c r="AA628" s="101"/>
      <c r="AB628" s="40">
        <v>19010014</v>
      </c>
      <c r="AC628" s="41">
        <v>72000</v>
      </c>
      <c r="AD628" s="52">
        <f>AC628*7/100</f>
        <v>5040</v>
      </c>
      <c r="AE628" s="52">
        <f>AC628+AD628</f>
        <v>77040</v>
      </c>
      <c r="AF628" s="53">
        <v>43509</v>
      </c>
      <c r="AG628" s="39" t="s">
        <v>869</v>
      </c>
      <c r="AH628" s="39"/>
      <c r="AI628" s="39"/>
      <c r="AJ628" s="21" t="s">
        <v>1862</v>
      </c>
      <c r="AK628" s="44">
        <v>1</v>
      </c>
      <c r="AL628" s="45" t="s">
        <v>1338</v>
      </c>
      <c r="AM628" s="46"/>
      <c r="AN628" s="46"/>
      <c r="AO628" s="47">
        <v>1</v>
      </c>
      <c r="AP628" s="48" t="s">
        <v>628</v>
      </c>
      <c r="AQ628" s="44">
        <v>2</v>
      </c>
      <c r="AR628" s="40" t="s">
        <v>1339</v>
      </c>
      <c r="AS628" s="47"/>
      <c r="AT628" s="47"/>
      <c r="AU628" s="47">
        <v>1</v>
      </c>
      <c r="AV628" s="49" t="s">
        <v>628</v>
      </c>
      <c r="AW628" s="44"/>
      <c r="AX628" s="54"/>
      <c r="AY628" s="44"/>
      <c r="AZ628" s="44"/>
      <c r="BA628" s="44"/>
      <c r="BB628" s="54"/>
      <c r="BC628" s="44"/>
      <c r="BD628" s="54"/>
      <c r="BE628" s="44"/>
      <c r="BF628" s="44"/>
      <c r="BG628" s="44"/>
      <c r="BH628" s="54"/>
      <c r="BI628" s="44"/>
      <c r="BJ628" s="54"/>
      <c r="BK628" s="44"/>
      <c r="BL628" s="44"/>
      <c r="BM628" s="44"/>
      <c r="BN628" s="54"/>
      <c r="BO628" s="44"/>
      <c r="BP628" s="54"/>
      <c r="BQ628" s="44"/>
      <c r="BR628" s="44"/>
      <c r="BS628" s="44"/>
      <c r="BT628" s="54"/>
      <c r="BU628" s="44"/>
      <c r="BV628" s="54"/>
      <c r="BW628" s="44"/>
      <c r="BX628" s="44"/>
      <c r="BY628" s="44"/>
      <c r="BZ628" s="54"/>
      <c r="CA628" s="44"/>
      <c r="CB628" s="54"/>
      <c r="CC628" s="44"/>
      <c r="CD628" s="44"/>
      <c r="CE628" s="44"/>
      <c r="CF628" s="44"/>
    </row>
    <row r="629" spans="1:84" x14ac:dyDescent="0.5">
      <c r="A629" s="227">
        <v>19016082</v>
      </c>
      <c r="B629" s="22">
        <v>19010007</v>
      </c>
      <c r="C629" s="23" t="s">
        <v>1355</v>
      </c>
      <c r="D629" s="24" t="s">
        <v>1323</v>
      </c>
      <c r="E629" s="884">
        <v>43475</v>
      </c>
      <c r="F629" s="932" t="s">
        <v>1324</v>
      </c>
      <c r="G629" s="933" t="s">
        <v>1356</v>
      </c>
      <c r="H629" s="62">
        <v>43476</v>
      </c>
      <c r="I629" s="27">
        <v>19012</v>
      </c>
      <c r="J629" s="931" t="s">
        <v>869</v>
      </c>
      <c r="K629" s="957">
        <v>43476</v>
      </c>
      <c r="L629" s="22" t="s">
        <v>10</v>
      </c>
      <c r="M629" s="28" t="s">
        <v>1340</v>
      </c>
      <c r="N629" s="22" t="s">
        <v>51</v>
      </c>
      <c r="O629" s="29">
        <v>63000</v>
      </c>
      <c r="P629" s="29">
        <f t="shared" si="162"/>
        <v>4410</v>
      </c>
      <c r="Q629" s="29">
        <f t="shared" si="163"/>
        <v>67410</v>
      </c>
      <c r="R629" s="61"/>
      <c r="S629" s="96"/>
      <c r="T629" s="97"/>
      <c r="U629" s="98"/>
      <c r="V629" s="99"/>
      <c r="W629" s="100"/>
      <c r="X629" s="99"/>
      <c r="Y629" s="99"/>
      <c r="Z629" s="100"/>
      <c r="AA629" s="101"/>
      <c r="AB629" s="40">
        <v>19010009</v>
      </c>
      <c r="AC629" s="41">
        <v>63000</v>
      </c>
      <c r="AD629" s="63">
        <f>AC629*7/100</f>
        <v>4410</v>
      </c>
      <c r="AE629" s="64">
        <f>AC629+AD629</f>
        <v>67410</v>
      </c>
      <c r="AF629" s="53">
        <v>43521</v>
      </c>
      <c r="AG629" s="39" t="s">
        <v>869</v>
      </c>
      <c r="AH629" s="39"/>
      <c r="AI629" s="39"/>
      <c r="AJ629" s="21" t="s">
        <v>2034</v>
      </c>
      <c r="AK629" s="44">
        <v>1</v>
      </c>
      <c r="AL629" s="45" t="s">
        <v>1341</v>
      </c>
      <c r="AM629" s="46"/>
      <c r="AN629" s="46" t="s">
        <v>869</v>
      </c>
      <c r="AO629" s="47">
        <v>1</v>
      </c>
      <c r="AP629" s="48" t="s">
        <v>633</v>
      </c>
      <c r="AQ629" s="44"/>
      <c r="AR629" s="54"/>
      <c r="AS629" s="44"/>
      <c r="AT629" s="44"/>
      <c r="AU629" s="44"/>
      <c r="AV629" s="54"/>
      <c r="AW629" s="44"/>
      <c r="AX629" s="54"/>
      <c r="AY629" s="44"/>
      <c r="AZ629" s="44"/>
      <c r="BA629" s="44"/>
      <c r="BB629" s="54"/>
      <c r="BC629" s="44"/>
      <c r="BD629" s="54"/>
      <c r="BE629" s="44"/>
      <c r="BF629" s="44"/>
      <c r="BG629" s="44"/>
      <c r="BH629" s="54"/>
      <c r="BI629" s="44"/>
      <c r="BJ629" s="54"/>
      <c r="BK629" s="44"/>
      <c r="BL629" s="44"/>
      <c r="BM629" s="44"/>
      <c r="BN629" s="54"/>
      <c r="BO629" s="44"/>
      <c r="BP629" s="54"/>
      <c r="BQ629" s="44"/>
      <c r="BR629" s="44"/>
      <c r="BS629" s="44"/>
      <c r="BT629" s="54"/>
      <c r="BU629" s="44"/>
      <c r="BV629" s="54"/>
      <c r="BW629" s="44"/>
      <c r="BX629" s="44"/>
      <c r="BY629" s="44"/>
      <c r="BZ629" s="54"/>
      <c r="CA629" s="44"/>
      <c r="CB629" s="54"/>
      <c r="CC629" s="44"/>
      <c r="CD629" s="44"/>
      <c r="CE629" s="44"/>
      <c r="CF629" s="44"/>
    </row>
    <row r="630" spans="1:84" x14ac:dyDescent="0.5">
      <c r="A630" s="227">
        <v>19016081</v>
      </c>
      <c r="B630" s="22">
        <v>190110018</v>
      </c>
      <c r="C630" s="55"/>
      <c r="D630" s="56"/>
      <c r="E630" s="884"/>
      <c r="F630" s="932"/>
      <c r="G630" s="933"/>
      <c r="H630" s="59"/>
      <c r="I630" s="60"/>
      <c r="J630" s="931"/>
      <c r="K630" s="40"/>
      <c r="L630" s="22" t="s">
        <v>186</v>
      </c>
      <c r="M630" s="28" t="s">
        <v>1342</v>
      </c>
      <c r="N630" s="22" t="s">
        <v>50</v>
      </c>
      <c r="O630" s="29">
        <v>32000</v>
      </c>
      <c r="P630" s="29">
        <f t="shared" si="162"/>
        <v>2240</v>
      </c>
      <c r="Q630" s="29">
        <f t="shared" si="163"/>
        <v>34240</v>
      </c>
      <c r="R630" s="61"/>
      <c r="S630" s="96"/>
      <c r="T630" s="97"/>
      <c r="U630" s="98"/>
      <c r="V630" s="99"/>
      <c r="W630" s="100"/>
      <c r="X630" s="99"/>
      <c r="Y630" s="99"/>
      <c r="Z630" s="100"/>
      <c r="AA630" s="101"/>
      <c r="AB630" s="40">
        <v>19010002</v>
      </c>
      <c r="AC630" s="41">
        <v>32000</v>
      </c>
      <c r="AD630" s="52">
        <f t="shared" ref="AD630:AD633" si="164">AC630*7/100</f>
        <v>2240</v>
      </c>
      <c r="AE630" s="52">
        <f t="shared" ref="AE630:AE633" si="165">AC630+AD630</f>
        <v>34240</v>
      </c>
      <c r="AF630" s="53">
        <v>43473</v>
      </c>
      <c r="AG630" s="39" t="s">
        <v>869</v>
      </c>
      <c r="AH630" s="39"/>
      <c r="AI630" s="39"/>
      <c r="AJ630" s="21" t="s">
        <v>1662</v>
      </c>
      <c r="AK630" s="44">
        <v>1</v>
      </c>
      <c r="AL630" s="45" t="s">
        <v>404</v>
      </c>
      <c r="AM630" s="46"/>
      <c r="AN630" s="46"/>
      <c r="AO630" s="47">
        <v>2</v>
      </c>
      <c r="AP630" s="102"/>
      <c r="AQ630" s="44"/>
      <c r="AR630" s="54"/>
      <c r="AS630" s="44"/>
      <c r="AT630" s="44"/>
      <c r="AU630" s="44"/>
      <c r="AV630" s="54"/>
      <c r="AW630" s="44"/>
      <c r="AX630" s="54"/>
      <c r="AY630" s="44"/>
      <c r="AZ630" s="44"/>
      <c r="BA630" s="44"/>
      <c r="BB630" s="54"/>
      <c r="BC630" s="44"/>
      <c r="BD630" s="54"/>
      <c r="BE630" s="44"/>
      <c r="BF630" s="44"/>
      <c r="BG630" s="44"/>
      <c r="BH630" s="54"/>
      <c r="BI630" s="44"/>
      <c r="BJ630" s="54"/>
      <c r="BK630" s="44"/>
      <c r="BL630" s="44"/>
      <c r="BM630" s="44"/>
      <c r="BN630" s="54"/>
      <c r="BO630" s="44"/>
      <c r="BP630" s="54"/>
      <c r="BQ630" s="44"/>
      <c r="BR630" s="44"/>
      <c r="BS630" s="44"/>
      <c r="BT630" s="54"/>
      <c r="BU630" s="44"/>
      <c r="BV630" s="54"/>
      <c r="BW630" s="44"/>
      <c r="BX630" s="44"/>
      <c r="BY630" s="44"/>
      <c r="BZ630" s="54"/>
      <c r="CA630" s="44"/>
      <c r="CB630" s="54"/>
      <c r="CC630" s="44"/>
      <c r="CD630" s="44"/>
      <c r="CE630" s="44"/>
      <c r="CF630" s="44"/>
    </row>
    <row r="631" spans="1:84" x14ac:dyDescent="0.5">
      <c r="A631" s="259">
        <v>19016080</v>
      </c>
      <c r="B631" s="104">
        <v>18121108</v>
      </c>
      <c r="C631" s="105" t="s">
        <v>1352</v>
      </c>
      <c r="D631" s="106" t="s">
        <v>1323</v>
      </c>
      <c r="E631" s="302">
        <v>43475</v>
      </c>
      <c r="F631" s="936" t="s">
        <v>1324</v>
      </c>
      <c r="G631" s="937" t="s">
        <v>1351</v>
      </c>
      <c r="H631" s="211">
        <v>43475</v>
      </c>
      <c r="I631" s="109">
        <v>19010</v>
      </c>
      <c r="J631" s="960" t="s">
        <v>869</v>
      </c>
      <c r="K631" s="965">
        <v>43476</v>
      </c>
      <c r="L631" s="104" t="s">
        <v>186</v>
      </c>
      <c r="M631" s="110" t="s">
        <v>1343</v>
      </c>
      <c r="N631" s="104" t="s">
        <v>50</v>
      </c>
      <c r="O631" s="111">
        <v>70000</v>
      </c>
      <c r="P631" s="111">
        <f t="shared" si="162"/>
        <v>4900</v>
      </c>
      <c r="Q631" s="111">
        <f t="shared" si="163"/>
        <v>74900</v>
      </c>
      <c r="R631" s="212"/>
      <c r="S631" s="270" t="s">
        <v>569</v>
      </c>
      <c r="T631" s="114">
        <f>O631</f>
        <v>70000</v>
      </c>
      <c r="U631" s="115">
        <v>5</v>
      </c>
      <c r="V631" s="116">
        <f>T631*U631/100</f>
        <v>3500</v>
      </c>
      <c r="W631" s="117">
        <f>T631-V631</f>
        <v>66500</v>
      </c>
      <c r="X631" s="118">
        <v>0.28999999999999998</v>
      </c>
      <c r="Y631" s="118">
        <f>W631*X631/100</f>
        <v>192.85</v>
      </c>
      <c r="Z631" s="119">
        <v>0.2</v>
      </c>
      <c r="AA631" s="120">
        <f>W631*Z631/100</f>
        <v>133</v>
      </c>
      <c r="AB631" s="123">
        <v>19010001</v>
      </c>
      <c r="AC631" s="124">
        <v>70000</v>
      </c>
      <c r="AD631" s="125">
        <f t="shared" si="164"/>
        <v>4900</v>
      </c>
      <c r="AE631" s="125">
        <f t="shared" si="165"/>
        <v>74900</v>
      </c>
      <c r="AF631" s="126">
        <v>43503</v>
      </c>
      <c r="AG631" s="127" t="s">
        <v>869</v>
      </c>
      <c r="AH631" s="127"/>
      <c r="AI631" s="127"/>
      <c r="AJ631" s="103" t="s">
        <v>1746</v>
      </c>
      <c r="AK631" s="128">
        <v>1</v>
      </c>
      <c r="AL631" s="129" t="s">
        <v>652</v>
      </c>
      <c r="AM631" s="130"/>
      <c r="AN631" s="130" t="s">
        <v>869</v>
      </c>
      <c r="AO631" s="131">
        <v>2</v>
      </c>
      <c r="AP631" s="132" t="s">
        <v>634</v>
      </c>
      <c r="AQ631" s="128"/>
      <c r="AR631" s="133"/>
      <c r="AS631" s="128"/>
      <c r="AT631" s="128"/>
      <c r="AU631" s="128"/>
      <c r="AV631" s="133"/>
      <c r="AW631" s="128"/>
      <c r="AX631" s="133"/>
      <c r="AY631" s="128"/>
      <c r="AZ631" s="128"/>
      <c r="BA631" s="128"/>
      <c r="BB631" s="133"/>
      <c r="BC631" s="128"/>
      <c r="BD631" s="133"/>
      <c r="BE631" s="128"/>
      <c r="BF631" s="128"/>
      <c r="BG631" s="128"/>
      <c r="BH631" s="133"/>
      <c r="BI631" s="128"/>
      <c r="BJ631" s="133"/>
      <c r="BK631" s="128"/>
      <c r="BL631" s="128"/>
      <c r="BM631" s="128"/>
      <c r="BN631" s="133"/>
      <c r="BO631" s="128"/>
      <c r="BP631" s="133"/>
      <c r="BQ631" s="128"/>
      <c r="BR631" s="128"/>
      <c r="BS631" s="128"/>
      <c r="BT631" s="133"/>
      <c r="BU631" s="128"/>
      <c r="BV631" s="133"/>
      <c r="BW631" s="128"/>
      <c r="BX631" s="128"/>
      <c r="BY631" s="128"/>
      <c r="BZ631" s="133"/>
      <c r="CA631" s="128"/>
      <c r="CB631" s="133"/>
      <c r="CC631" s="128"/>
      <c r="CD631" s="128"/>
      <c r="CE631" s="128"/>
      <c r="CF631" s="128"/>
    </row>
    <row r="632" spans="1:84" x14ac:dyDescent="0.5">
      <c r="A632" s="268"/>
      <c r="B632" s="181"/>
      <c r="C632" s="182"/>
      <c r="D632" s="183"/>
      <c r="E632" s="749"/>
      <c r="F632" s="938"/>
      <c r="G632" s="939"/>
      <c r="H632" s="186">
        <v>43475</v>
      </c>
      <c r="I632" s="271">
        <v>19011</v>
      </c>
      <c r="J632" s="961"/>
      <c r="K632" s="200"/>
      <c r="L632" s="181"/>
      <c r="M632" s="188"/>
      <c r="N632" s="181"/>
      <c r="O632" s="189"/>
      <c r="P632" s="189"/>
      <c r="Q632" s="189"/>
      <c r="R632" s="214"/>
      <c r="S632" s="272"/>
      <c r="T632" s="216"/>
      <c r="U632" s="217"/>
      <c r="V632" s="218"/>
      <c r="W632" s="195"/>
      <c r="X632" s="196"/>
      <c r="Y632" s="196"/>
      <c r="Z632" s="197"/>
      <c r="AA632" s="198"/>
      <c r="AB632" s="200"/>
      <c r="AC632" s="201"/>
      <c r="AD632" s="202"/>
      <c r="AE632" s="202"/>
      <c r="AF632" s="203"/>
      <c r="AG632" s="199"/>
      <c r="AH632" s="199"/>
      <c r="AI632" s="199"/>
      <c r="AJ632" s="180"/>
      <c r="AK632" s="204"/>
      <c r="AL632" s="205"/>
      <c r="AM632" s="206"/>
      <c r="AN632" s="206"/>
      <c r="AO632" s="207"/>
      <c r="AP632" s="208"/>
      <c r="AQ632" s="204"/>
      <c r="AR632" s="210"/>
      <c r="AS632" s="204"/>
      <c r="AT632" s="204"/>
      <c r="AU632" s="204"/>
      <c r="AV632" s="210"/>
      <c r="AW632" s="204"/>
      <c r="AX632" s="210"/>
      <c r="AY632" s="204"/>
      <c r="AZ632" s="204"/>
      <c r="BA632" s="204"/>
      <c r="BB632" s="210"/>
      <c r="BC632" s="204"/>
      <c r="BD632" s="210"/>
      <c r="BE632" s="204"/>
      <c r="BF632" s="204"/>
      <c r="BG632" s="204"/>
      <c r="BH632" s="210"/>
      <c r="BI632" s="204"/>
      <c r="BJ632" s="210"/>
      <c r="BK632" s="204"/>
      <c r="BL632" s="204"/>
      <c r="BM632" s="204"/>
      <c r="BN632" s="210"/>
      <c r="BO632" s="204"/>
      <c r="BP632" s="210"/>
      <c r="BQ632" s="204"/>
      <c r="BR632" s="204"/>
      <c r="BS632" s="204"/>
      <c r="BT632" s="210"/>
      <c r="BU632" s="204"/>
      <c r="BV632" s="210"/>
      <c r="BW632" s="204"/>
      <c r="BX632" s="204"/>
      <c r="BY632" s="204"/>
      <c r="BZ632" s="210"/>
      <c r="CA632" s="204"/>
      <c r="CB632" s="210"/>
      <c r="CC632" s="204"/>
      <c r="CD632" s="204"/>
      <c r="CE632" s="204"/>
      <c r="CF632" s="204"/>
    </row>
    <row r="633" spans="1:84" x14ac:dyDescent="0.5">
      <c r="A633" s="227">
        <v>19016079</v>
      </c>
      <c r="B633" s="22">
        <v>19010001</v>
      </c>
      <c r="C633" s="23" t="s">
        <v>1354</v>
      </c>
      <c r="D633" s="24" t="s">
        <v>1323</v>
      </c>
      <c r="E633" s="884">
        <v>43472</v>
      </c>
      <c r="F633" s="932" t="s">
        <v>1324</v>
      </c>
      <c r="G633" s="933" t="s">
        <v>1352</v>
      </c>
      <c r="H633" s="62">
        <v>43473</v>
      </c>
      <c r="I633" s="27">
        <v>19005</v>
      </c>
      <c r="J633" s="931" t="s">
        <v>869</v>
      </c>
      <c r="K633" s="957">
        <v>43474</v>
      </c>
      <c r="L633" s="22" t="s">
        <v>23</v>
      </c>
      <c r="M633" s="28" t="s">
        <v>415</v>
      </c>
      <c r="N633" s="22" t="s">
        <v>51</v>
      </c>
      <c r="O633" s="29">
        <v>200000</v>
      </c>
      <c r="P633" s="29">
        <f t="shared" si="162"/>
        <v>14000</v>
      </c>
      <c r="Q633" s="29">
        <f t="shared" si="163"/>
        <v>214000</v>
      </c>
      <c r="R633" s="61"/>
      <c r="S633" s="96"/>
      <c r="T633" s="97"/>
      <c r="U633" s="98"/>
      <c r="V633" s="99"/>
      <c r="W633" s="100"/>
      <c r="X633" s="99"/>
      <c r="Y633" s="99"/>
      <c r="Z633" s="100"/>
      <c r="AA633" s="101"/>
      <c r="AB633" s="40">
        <v>19010006</v>
      </c>
      <c r="AC633" s="41">
        <v>200000</v>
      </c>
      <c r="AD633" s="52">
        <f t="shared" si="164"/>
        <v>14000</v>
      </c>
      <c r="AE633" s="52">
        <f t="shared" si="165"/>
        <v>214000</v>
      </c>
      <c r="AF633" s="53">
        <v>43503</v>
      </c>
      <c r="AG633" s="39" t="s">
        <v>869</v>
      </c>
      <c r="AH633" s="39"/>
      <c r="AI633" s="39"/>
      <c r="AJ633" s="21" t="s">
        <v>1763</v>
      </c>
      <c r="AK633" s="44">
        <v>1</v>
      </c>
      <c r="AL633" s="45" t="s">
        <v>1325</v>
      </c>
      <c r="AM633" s="46"/>
      <c r="AN633" s="46" t="s">
        <v>869</v>
      </c>
      <c r="AO633" s="47">
        <v>1</v>
      </c>
      <c r="AP633" s="48" t="s">
        <v>635</v>
      </c>
      <c r="AQ633" s="44"/>
      <c r="AR633" s="54"/>
      <c r="AS633" s="44"/>
      <c r="AT633" s="44"/>
      <c r="AU633" s="44"/>
      <c r="AV633" s="54"/>
      <c r="AW633" s="44"/>
      <c r="AX633" s="54"/>
      <c r="AY633" s="44"/>
      <c r="AZ633" s="44"/>
      <c r="BA633" s="44"/>
      <c r="BB633" s="54"/>
      <c r="BC633" s="44"/>
      <c r="BD633" s="54"/>
      <c r="BE633" s="44"/>
      <c r="BF633" s="44"/>
      <c r="BG633" s="44"/>
      <c r="BH633" s="54"/>
      <c r="BI633" s="44"/>
      <c r="BJ633" s="54"/>
      <c r="BK633" s="44"/>
      <c r="BL633" s="44"/>
      <c r="BM633" s="44"/>
      <c r="BN633" s="54"/>
      <c r="BO633" s="44"/>
      <c r="BP633" s="54"/>
      <c r="BQ633" s="44"/>
      <c r="BR633" s="44"/>
      <c r="BS633" s="44"/>
      <c r="BT633" s="54"/>
      <c r="BU633" s="44"/>
      <c r="BV633" s="54"/>
      <c r="BW633" s="44"/>
      <c r="BX633" s="44"/>
      <c r="BY633" s="44"/>
      <c r="BZ633" s="54"/>
      <c r="CA633" s="44"/>
      <c r="CB633" s="54"/>
      <c r="CC633" s="44"/>
      <c r="CD633" s="44"/>
      <c r="CE633" s="44"/>
      <c r="CF633" s="44"/>
    </row>
  </sheetData>
  <autoFilter ref="Q1:Q633" xr:uid="{E3DD4388-C92E-4B9F-B147-0ED05293165D}"/>
  <mergeCells count="24">
    <mergeCell ref="J1:K1"/>
    <mergeCell ref="AB1:AB2"/>
    <mergeCell ref="L1:L2"/>
    <mergeCell ref="A1:A2"/>
    <mergeCell ref="B1:B2"/>
    <mergeCell ref="C1:D2"/>
    <mergeCell ref="F1:G2"/>
    <mergeCell ref="H1:I1"/>
    <mergeCell ref="E1:E2"/>
    <mergeCell ref="AC1:AC2"/>
    <mergeCell ref="M1:M2"/>
    <mergeCell ref="N1:N2"/>
    <mergeCell ref="O1:O2"/>
    <mergeCell ref="P1:P2"/>
    <mergeCell ref="Q1:Q2"/>
    <mergeCell ref="R1:R2"/>
    <mergeCell ref="S1:V1"/>
    <mergeCell ref="W1:Y1"/>
    <mergeCell ref="Z1:AA1"/>
    <mergeCell ref="AD1:AD2"/>
    <mergeCell ref="AE1:AE2"/>
    <mergeCell ref="AF1:AF2"/>
    <mergeCell ref="AG1:AJ1"/>
    <mergeCell ref="AK1:C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17"/>
  <sheetViews>
    <sheetView topLeftCell="A185" zoomScaleNormal="100" workbookViewId="0">
      <pane xSplit="2" topLeftCell="Q1" activePane="topRight" state="frozen"/>
      <selection pane="topRight" activeCell="A196" sqref="A196:XFD196"/>
    </sheetView>
  </sheetViews>
  <sheetFormatPr defaultRowHeight="24" x14ac:dyDescent="0.55000000000000004"/>
  <cols>
    <col min="1" max="1" width="17.5" style="662" customWidth="1"/>
    <col min="2" max="2" width="9" style="662" bestFit="1" customWidth="1"/>
    <col min="3" max="3" width="20" style="663" customWidth="1"/>
    <col min="4" max="4" width="28" style="662" bestFit="1" customWidth="1"/>
    <col min="5" max="5" width="15.33203125" style="662" bestFit="1" customWidth="1"/>
    <col min="6" max="6" width="3" style="664" bestFit="1" customWidth="1"/>
    <col min="7" max="7" width="34.33203125" style="663" bestFit="1" customWidth="1"/>
    <col min="8" max="8" width="10.1640625" style="665" bestFit="1" customWidth="1"/>
    <col min="9" max="9" width="3" style="664" bestFit="1" customWidth="1"/>
    <col min="10" max="10" width="33.5" style="663" bestFit="1" customWidth="1"/>
    <col min="11" max="11" width="9.33203125" style="666"/>
    <col min="12" max="12" width="3" style="664" bestFit="1" customWidth="1"/>
    <col min="13" max="13" width="33.33203125" style="662" bestFit="1" customWidth="1"/>
    <col min="14" max="14" width="9.33203125" style="666"/>
    <col min="15" max="15" width="3" style="664" bestFit="1" customWidth="1"/>
    <col min="16" max="16" width="33.33203125" style="662" bestFit="1" customWidth="1"/>
    <col min="17" max="17" width="11.1640625" style="666" bestFit="1" customWidth="1"/>
    <col min="18" max="18" width="3" style="664" bestFit="1" customWidth="1"/>
    <col min="19" max="19" width="28.6640625" style="662" bestFit="1" customWidth="1"/>
    <col min="20" max="20" width="10.83203125" style="666" bestFit="1" customWidth="1"/>
    <col min="21" max="21" width="3" style="664" bestFit="1" customWidth="1"/>
    <col min="22" max="22" width="28.6640625" style="662" bestFit="1" customWidth="1"/>
    <col min="23" max="23" width="10.1640625" style="666" bestFit="1" customWidth="1"/>
    <col min="24" max="24" width="3" style="664" bestFit="1" customWidth="1"/>
    <col min="25" max="25" width="25.5" style="662" bestFit="1" customWidth="1"/>
    <col min="26" max="26" width="9.33203125" style="666"/>
    <col min="27" max="27" width="3" style="664" bestFit="1" customWidth="1"/>
    <col min="28" max="28" width="26" style="662" bestFit="1" customWidth="1"/>
    <col min="29" max="29" width="9.33203125" style="666"/>
    <col min="30" max="30" width="3" style="664" bestFit="1" customWidth="1"/>
    <col min="31" max="31" width="27" style="662" bestFit="1" customWidth="1"/>
    <col min="32" max="32" width="9.33203125" style="666"/>
    <col min="33" max="33" width="4.5" style="664" bestFit="1" customWidth="1"/>
    <col min="34" max="34" width="24.83203125" style="662" bestFit="1" customWidth="1"/>
    <col min="35" max="35" width="9.33203125" style="666"/>
    <col min="36" max="36" width="4.5" style="664" bestFit="1" customWidth="1"/>
    <col min="37" max="37" width="10.1640625" style="662" bestFit="1" customWidth="1"/>
    <col min="38" max="38" width="9.33203125" style="666"/>
    <col min="39" max="16384" width="9.33203125" style="662"/>
  </cols>
  <sheetData>
    <row r="1" spans="1:38" x14ac:dyDescent="0.55000000000000004">
      <c r="A1" s="930" t="s">
        <v>865</v>
      </c>
    </row>
    <row r="2" spans="1:38" x14ac:dyDescent="0.55000000000000004">
      <c r="E2" s="2019" t="s">
        <v>1459</v>
      </c>
      <c r="F2" s="2019"/>
      <c r="G2" s="2019"/>
    </row>
    <row r="3" spans="1:38" x14ac:dyDescent="0.55000000000000004">
      <c r="A3" s="667" t="s">
        <v>866</v>
      </c>
      <c r="B3" s="667" t="s">
        <v>583</v>
      </c>
      <c r="C3" s="667" t="s">
        <v>6</v>
      </c>
      <c r="D3" s="668" t="s">
        <v>8</v>
      </c>
      <c r="E3" s="669" t="s">
        <v>1328</v>
      </c>
      <c r="F3" s="2016" t="s">
        <v>584</v>
      </c>
      <c r="G3" s="2017"/>
      <c r="H3" s="2017"/>
      <c r="I3" s="2017"/>
      <c r="J3" s="2017"/>
      <c r="K3" s="2017"/>
      <c r="L3" s="2017"/>
      <c r="M3" s="2017"/>
      <c r="N3" s="2017"/>
      <c r="O3" s="2017"/>
      <c r="P3" s="2017"/>
      <c r="Q3" s="2017"/>
      <c r="R3" s="2017"/>
      <c r="S3" s="2017"/>
      <c r="T3" s="2017"/>
      <c r="U3" s="2017"/>
      <c r="V3" s="2017"/>
      <c r="W3" s="2017"/>
      <c r="X3" s="2017"/>
      <c r="Y3" s="2017"/>
      <c r="Z3" s="2017"/>
      <c r="AA3" s="2017"/>
      <c r="AB3" s="2017"/>
      <c r="AC3" s="2017"/>
      <c r="AD3" s="2017"/>
      <c r="AE3" s="2017"/>
      <c r="AF3" s="2017"/>
      <c r="AG3" s="2017"/>
      <c r="AH3" s="2017"/>
      <c r="AI3" s="2017"/>
      <c r="AJ3" s="2017"/>
      <c r="AK3" s="2017"/>
      <c r="AL3" s="2018"/>
    </row>
    <row r="4" spans="1:38" x14ac:dyDescent="0.55000000000000004">
      <c r="A4" s="670">
        <v>43469</v>
      </c>
      <c r="B4" s="671">
        <v>19001</v>
      </c>
      <c r="C4" s="672">
        <v>18065878</v>
      </c>
      <c r="D4" s="673" t="s">
        <v>1326</v>
      </c>
      <c r="E4" s="673"/>
      <c r="F4" s="674">
        <v>1</v>
      </c>
      <c r="G4" s="675" t="s">
        <v>660</v>
      </c>
      <c r="H4" s="676" t="s">
        <v>1571</v>
      </c>
      <c r="I4" s="674">
        <v>2</v>
      </c>
      <c r="J4" s="675" t="s">
        <v>1497</v>
      </c>
      <c r="K4" s="677" t="s">
        <v>1574</v>
      </c>
      <c r="L4" s="674">
        <v>3</v>
      </c>
      <c r="M4" s="678" t="s">
        <v>1502</v>
      </c>
      <c r="N4" s="679" t="s">
        <v>1575</v>
      </c>
      <c r="O4" s="674">
        <v>4</v>
      </c>
      <c r="P4" s="678" t="s">
        <v>1498</v>
      </c>
      <c r="Q4" s="677" t="s">
        <v>1576</v>
      </c>
      <c r="R4" s="674"/>
      <c r="S4" s="680"/>
      <c r="T4" s="681"/>
      <c r="U4" s="674"/>
      <c r="V4" s="680"/>
      <c r="W4" s="681"/>
      <c r="X4" s="674"/>
      <c r="Y4" s="680"/>
      <c r="Z4" s="681"/>
      <c r="AA4" s="674"/>
      <c r="AB4" s="680"/>
      <c r="AC4" s="681"/>
      <c r="AD4" s="674"/>
      <c r="AE4" s="680"/>
      <c r="AF4" s="681"/>
      <c r="AG4" s="674"/>
      <c r="AH4" s="680"/>
      <c r="AI4" s="681"/>
      <c r="AJ4" s="674"/>
      <c r="AK4" s="680"/>
      <c r="AL4" s="681"/>
    </row>
    <row r="5" spans="1:38" x14ac:dyDescent="0.55000000000000004">
      <c r="A5" s="682"/>
      <c r="B5" s="683">
        <v>19002</v>
      </c>
      <c r="C5" s="684"/>
      <c r="D5" s="685"/>
      <c r="E5" s="685"/>
      <c r="F5" s="674">
        <v>1</v>
      </c>
      <c r="G5" s="675" t="s">
        <v>660</v>
      </c>
      <c r="H5" s="676" t="s">
        <v>1571</v>
      </c>
      <c r="I5" s="674">
        <v>2</v>
      </c>
      <c r="J5" s="675" t="s">
        <v>1497</v>
      </c>
      <c r="K5" s="677" t="s">
        <v>1574</v>
      </c>
      <c r="L5" s="674">
        <v>3</v>
      </c>
      <c r="M5" s="678" t="s">
        <v>1502</v>
      </c>
      <c r="N5" s="677" t="s">
        <v>1575</v>
      </c>
      <c r="O5" s="674">
        <v>4</v>
      </c>
      <c r="P5" s="678" t="s">
        <v>1498</v>
      </c>
      <c r="Q5" s="677" t="s">
        <v>1576</v>
      </c>
      <c r="R5" s="674"/>
      <c r="S5" s="680"/>
      <c r="T5" s="681"/>
      <c r="U5" s="674"/>
      <c r="V5" s="680"/>
      <c r="W5" s="681"/>
      <c r="X5" s="674"/>
      <c r="Y5" s="680"/>
      <c r="Z5" s="681"/>
      <c r="AA5" s="674"/>
      <c r="AB5" s="680"/>
      <c r="AC5" s="681"/>
      <c r="AD5" s="674"/>
      <c r="AE5" s="680"/>
      <c r="AF5" s="681"/>
      <c r="AG5" s="674"/>
      <c r="AH5" s="680"/>
      <c r="AI5" s="681"/>
      <c r="AJ5" s="674"/>
      <c r="AK5" s="680"/>
      <c r="AL5" s="681"/>
    </row>
    <row r="6" spans="1:38" x14ac:dyDescent="0.55000000000000004">
      <c r="A6" s="686">
        <v>43472</v>
      </c>
      <c r="B6" s="687">
        <v>19003</v>
      </c>
      <c r="C6" s="688"/>
      <c r="D6" s="689" t="s">
        <v>1327</v>
      </c>
      <c r="E6" s="689" t="s">
        <v>1329</v>
      </c>
      <c r="F6" s="674">
        <v>1</v>
      </c>
      <c r="G6" s="675" t="s">
        <v>1499</v>
      </c>
      <c r="H6" s="676" t="s">
        <v>1572</v>
      </c>
      <c r="I6" s="674"/>
      <c r="J6" s="690"/>
      <c r="K6" s="681"/>
      <c r="L6" s="674"/>
      <c r="M6" s="680"/>
      <c r="N6" s="681"/>
      <c r="O6" s="674"/>
      <c r="P6" s="680"/>
      <c r="Q6" s="681"/>
      <c r="R6" s="674"/>
      <c r="S6" s="680"/>
      <c r="T6" s="681"/>
      <c r="U6" s="674"/>
      <c r="V6" s="680"/>
      <c r="W6" s="681"/>
      <c r="X6" s="674"/>
      <c r="Y6" s="680"/>
      <c r="Z6" s="681"/>
      <c r="AA6" s="674"/>
      <c r="AB6" s="680"/>
      <c r="AC6" s="681"/>
      <c r="AD6" s="674"/>
      <c r="AE6" s="680"/>
      <c r="AF6" s="681"/>
      <c r="AG6" s="674"/>
      <c r="AH6" s="680"/>
      <c r="AI6" s="681"/>
      <c r="AJ6" s="674"/>
      <c r="AK6" s="680"/>
      <c r="AL6" s="681"/>
    </row>
    <row r="7" spans="1:38" x14ac:dyDescent="0.55000000000000004">
      <c r="A7" s="686">
        <v>43472</v>
      </c>
      <c r="B7" s="687">
        <v>19004</v>
      </c>
      <c r="C7" s="688"/>
      <c r="D7" s="689" t="s">
        <v>1330</v>
      </c>
      <c r="E7" s="689" t="s">
        <v>1329</v>
      </c>
      <c r="F7" s="674">
        <v>1</v>
      </c>
      <c r="G7" s="675" t="s">
        <v>1499</v>
      </c>
      <c r="H7" s="676" t="s">
        <v>1572</v>
      </c>
      <c r="I7" s="674"/>
      <c r="J7" s="690"/>
      <c r="K7" s="681"/>
      <c r="L7" s="674"/>
      <c r="M7" s="680"/>
      <c r="N7" s="681"/>
      <c r="O7" s="674"/>
      <c r="P7" s="680"/>
      <c r="Q7" s="681"/>
      <c r="R7" s="674"/>
      <c r="S7" s="680"/>
      <c r="T7" s="681"/>
      <c r="U7" s="674"/>
      <c r="V7" s="680"/>
      <c r="W7" s="681"/>
      <c r="X7" s="674"/>
      <c r="Y7" s="680"/>
      <c r="Z7" s="681"/>
      <c r="AA7" s="674"/>
      <c r="AB7" s="680"/>
      <c r="AC7" s="681"/>
      <c r="AD7" s="674"/>
      <c r="AE7" s="680"/>
      <c r="AF7" s="681"/>
      <c r="AG7" s="674"/>
      <c r="AH7" s="680"/>
      <c r="AI7" s="681"/>
      <c r="AJ7" s="674"/>
      <c r="AK7" s="680"/>
      <c r="AL7" s="681"/>
    </row>
    <row r="8" spans="1:38" x14ac:dyDescent="0.55000000000000004">
      <c r="A8" s="686">
        <v>43473</v>
      </c>
      <c r="B8" s="687">
        <v>19005</v>
      </c>
      <c r="C8" s="675">
        <v>19016079</v>
      </c>
      <c r="D8" s="689" t="s">
        <v>1331</v>
      </c>
      <c r="E8" s="691"/>
      <c r="F8" s="674">
        <v>1</v>
      </c>
      <c r="G8" s="675" t="s">
        <v>1325</v>
      </c>
      <c r="H8" s="676" t="s">
        <v>1571</v>
      </c>
      <c r="I8" s="674">
        <v>2</v>
      </c>
      <c r="J8" s="675" t="s">
        <v>1511</v>
      </c>
      <c r="K8" s="677" t="s">
        <v>1575</v>
      </c>
      <c r="L8" s="674">
        <v>3</v>
      </c>
      <c r="M8" s="678" t="s">
        <v>1503</v>
      </c>
      <c r="N8" s="677" t="s">
        <v>1585</v>
      </c>
      <c r="O8" s="674"/>
      <c r="P8" s="680"/>
      <c r="Q8" s="681"/>
      <c r="R8" s="674"/>
      <c r="S8" s="680"/>
      <c r="T8" s="681"/>
      <c r="U8" s="674"/>
      <c r="V8" s="680"/>
      <c r="W8" s="681"/>
      <c r="X8" s="674"/>
      <c r="Y8" s="680"/>
      <c r="Z8" s="681"/>
      <c r="AA8" s="674"/>
      <c r="AB8" s="680"/>
      <c r="AC8" s="681"/>
      <c r="AD8" s="674"/>
      <c r="AE8" s="680"/>
      <c r="AF8" s="681"/>
      <c r="AG8" s="674"/>
      <c r="AH8" s="680"/>
      <c r="AI8" s="681"/>
      <c r="AJ8" s="674"/>
      <c r="AK8" s="680"/>
      <c r="AL8" s="681"/>
    </row>
    <row r="9" spans="1:38" x14ac:dyDescent="0.55000000000000004">
      <c r="A9" s="670">
        <v>43473</v>
      </c>
      <c r="B9" s="692">
        <v>19006</v>
      </c>
      <c r="C9" s="672">
        <v>18085878</v>
      </c>
      <c r="D9" s="693" t="s">
        <v>1326</v>
      </c>
      <c r="E9" s="673"/>
      <c r="F9" s="674">
        <v>1</v>
      </c>
      <c r="G9" s="675" t="s">
        <v>660</v>
      </c>
      <c r="H9" s="676" t="s">
        <v>1571</v>
      </c>
      <c r="I9" s="674">
        <v>2</v>
      </c>
      <c r="J9" s="675" t="s">
        <v>1511</v>
      </c>
      <c r="K9" s="677" t="s">
        <v>1574</v>
      </c>
      <c r="L9" s="674">
        <v>3</v>
      </c>
      <c r="M9" s="678" t="s">
        <v>1502</v>
      </c>
      <c r="N9" s="677" t="s">
        <v>1575</v>
      </c>
      <c r="O9" s="674">
        <v>4</v>
      </c>
      <c r="P9" s="678" t="s">
        <v>1498</v>
      </c>
      <c r="Q9" s="677" t="s">
        <v>1576</v>
      </c>
      <c r="R9" s="674"/>
      <c r="S9" s="680"/>
      <c r="T9" s="681"/>
      <c r="U9" s="674"/>
      <c r="V9" s="680"/>
      <c r="W9" s="681"/>
      <c r="X9" s="674"/>
      <c r="Y9" s="680"/>
      <c r="Z9" s="681"/>
      <c r="AA9" s="674"/>
      <c r="AB9" s="680"/>
      <c r="AC9" s="681"/>
      <c r="AD9" s="674"/>
      <c r="AE9" s="680"/>
      <c r="AF9" s="681"/>
      <c r="AG9" s="674"/>
      <c r="AH9" s="680"/>
      <c r="AI9" s="681"/>
      <c r="AJ9" s="674"/>
      <c r="AK9" s="680"/>
      <c r="AL9" s="681"/>
    </row>
    <row r="10" spans="1:38" x14ac:dyDescent="0.55000000000000004">
      <c r="A10" s="682"/>
      <c r="B10" s="682">
        <v>19007</v>
      </c>
      <c r="C10" s="684"/>
      <c r="D10" s="685"/>
      <c r="E10" s="685"/>
      <c r="F10" s="674">
        <v>1</v>
      </c>
      <c r="G10" s="675" t="s">
        <v>660</v>
      </c>
      <c r="H10" s="676" t="s">
        <v>1571</v>
      </c>
      <c r="I10" s="674">
        <v>2</v>
      </c>
      <c r="J10" s="675" t="s">
        <v>1634</v>
      </c>
      <c r="K10" s="677" t="s">
        <v>1574</v>
      </c>
      <c r="L10" s="674">
        <v>3</v>
      </c>
      <c r="M10" s="678" t="s">
        <v>1502</v>
      </c>
      <c r="N10" s="677" t="s">
        <v>1575</v>
      </c>
      <c r="O10" s="674">
        <v>4</v>
      </c>
      <c r="P10" s="678" t="s">
        <v>1498</v>
      </c>
      <c r="Q10" s="677" t="s">
        <v>1576</v>
      </c>
      <c r="R10" s="674"/>
      <c r="S10" s="680"/>
      <c r="T10" s="681"/>
      <c r="U10" s="674"/>
      <c r="V10" s="680"/>
      <c r="W10" s="681"/>
      <c r="X10" s="674"/>
      <c r="Y10" s="680"/>
      <c r="Z10" s="681"/>
      <c r="AA10" s="674"/>
      <c r="AB10" s="680"/>
      <c r="AC10" s="681"/>
      <c r="AD10" s="674"/>
      <c r="AE10" s="680"/>
      <c r="AF10" s="681"/>
      <c r="AG10" s="674"/>
      <c r="AH10" s="680"/>
      <c r="AI10" s="681"/>
      <c r="AJ10" s="674"/>
      <c r="AK10" s="680"/>
      <c r="AL10" s="681"/>
    </row>
    <row r="11" spans="1:38" x14ac:dyDescent="0.55000000000000004">
      <c r="A11" s="686">
        <v>43473</v>
      </c>
      <c r="B11" s="687">
        <v>19008</v>
      </c>
      <c r="C11" s="675">
        <v>18126077</v>
      </c>
      <c r="D11" s="689" t="s">
        <v>1348</v>
      </c>
      <c r="E11" s="689"/>
      <c r="F11" s="674">
        <v>1</v>
      </c>
      <c r="G11" s="675" t="s">
        <v>1316</v>
      </c>
      <c r="H11" s="676" t="s">
        <v>1571</v>
      </c>
      <c r="I11" s="674">
        <v>2</v>
      </c>
      <c r="J11" s="675" t="s">
        <v>739</v>
      </c>
      <c r="K11" s="677" t="s">
        <v>1571</v>
      </c>
      <c r="L11" s="674">
        <v>3</v>
      </c>
      <c r="M11" s="678" t="s">
        <v>1634</v>
      </c>
      <c r="N11" s="677" t="s">
        <v>1578</v>
      </c>
      <c r="O11" s="674">
        <v>4</v>
      </c>
      <c r="P11" s="678" t="s">
        <v>1507</v>
      </c>
      <c r="Q11" s="677" t="s">
        <v>1575</v>
      </c>
      <c r="R11" s="674">
        <v>5</v>
      </c>
      <c r="S11" s="678" t="s">
        <v>1502</v>
      </c>
      <c r="T11" s="677" t="s">
        <v>1575</v>
      </c>
      <c r="U11" s="674">
        <v>6</v>
      </c>
      <c r="V11" s="678" t="s">
        <v>2452</v>
      </c>
      <c r="W11" s="677" t="s">
        <v>1575</v>
      </c>
      <c r="X11" s="674">
        <v>7</v>
      </c>
      <c r="Y11" s="678" t="s">
        <v>2453</v>
      </c>
      <c r="Z11" s="677" t="s">
        <v>1574</v>
      </c>
      <c r="AA11" s="674">
        <v>8</v>
      </c>
      <c r="AB11" s="678" t="s">
        <v>1498</v>
      </c>
      <c r="AC11" s="677" t="s">
        <v>2259</v>
      </c>
      <c r="AD11" s="674"/>
      <c r="AE11" s="680"/>
      <c r="AF11" s="681"/>
      <c r="AG11" s="674"/>
      <c r="AH11" s="680"/>
      <c r="AI11" s="681"/>
      <c r="AJ11" s="674"/>
      <c r="AK11" s="680"/>
      <c r="AL11" s="681"/>
    </row>
    <row r="12" spans="1:38" x14ac:dyDescent="0.55000000000000004">
      <c r="A12" s="686">
        <v>43474</v>
      </c>
      <c r="B12" s="687">
        <v>19009</v>
      </c>
      <c r="C12" s="688"/>
      <c r="D12" s="689" t="s">
        <v>1349</v>
      </c>
      <c r="E12" s="691"/>
      <c r="F12" s="674">
        <v>1</v>
      </c>
      <c r="G12" s="675" t="s">
        <v>1500</v>
      </c>
      <c r="H12" s="676" t="s">
        <v>1573</v>
      </c>
      <c r="I12" s="674">
        <v>2</v>
      </c>
      <c r="J12" s="675" t="s">
        <v>1501</v>
      </c>
      <c r="K12" s="677" t="s">
        <v>1577</v>
      </c>
      <c r="L12" s="674"/>
      <c r="M12" s="680"/>
      <c r="N12" s="681"/>
      <c r="O12" s="674"/>
      <c r="P12" s="680"/>
      <c r="Q12" s="681"/>
      <c r="R12" s="674"/>
      <c r="S12" s="680"/>
      <c r="T12" s="681"/>
      <c r="U12" s="674"/>
      <c r="V12" s="680"/>
      <c r="W12" s="681"/>
      <c r="X12" s="674"/>
      <c r="Y12" s="680"/>
      <c r="Z12" s="681"/>
      <c r="AA12" s="674"/>
      <c r="AB12" s="680"/>
      <c r="AC12" s="681"/>
      <c r="AD12" s="674"/>
      <c r="AE12" s="680"/>
      <c r="AF12" s="681"/>
      <c r="AG12" s="674"/>
      <c r="AH12" s="680"/>
      <c r="AI12" s="681"/>
      <c r="AJ12" s="674"/>
      <c r="AK12" s="680"/>
      <c r="AL12" s="681"/>
    </row>
    <row r="13" spans="1:38" x14ac:dyDescent="0.55000000000000004">
      <c r="A13" s="670">
        <v>43475</v>
      </c>
      <c r="B13" s="692">
        <v>19010</v>
      </c>
      <c r="C13" s="672">
        <v>19016080</v>
      </c>
      <c r="D13" s="673" t="s">
        <v>1350</v>
      </c>
      <c r="E13" s="694"/>
      <c r="F13" s="674">
        <v>1</v>
      </c>
      <c r="G13" s="675" t="s">
        <v>652</v>
      </c>
      <c r="H13" s="676" t="s">
        <v>1571</v>
      </c>
      <c r="I13" s="674">
        <v>2</v>
      </c>
      <c r="J13" s="675" t="s">
        <v>1497</v>
      </c>
      <c r="K13" s="677" t="s">
        <v>1574</v>
      </c>
      <c r="L13" s="674">
        <v>3</v>
      </c>
      <c r="M13" s="678" t="s">
        <v>1502</v>
      </c>
      <c r="N13" s="677" t="s">
        <v>1575</v>
      </c>
      <c r="O13" s="674">
        <v>4</v>
      </c>
      <c r="P13" s="678" t="s">
        <v>1498</v>
      </c>
      <c r="Q13" s="677" t="s">
        <v>1576</v>
      </c>
      <c r="R13" s="674"/>
      <c r="S13" s="680"/>
      <c r="T13" s="681"/>
      <c r="U13" s="674"/>
      <c r="V13" s="680"/>
      <c r="W13" s="681"/>
      <c r="X13" s="674"/>
      <c r="Y13" s="680"/>
      <c r="Z13" s="681"/>
      <c r="AA13" s="674"/>
      <c r="AB13" s="680"/>
      <c r="AC13" s="681"/>
      <c r="AD13" s="674"/>
      <c r="AE13" s="680"/>
      <c r="AF13" s="681"/>
      <c r="AG13" s="674"/>
      <c r="AH13" s="680"/>
      <c r="AI13" s="681"/>
      <c r="AJ13" s="674"/>
      <c r="AK13" s="680"/>
      <c r="AL13" s="681"/>
    </row>
    <row r="14" spans="1:38" x14ac:dyDescent="0.55000000000000004">
      <c r="A14" s="682"/>
      <c r="B14" s="682">
        <v>19011</v>
      </c>
      <c r="C14" s="684"/>
      <c r="D14" s="685"/>
      <c r="E14" s="695"/>
      <c r="F14" s="674">
        <v>1</v>
      </c>
      <c r="G14" s="675" t="s">
        <v>652</v>
      </c>
      <c r="H14" s="676" t="s">
        <v>1571</v>
      </c>
      <c r="I14" s="674">
        <v>2</v>
      </c>
      <c r="J14" s="675" t="s">
        <v>1497</v>
      </c>
      <c r="K14" s="677" t="s">
        <v>1574</v>
      </c>
      <c r="L14" s="674">
        <v>3</v>
      </c>
      <c r="M14" s="678" t="s">
        <v>1502</v>
      </c>
      <c r="N14" s="677" t="s">
        <v>1575</v>
      </c>
      <c r="O14" s="674">
        <v>4</v>
      </c>
      <c r="P14" s="678" t="s">
        <v>1498</v>
      </c>
      <c r="Q14" s="677" t="s">
        <v>1576</v>
      </c>
      <c r="R14" s="674"/>
      <c r="S14" s="680"/>
      <c r="T14" s="681"/>
      <c r="U14" s="674"/>
      <c r="V14" s="680"/>
      <c r="W14" s="681"/>
      <c r="X14" s="674"/>
      <c r="Y14" s="680"/>
      <c r="Z14" s="681"/>
      <c r="AA14" s="674"/>
      <c r="AB14" s="680"/>
      <c r="AC14" s="681"/>
      <c r="AD14" s="674"/>
      <c r="AE14" s="680"/>
      <c r="AF14" s="681"/>
      <c r="AG14" s="674"/>
      <c r="AH14" s="680"/>
      <c r="AI14" s="681"/>
      <c r="AJ14" s="674"/>
      <c r="AK14" s="680"/>
      <c r="AL14" s="681"/>
    </row>
    <row r="15" spans="1:38" x14ac:dyDescent="0.55000000000000004">
      <c r="A15" s="686">
        <v>43476</v>
      </c>
      <c r="B15" s="687">
        <v>19012</v>
      </c>
      <c r="C15" s="675">
        <v>19016082</v>
      </c>
      <c r="D15" s="689" t="s">
        <v>1452</v>
      </c>
      <c r="E15" s="691"/>
      <c r="F15" s="674">
        <v>1</v>
      </c>
      <c r="G15" s="675" t="s">
        <v>1341</v>
      </c>
      <c r="H15" s="676" t="s">
        <v>1571</v>
      </c>
      <c r="I15" s="674">
        <v>2</v>
      </c>
      <c r="J15" s="675" t="s">
        <v>1497</v>
      </c>
      <c r="K15" s="677" t="s">
        <v>1575</v>
      </c>
      <c r="L15" s="674">
        <v>3</v>
      </c>
      <c r="M15" s="678" t="s">
        <v>1502</v>
      </c>
      <c r="N15" s="677" t="s">
        <v>1575</v>
      </c>
      <c r="O15" s="674">
        <v>4</v>
      </c>
      <c r="P15" s="678" t="s">
        <v>1498</v>
      </c>
      <c r="Q15" s="677" t="s">
        <v>1580</v>
      </c>
      <c r="R15" s="674">
        <v>5</v>
      </c>
      <c r="S15" s="696" t="s">
        <v>1503</v>
      </c>
      <c r="T15" s="697" t="s">
        <v>1584</v>
      </c>
      <c r="U15" s="674"/>
      <c r="V15" s="680"/>
      <c r="W15" s="681"/>
      <c r="X15" s="674"/>
      <c r="Y15" s="680"/>
      <c r="Z15" s="681"/>
      <c r="AA15" s="674"/>
      <c r="AB15" s="680"/>
      <c r="AC15" s="681"/>
      <c r="AD15" s="674"/>
      <c r="AE15" s="680"/>
      <c r="AF15" s="681"/>
      <c r="AG15" s="674"/>
      <c r="AH15" s="680"/>
      <c r="AI15" s="681"/>
      <c r="AJ15" s="674"/>
      <c r="AK15" s="680"/>
      <c r="AL15" s="681"/>
    </row>
    <row r="16" spans="1:38" x14ac:dyDescent="0.55000000000000004">
      <c r="A16" s="686">
        <v>43479</v>
      </c>
      <c r="B16" s="687">
        <v>19013</v>
      </c>
      <c r="C16" s="675">
        <v>18116044</v>
      </c>
      <c r="D16" s="689" t="s">
        <v>1458</v>
      </c>
      <c r="E16" s="691"/>
      <c r="F16" s="674">
        <v>1</v>
      </c>
      <c r="G16" s="675" t="s">
        <v>723</v>
      </c>
      <c r="H16" s="676" t="s">
        <v>1571</v>
      </c>
      <c r="I16" s="674">
        <v>2</v>
      </c>
      <c r="J16" s="675" t="s">
        <v>1497</v>
      </c>
      <c r="K16" s="677" t="s">
        <v>1578</v>
      </c>
      <c r="L16" s="674">
        <v>3</v>
      </c>
      <c r="M16" s="678" t="s">
        <v>1502</v>
      </c>
      <c r="N16" s="677" t="s">
        <v>1575</v>
      </c>
      <c r="O16" s="674">
        <v>4</v>
      </c>
      <c r="P16" s="678" t="s">
        <v>1504</v>
      </c>
      <c r="Q16" s="677" t="s">
        <v>1598</v>
      </c>
      <c r="R16" s="674">
        <v>5</v>
      </c>
      <c r="S16" s="678" t="s">
        <v>1503</v>
      </c>
      <c r="T16" s="677" t="s">
        <v>1597</v>
      </c>
      <c r="U16" s="674">
        <v>6</v>
      </c>
      <c r="V16" s="678" t="s">
        <v>1505</v>
      </c>
      <c r="W16" s="677" t="s">
        <v>1583</v>
      </c>
      <c r="X16" s="674"/>
      <c r="Y16" s="680"/>
      <c r="Z16" s="681"/>
      <c r="AA16" s="674"/>
      <c r="AB16" s="680"/>
      <c r="AC16" s="681"/>
      <c r="AD16" s="674"/>
      <c r="AE16" s="680"/>
      <c r="AF16" s="681"/>
      <c r="AG16" s="674"/>
      <c r="AH16" s="680"/>
      <c r="AI16" s="681"/>
      <c r="AJ16" s="674"/>
      <c r="AK16" s="680"/>
      <c r="AL16" s="681"/>
    </row>
    <row r="17" spans="1:38" x14ac:dyDescent="0.55000000000000004">
      <c r="A17" s="686">
        <v>43480</v>
      </c>
      <c r="B17" s="687">
        <v>19014</v>
      </c>
      <c r="C17" s="675">
        <v>19016087</v>
      </c>
      <c r="D17" s="689" t="s">
        <v>1490</v>
      </c>
      <c r="E17" s="691"/>
      <c r="F17" s="674">
        <v>1</v>
      </c>
      <c r="G17" s="675" t="s">
        <v>1451</v>
      </c>
      <c r="H17" s="676" t="s">
        <v>1571</v>
      </c>
      <c r="I17" s="674">
        <v>2</v>
      </c>
      <c r="J17" s="675" t="s">
        <v>1497</v>
      </c>
      <c r="K17" s="677" t="s">
        <v>1575</v>
      </c>
      <c r="L17" s="674">
        <v>3</v>
      </c>
      <c r="M17" s="678" t="s">
        <v>1503</v>
      </c>
      <c r="N17" s="677" t="s">
        <v>1584</v>
      </c>
      <c r="O17" s="674"/>
      <c r="P17" s="680"/>
      <c r="Q17" s="681"/>
      <c r="R17" s="674"/>
      <c r="S17" s="680"/>
      <c r="T17" s="681"/>
      <c r="U17" s="674"/>
      <c r="V17" s="680"/>
      <c r="W17" s="681"/>
      <c r="X17" s="674"/>
      <c r="Y17" s="680"/>
      <c r="Z17" s="681"/>
      <c r="AA17" s="674"/>
      <c r="AB17" s="680"/>
      <c r="AC17" s="681"/>
      <c r="AD17" s="674"/>
      <c r="AE17" s="680"/>
      <c r="AF17" s="681"/>
      <c r="AG17" s="674"/>
      <c r="AH17" s="680"/>
      <c r="AI17" s="681"/>
      <c r="AJ17" s="674"/>
      <c r="AK17" s="680"/>
      <c r="AL17" s="681"/>
    </row>
    <row r="18" spans="1:38" x14ac:dyDescent="0.55000000000000004">
      <c r="A18" s="670">
        <v>43480</v>
      </c>
      <c r="B18" s="671">
        <v>19015</v>
      </c>
      <c r="C18" s="672">
        <v>19016085</v>
      </c>
      <c r="D18" s="693" t="s">
        <v>1491</v>
      </c>
      <c r="E18" s="694"/>
      <c r="F18" s="674">
        <v>1</v>
      </c>
      <c r="G18" s="675" t="s">
        <v>657</v>
      </c>
      <c r="H18" s="676" t="s">
        <v>1571</v>
      </c>
      <c r="I18" s="674">
        <v>2</v>
      </c>
      <c r="J18" s="675" t="s">
        <v>1506</v>
      </c>
      <c r="K18" s="677" t="s">
        <v>1574</v>
      </c>
      <c r="L18" s="674">
        <v>3</v>
      </c>
      <c r="M18" s="678" t="s">
        <v>1502</v>
      </c>
      <c r="N18" s="677" t="s">
        <v>1575</v>
      </c>
      <c r="O18" s="674">
        <v>4</v>
      </c>
      <c r="P18" s="678" t="s">
        <v>1498</v>
      </c>
      <c r="Q18" s="677" t="s">
        <v>1596</v>
      </c>
      <c r="R18" s="674"/>
      <c r="S18" s="680"/>
      <c r="T18" s="681"/>
      <c r="U18" s="674"/>
      <c r="V18" s="680"/>
      <c r="W18" s="681"/>
      <c r="X18" s="674"/>
      <c r="Y18" s="680"/>
      <c r="Z18" s="681"/>
      <c r="AA18" s="674"/>
      <c r="AB18" s="680"/>
      <c r="AC18" s="681"/>
      <c r="AD18" s="674"/>
      <c r="AE18" s="680"/>
      <c r="AF18" s="681"/>
      <c r="AG18" s="674"/>
      <c r="AH18" s="680"/>
      <c r="AI18" s="681"/>
      <c r="AJ18" s="674"/>
      <c r="AK18" s="680"/>
      <c r="AL18" s="681"/>
    </row>
    <row r="19" spans="1:38" x14ac:dyDescent="0.55000000000000004">
      <c r="A19" s="682"/>
      <c r="B19" s="683">
        <v>19016</v>
      </c>
      <c r="C19" s="684"/>
      <c r="D19" s="685"/>
      <c r="E19" s="695"/>
      <c r="F19" s="674">
        <v>1</v>
      </c>
      <c r="G19" s="675" t="s">
        <v>658</v>
      </c>
      <c r="H19" s="676" t="s">
        <v>1571</v>
      </c>
      <c r="I19" s="674">
        <v>2</v>
      </c>
      <c r="J19" s="675" t="s">
        <v>1506</v>
      </c>
      <c r="K19" s="677" t="s">
        <v>1575</v>
      </c>
      <c r="L19" s="674">
        <v>3</v>
      </c>
      <c r="M19" s="678" t="s">
        <v>1502</v>
      </c>
      <c r="N19" s="677" t="s">
        <v>1575</v>
      </c>
      <c r="O19" s="674">
        <v>4</v>
      </c>
      <c r="P19" s="678" t="s">
        <v>1498</v>
      </c>
      <c r="Q19" s="677" t="s">
        <v>1595</v>
      </c>
      <c r="R19" s="674"/>
      <c r="S19" s="680"/>
      <c r="T19" s="681"/>
      <c r="U19" s="674"/>
      <c r="V19" s="680"/>
      <c r="W19" s="681"/>
      <c r="X19" s="674"/>
      <c r="Y19" s="680"/>
      <c r="Z19" s="681"/>
      <c r="AA19" s="674"/>
      <c r="AB19" s="680"/>
      <c r="AC19" s="681"/>
      <c r="AD19" s="674"/>
      <c r="AE19" s="680"/>
      <c r="AF19" s="681"/>
      <c r="AG19" s="674"/>
      <c r="AH19" s="680"/>
      <c r="AI19" s="681"/>
      <c r="AJ19" s="674"/>
      <c r="AK19" s="680"/>
      <c r="AL19" s="681"/>
    </row>
    <row r="20" spans="1:38" x14ac:dyDescent="0.55000000000000004">
      <c r="A20" s="686">
        <v>43486</v>
      </c>
      <c r="B20" s="687">
        <v>19017</v>
      </c>
      <c r="C20" s="675">
        <v>18095996</v>
      </c>
      <c r="D20" s="689" t="s">
        <v>1492</v>
      </c>
      <c r="E20" s="691"/>
      <c r="F20" s="674">
        <v>1</v>
      </c>
      <c r="G20" s="675" t="s">
        <v>593</v>
      </c>
      <c r="H20" s="676" t="s">
        <v>1581</v>
      </c>
      <c r="I20" s="674">
        <v>2</v>
      </c>
      <c r="J20" s="675" t="s">
        <v>1506</v>
      </c>
      <c r="K20" s="677" t="s">
        <v>1582</v>
      </c>
      <c r="L20" s="674">
        <v>3</v>
      </c>
      <c r="M20" s="678" t="s">
        <v>1507</v>
      </c>
      <c r="N20" s="677" t="s">
        <v>1582</v>
      </c>
      <c r="O20" s="674"/>
      <c r="P20" s="680"/>
      <c r="Q20" s="681"/>
      <c r="R20" s="674"/>
      <c r="S20" s="680"/>
      <c r="T20" s="681"/>
      <c r="U20" s="674"/>
      <c r="V20" s="680"/>
      <c r="W20" s="681"/>
      <c r="X20" s="674"/>
      <c r="Y20" s="680"/>
      <c r="Z20" s="681"/>
      <c r="AA20" s="674"/>
      <c r="AB20" s="680"/>
      <c r="AC20" s="681"/>
      <c r="AD20" s="674"/>
      <c r="AE20" s="680"/>
      <c r="AF20" s="681"/>
      <c r="AG20" s="674"/>
      <c r="AH20" s="680"/>
      <c r="AI20" s="681"/>
      <c r="AJ20" s="674"/>
      <c r="AK20" s="680"/>
      <c r="AL20" s="681"/>
    </row>
    <row r="21" spans="1:38" x14ac:dyDescent="0.55000000000000004">
      <c r="A21" s="670">
        <v>43487</v>
      </c>
      <c r="B21" s="692">
        <v>19018</v>
      </c>
      <c r="C21" s="672">
        <v>19016086</v>
      </c>
      <c r="D21" s="673" t="s">
        <v>1493</v>
      </c>
      <c r="E21" s="694"/>
      <c r="F21" s="674">
        <v>1</v>
      </c>
      <c r="G21" s="675" t="s">
        <v>593</v>
      </c>
      <c r="H21" s="676" t="s">
        <v>1579</v>
      </c>
      <c r="I21" s="674">
        <v>2</v>
      </c>
      <c r="J21" s="675" t="s">
        <v>1506</v>
      </c>
      <c r="K21" s="677" t="s">
        <v>1583</v>
      </c>
      <c r="L21" s="674">
        <v>3</v>
      </c>
      <c r="M21" s="678" t="s">
        <v>1507</v>
      </c>
      <c r="N21" s="677" t="s">
        <v>1583</v>
      </c>
      <c r="O21" s="674">
        <v>4</v>
      </c>
      <c r="P21" s="678" t="s">
        <v>1508</v>
      </c>
      <c r="Q21" s="677" t="s">
        <v>1594</v>
      </c>
      <c r="R21" s="674"/>
      <c r="S21" s="680"/>
      <c r="T21" s="681"/>
      <c r="U21" s="674"/>
      <c r="V21" s="680"/>
      <c r="W21" s="681"/>
      <c r="X21" s="674"/>
      <c r="Y21" s="680"/>
      <c r="Z21" s="681"/>
      <c r="AA21" s="674"/>
      <c r="AB21" s="680"/>
      <c r="AC21" s="681"/>
      <c r="AD21" s="674"/>
      <c r="AE21" s="680"/>
      <c r="AF21" s="681"/>
      <c r="AG21" s="674"/>
      <c r="AH21" s="680"/>
      <c r="AI21" s="681"/>
      <c r="AJ21" s="674"/>
      <c r="AK21" s="680"/>
      <c r="AL21" s="681"/>
    </row>
    <row r="22" spans="1:38" x14ac:dyDescent="0.55000000000000004">
      <c r="A22" s="698"/>
      <c r="B22" s="699">
        <v>19019</v>
      </c>
      <c r="C22" s="700"/>
      <c r="D22" s="701"/>
      <c r="E22" s="702"/>
      <c r="F22" s="674">
        <v>1</v>
      </c>
      <c r="G22" s="675" t="s">
        <v>593</v>
      </c>
      <c r="H22" s="676" t="s">
        <v>1579</v>
      </c>
      <c r="I22" s="674">
        <v>2</v>
      </c>
      <c r="J22" s="675" t="s">
        <v>1506</v>
      </c>
      <c r="K22" s="677" t="s">
        <v>1583</v>
      </c>
      <c r="L22" s="674">
        <v>3</v>
      </c>
      <c r="M22" s="678" t="s">
        <v>1507</v>
      </c>
      <c r="N22" s="677" t="s">
        <v>1583</v>
      </c>
      <c r="O22" s="674">
        <v>4</v>
      </c>
      <c r="P22" s="678" t="s">
        <v>1508</v>
      </c>
      <c r="Q22" s="677" t="s">
        <v>1594</v>
      </c>
      <c r="R22" s="674"/>
      <c r="S22" s="680"/>
      <c r="T22" s="681"/>
      <c r="U22" s="674"/>
      <c r="V22" s="680"/>
      <c r="W22" s="681"/>
      <c r="X22" s="674"/>
      <c r="Y22" s="680"/>
      <c r="Z22" s="681"/>
      <c r="AA22" s="674"/>
      <c r="AB22" s="680"/>
      <c r="AC22" s="681"/>
      <c r="AD22" s="674"/>
      <c r="AE22" s="680"/>
      <c r="AF22" s="681"/>
      <c r="AG22" s="674"/>
      <c r="AH22" s="680"/>
      <c r="AI22" s="681"/>
      <c r="AJ22" s="674"/>
      <c r="AK22" s="680"/>
      <c r="AL22" s="681"/>
    </row>
    <row r="23" spans="1:38" x14ac:dyDescent="0.55000000000000004">
      <c r="A23" s="698"/>
      <c r="B23" s="703">
        <v>19020</v>
      </c>
      <c r="C23" s="700"/>
      <c r="D23" s="704"/>
      <c r="E23" s="702"/>
      <c r="F23" s="674">
        <v>1</v>
      </c>
      <c r="G23" s="675" t="s">
        <v>593</v>
      </c>
      <c r="H23" s="676" t="s">
        <v>1579</v>
      </c>
      <c r="I23" s="674">
        <v>2</v>
      </c>
      <c r="J23" s="675" t="s">
        <v>1506</v>
      </c>
      <c r="K23" s="677" t="s">
        <v>1583</v>
      </c>
      <c r="L23" s="674">
        <v>3</v>
      </c>
      <c r="M23" s="678" t="s">
        <v>1507</v>
      </c>
      <c r="N23" s="677" t="s">
        <v>1583</v>
      </c>
      <c r="O23" s="674">
        <v>4</v>
      </c>
      <c r="P23" s="678" t="s">
        <v>1508</v>
      </c>
      <c r="Q23" s="677" t="s">
        <v>1594</v>
      </c>
      <c r="R23" s="674"/>
      <c r="S23" s="680"/>
      <c r="T23" s="681"/>
      <c r="U23" s="674"/>
      <c r="V23" s="680"/>
      <c r="W23" s="681"/>
      <c r="X23" s="674"/>
      <c r="Y23" s="680"/>
      <c r="Z23" s="681"/>
      <c r="AA23" s="674"/>
      <c r="AB23" s="680"/>
      <c r="AC23" s="681"/>
      <c r="AD23" s="674"/>
      <c r="AE23" s="680"/>
      <c r="AF23" s="681"/>
      <c r="AG23" s="674"/>
      <c r="AH23" s="680"/>
      <c r="AI23" s="681"/>
      <c r="AJ23" s="674"/>
      <c r="AK23" s="680"/>
      <c r="AL23" s="681"/>
    </row>
    <row r="24" spans="1:38" x14ac:dyDescent="0.55000000000000004">
      <c r="A24" s="682"/>
      <c r="B24" s="682">
        <v>19021</v>
      </c>
      <c r="C24" s="684"/>
      <c r="D24" s="685"/>
      <c r="E24" s="695"/>
      <c r="F24" s="674">
        <v>1</v>
      </c>
      <c r="G24" s="675" t="s">
        <v>593</v>
      </c>
      <c r="H24" s="676" t="s">
        <v>1579</v>
      </c>
      <c r="I24" s="674">
        <v>2</v>
      </c>
      <c r="J24" s="675" t="s">
        <v>1506</v>
      </c>
      <c r="K24" s="677" t="s">
        <v>1583</v>
      </c>
      <c r="L24" s="674">
        <v>3</v>
      </c>
      <c r="M24" s="678" t="s">
        <v>1507</v>
      </c>
      <c r="N24" s="677" t="s">
        <v>1583</v>
      </c>
      <c r="O24" s="674">
        <v>4</v>
      </c>
      <c r="P24" s="678" t="s">
        <v>1508</v>
      </c>
      <c r="Q24" s="677" t="s">
        <v>1594</v>
      </c>
      <c r="R24" s="674"/>
      <c r="S24" s="680"/>
      <c r="T24" s="681"/>
      <c r="U24" s="674"/>
      <c r="V24" s="680"/>
      <c r="W24" s="681"/>
      <c r="X24" s="674"/>
      <c r="Y24" s="680"/>
      <c r="Z24" s="681"/>
      <c r="AA24" s="674"/>
      <c r="AB24" s="680"/>
      <c r="AC24" s="681"/>
      <c r="AD24" s="674"/>
      <c r="AE24" s="680"/>
      <c r="AF24" s="681"/>
      <c r="AG24" s="674"/>
      <c r="AH24" s="680"/>
      <c r="AI24" s="681"/>
      <c r="AJ24" s="674"/>
      <c r="AK24" s="680"/>
      <c r="AL24" s="681"/>
    </row>
    <row r="25" spans="1:38" x14ac:dyDescent="0.55000000000000004">
      <c r="A25" s="670">
        <v>43487</v>
      </c>
      <c r="B25" s="692">
        <v>19022</v>
      </c>
      <c r="C25" s="672">
        <v>19016088</v>
      </c>
      <c r="D25" s="693" t="s">
        <v>1494</v>
      </c>
      <c r="E25" s="694"/>
      <c r="F25" s="674">
        <v>1</v>
      </c>
      <c r="G25" s="675" t="s">
        <v>593</v>
      </c>
      <c r="H25" s="676" t="s">
        <v>1579</v>
      </c>
      <c r="I25" s="674">
        <v>2</v>
      </c>
      <c r="J25" s="675" t="s">
        <v>1506</v>
      </c>
      <c r="K25" s="677" t="s">
        <v>1583</v>
      </c>
      <c r="L25" s="674">
        <v>3</v>
      </c>
      <c r="M25" s="678" t="s">
        <v>1507</v>
      </c>
      <c r="N25" s="677" t="s">
        <v>1583</v>
      </c>
      <c r="O25" s="674">
        <v>4</v>
      </c>
      <c r="P25" s="678" t="s">
        <v>1508</v>
      </c>
      <c r="Q25" s="677" t="s">
        <v>1594</v>
      </c>
      <c r="R25" s="674"/>
      <c r="S25" s="680"/>
      <c r="T25" s="681"/>
      <c r="U25" s="674"/>
      <c r="V25" s="680"/>
      <c r="W25" s="681"/>
      <c r="X25" s="674"/>
      <c r="Y25" s="680"/>
      <c r="Z25" s="681"/>
      <c r="AA25" s="674"/>
      <c r="AB25" s="680"/>
      <c r="AC25" s="681"/>
      <c r="AD25" s="674"/>
      <c r="AE25" s="680"/>
      <c r="AF25" s="681"/>
      <c r="AG25" s="674"/>
      <c r="AH25" s="680"/>
      <c r="AI25" s="681"/>
      <c r="AJ25" s="674"/>
      <c r="AK25" s="680"/>
      <c r="AL25" s="681"/>
    </row>
    <row r="26" spans="1:38" x14ac:dyDescent="0.55000000000000004">
      <c r="A26" s="682"/>
      <c r="B26" s="682">
        <v>19023</v>
      </c>
      <c r="C26" s="684"/>
      <c r="D26" s="685"/>
      <c r="E26" s="695"/>
      <c r="F26" s="674">
        <v>1</v>
      </c>
      <c r="G26" s="675" t="s">
        <v>593</v>
      </c>
      <c r="H26" s="676" t="s">
        <v>1579</v>
      </c>
      <c r="I26" s="674">
        <v>2</v>
      </c>
      <c r="J26" s="675" t="s">
        <v>1506</v>
      </c>
      <c r="K26" s="677" t="s">
        <v>1583</v>
      </c>
      <c r="L26" s="674">
        <v>3</v>
      </c>
      <c r="M26" s="678" t="s">
        <v>1507</v>
      </c>
      <c r="N26" s="677" t="s">
        <v>1583</v>
      </c>
      <c r="O26" s="674">
        <v>4</v>
      </c>
      <c r="P26" s="678" t="s">
        <v>1508</v>
      </c>
      <c r="Q26" s="677" t="s">
        <v>1594</v>
      </c>
      <c r="R26" s="674"/>
      <c r="S26" s="680"/>
      <c r="T26" s="681"/>
      <c r="U26" s="674"/>
      <c r="V26" s="680"/>
      <c r="W26" s="681"/>
      <c r="X26" s="674"/>
      <c r="Y26" s="680"/>
      <c r="Z26" s="681"/>
      <c r="AA26" s="674"/>
      <c r="AB26" s="680"/>
      <c r="AC26" s="681"/>
      <c r="AD26" s="674"/>
      <c r="AE26" s="680"/>
      <c r="AF26" s="681"/>
      <c r="AG26" s="674"/>
      <c r="AH26" s="680"/>
      <c r="AI26" s="681"/>
      <c r="AJ26" s="674"/>
      <c r="AK26" s="680"/>
      <c r="AL26" s="681"/>
    </row>
    <row r="27" spans="1:38" x14ac:dyDescent="0.55000000000000004">
      <c r="A27" s="686">
        <v>43487</v>
      </c>
      <c r="B27" s="687">
        <v>19024</v>
      </c>
      <c r="C27" s="675">
        <v>18116048</v>
      </c>
      <c r="D27" s="689" t="s">
        <v>1495</v>
      </c>
      <c r="E27" s="691"/>
      <c r="F27" s="674">
        <v>1</v>
      </c>
      <c r="G27" s="675" t="s">
        <v>1216</v>
      </c>
      <c r="H27" s="676" t="s">
        <v>1571</v>
      </c>
      <c r="I27" s="674">
        <v>2</v>
      </c>
      <c r="J27" s="675" t="s">
        <v>1503</v>
      </c>
      <c r="K27" s="677" t="s">
        <v>1584</v>
      </c>
      <c r="L27" s="674"/>
      <c r="M27" s="680"/>
      <c r="N27" s="681"/>
      <c r="O27" s="674"/>
      <c r="P27" s="680"/>
      <c r="Q27" s="681"/>
      <c r="R27" s="674"/>
      <c r="S27" s="680"/>
      <c r="T27" s="681"/>
      <c r="U27" s="674"/>
      <c r="V27" s="680"/>
      <c r="W27" s="681"/>
      <c r="X27" s="674"/>
      <c r="Y27" s="680"/>
      <c r="Z27" s="681"/>
      <c r="AA27" s="674"/>
      <c r="AB27" s="680"/>
      <c r="AC27" s="681"/>
      <c r="AD27" s="674"/>
      <c r="AE27" s="680"/>
      <c r="AF27" s="681"/>
      <c r="AG27" s="674"/>
      <c r="AH27" s="680"/>
      <c r="AI27" s="681"/>
      <c r="AJ27" s="674"/>
      <c r="AK27" s="680"/>
      <c r="AL27" s="681"/>
    </row>
    <row r="28" spans="1:38" x14ac:dyDescent="0.55000000000000004">
      <c r="A28" s="670">
        <v>43487</v>
      </c>
      <c r="B28" s="692">
        <v>19025</v>
      </c>
      <c r="C28" s="672">
        <v>18116043</v>
      </c>
      <c r="D28" s="673" t="s">
        <v>1495</v>
      </c>
      <c r="E28" s="694"/>
      <c r="F28" s="674">
        <v>1</v>
      </c>
      <c r="G28" s="675" t="s">
        <v>1509</v>
      </c>
      <c r="H28" s="676" t="s">
        <v>1571</v>
      </c>
      <c r="I28" s="674">
        <v>2</v>
      </c>
      <c r="J28" s="675" t="s">
        <v>1510</v>
      </c>
      <c r="K28" s="677" t="s">
        <v>1571</v>
      </c>
      <c r="L28" s="674">
        <v>3</v>
      </c>
      <c r="M28" s="678" t="s">
        <v>1511</v>
      </c>
      <c r="N28" s="677" t="s">
        <v>1574</v>
      </c>
      <c r="O28" s="674">
        <v>4</v>
      </c>
      <c r="P28" s="678" t="s">
        <v>1512</v>
      </c>
      <c r="Q28" s="677" t="s">
        <v>1575</v>
      </c>
      <c r="R28" s="674">
        <v>5</v>
      </c>
      <c r="S28" s="678" t="s">
        <v>1502</v>
      </c>
      <c r="T28" s="677" t="s">
        <v>1583</v>
      </c>
      <c r="U28" s="674">
        <v>6</v>
      </c>
      <c r="V28" s="678" t="s">
        <v>1498</v>
      </c>
      <c r="W28" s="677" t="s">
        <v>1588</v>
      </c>
      <c r="X28" s="674">
        <v>7</v>
      </c>
      <c r="Y28" s="678" t="s">
        <v>1513</v>
      </c>
      <c r="Z28" s="677" t="s">
        <v>1575</v>
      </c>
      <c r="AA28" s="674">
        <v>8</v>
      </c>
      <c r="AB28" s="678" t="s">
        <v>1514</v>
      </c>
      <c r="AC28" s="677" t="s">
        <v>1587</v>
      </c>
      <c r="AD28" s="674">
        <v>9</v>
      </c>
      <c r="AE28" s="678" t="s">
        <v>1515</v>
      </c>
      <c r="AF28" s="677" t="s">
        <v>1570</v>
      </c>
      <c r="AG28" s="674">
        <v>10</v>
      </c>
      <c r="AH28" s="678" t="s">
        <v>1516</v>
      </c>
      <c r="AI28" s="677" t="s">
        <v>1586</v>
      </c>
      <c r="AJ28" s="674">
        <v>11</v>
      </c>
      <c r="AK28" s="678" t="s">
        <v>1503</v>
      </c>
      <c r="AL28" s="677" t="s">
        <v>1585</v>
      </c>
    </row>
    <row r="29" spans="1:38" x14ac:dyDescent="0.55000000000000004">
      <c r="A29" s="682"/>
      <c r="B29" s="682">
        <v>19026</v>
      </c>
      <c r="C29" s="684"/>
      <c r="D29" s="705"/>
      <c r="E29" s="695"/>
      <c r="F29" s="674">
        <v>1</v>
      </c>
      <c r="G29" s="675" t="s">
        <v>1517</v>
      </c>
      <c r="H29" s="676" t="s">
        <v>1571</v>
      </c>
      <c r="I29" s="674">
        <v>2</v>
      </c>
      <c r="J29" s="675" t="s">
        <v>1518</v>
      </c>
      <c r="K29" s="677" t="s">
        <v>1571</v>
      </c>
      <c r="L29" s="674">
        <v>3</v>
      </c>
      <c r="M29" s="678" t="s">
        <v>1511</v>
      </c>
      <c r="N29" s="677" t="s">
        <v>1583</v>
      </c>
      <c r="O29" s="674">
        <v>4</v>
      </c>
      <c r="P29" s="678" t="s">
        <v>1512</v>
      </c>
      <c r="Q29" s="677" t="s">
        <v>1586</v>
      </c>
      <c r="R29" s="674">
        <v>5</v>
      </c>
      <c r="S29" s="678" t="s">
        <v>1502</v>
      </c>
      <c r="T29" s="677" t="s">
        <v>1574</v>
      </c>
      <c r="U29" s="674">
        <v>6</v>
      </c>
      <c r="V29" s="678" t="s">
        <v>1498</v>
      </c>
      <c r="W29" s="677" t="s">
        <v>1589</v>
      </c>
      <c r="X29" s="674">
        <v>7</v>
      </c>
      <c r="Y29" s="678" t="s">
        <v>1513</v>
      </c>
      <c r="Z29" s="677" t="s">
        <v>1586</v>
      </c>
      <c r="AA29" s="674">
        <v>8</v>
      </c>
      <c r="AB29" s="678" t="s">
        <v>1503</v>
      </c>
      <c r="AC29" s="677" t="s">
        <v>1585</v>
      </c>
      <c r="AD29" s="674"/>
      <c r="AE29" s="680"/>
      <c r="AF29" s="681"/>
      <c r="AG29" s="674"/>
      <c r="AH29" s="680"/>
      <c r="AI29" s="681"/>
      <c r="AJ29" s="674"/>
      <c r="AK29" s="680"/>
      <c r="AL29" s="681"/>
    </row>
    <row r="30" spans="1:38" x14ac:dyDescent="0.55000000000000004">
      <c r="A30" s="686">
        <v>43487</v>
      </c>
      <c r="B30" s="687">
        <v>19027</v>
      </c>
      <c r="C30" s="675">
        <v>18095997</v>
      </c>
      <c r="D30" s="689" t="s">
        <v>1496</v>
      </c>
      <c r="E30" s="691"/>
      <c r="F30" s="674">
        <v>1</v>
      </c>
      <c r="G30" s="675" t="s">
        <v>599</v>
      </c>
      <c r="H30" s="676" t="s">
        <v>1571</v>
      </c>
      <c r="I30" s="674">
        <v>2</v>
      </c>
      <c r="J30" s="675" t="s">
        <v>600</v>
      </c>
      <c r="K30" s="677" t="s">
        <v>1571</v>
      </c>
      <c r="L30" s="674">
        <v>3</v>
      </c>
      <c r="M30" s="678" t="s">
        <v>1511</v>
      </c>
      <c r="N30" s="677" t="s">
        <v>1574</v>
      </c>
      <c r="O30" s="674">
        <v>4</v>
      </c>
      <c r="P30" s="678" t="s">
        <v>1502</v>
      </c>
      <c r="Q30" s="677" t="s">
        <v>1575</v>
      </c>
      <c r="R30" s="674">
        <v>5</v>
      </c>
      <c r="S30" s="678" t="s">
        <v>1519</v>
      </c>
      <c r="T30" s="677" t="s">
        <v>1590</v>
      </c>
      <c r="U30" s="674"/>
      <c r="V30" s="680"/>
      <c r="W30" s="681"/>
      <c r="X30" s="674"/>
      <c r="Y30" s="680"/>
      <c r="Z30" s="681"/>
      <c r="AA30" s="674"/>
      <c r="AB30" s="680"/>
      <c r="AC30" s="681"/>
      <c r="AD30" s="674"/>
      <c r="AE30" s="680"/>
      <c r="AF30" s="681"/>
      <c r="AG30" s="674"/>
      <c r="AH30" s="680"/>
      <c r="AI30" s="681"/>
      <c r="AJ30" s="674"/>
      <c r="AK30" s="680"/>
      <c r="AL30" s="681"/>
    </row>
    <row r="31" spans="1:38" x14ac:dyDescent="0.55000000000000004">
      <c r="A31" s="686">
        <v>43490</v>
      </c>
      <c r="B31" s="687">
        <v>19028</v>
      </c>
      <c r="C31" s="675">
        <v>18095998</v>
      </c>
      <c r="D31" s="689" t="s">
        <v>1541</v>
      </c>
      <c r="E31" s="691"/>
      <c r="F31" s="674">
        <v>1</v>
      </c>
      <c r="G31" s="675" t="s">
        <v>593</v>
      </c>
      <c r="H31" s="676" t="s">
        <v>1581</v>
      </c>
      <c r="I31" s="674">
        <v>2</v>
      </c>
      <c r="J31" s="675" t="s">
        <v>1506</v>
      </c>
      <c r="K31" s="677" t="s">
        <v>1582</v>
      </c>
      <c r="L31" s="674">
        <v>3</v>
      </c>
      <c r="M31" s="678" t="s">
        <v>1507</v>
      </c>
      <c r="N31" s="677" t="s">
        <v>1582</v>
      </c>
      <c r="O31" s="674">
        <v>4</v>
      </c>
      <c r="P31" s="678" t="s">
        <v>1508</v>
      </c>
      <c r="Q31" s="677" t="s">
        <v>1592</v>
      </c>
      <c r="R31" s="674"/>
      <c r="S31" s="680"/>
      <c r="T31" s="681"/>
      <c r="U31" s="674"/>
      <c r="V31" s="680"/>
      <c r="W31" s="681"/>
      <c r="X31" s="674"/>
      <c r="Y31" s="680"/>
      <c r="Z31" s="681"/>
      <c r="AA31" s="674"/>
      <c r="AB31" s="680"/>
      <c r="AC31" s="681"/>
      <c r="AD31" s="674"/>
      <c r="AE31" s="680"/>
      <c r="AF31" s="681"/>
      <c r="AG31" s="674"/>
      <c r="AH31" s="680"/>
      <c r="AI31" s="681"/>
      <c r="AJ31" s="674"/>
      <c r="AK31" s="680"/>
      <c r="AL31" s="681"/>
    </row>
    <row r="32" spans="1:38" x14ac:dyDescent="0.55000000000000004">
      <c r="A32" s="686">
        <v>43494</v>
      </c>
      <c r="B32" s="687">
        <v>19029</v>
      </c>
      <c r="C32" s="675">
        <v>18126068</v>
      </c>
      <c r="D32" s="689" t="s">
        <v>1548</v>
      </c>
      <c r="E32" s="691"/>
      <c r="F32" s="674">
        <v>1</v>
      </c>
      <c r="G32" s="675" t="s">
        <v>1297</v>
      </c>
      <c r="H32" s="676" t="s">
        <v>1571</v>
      </c>
      <c r="I32" s="674">
        <v>2</v>
      </c>
      <c r="J32" s="675" t="s">
        <v>1298</v>
      </c>
      <c r="K32" s="677" t="s">
        <v>1571</v>
      </c>
      <c r="L32" s="674">
        <v>3</v>
      </c>
      <c r="M32" s="678" t="s">
        <v>1511</v>
      </c>
      <c r="N32" s="677" t="s">
        <v>1574</v>
      </c>
      <c r="O32" s="674">
        <v>4</v>
      </c>
      <c r="P32" s="678" t="s">
        <v>1507</v>
      </c>
      <c r="Q32" s="677" t="s">
        <v>1583</v>
      </c>
      <c r="R32" s="674">
        <v>5</v>
      </c>
      <c r="S32" s="678" t="s">
        <v>1498</v>
      </c>
      <c r="T32" s="677" t="s">
        <v>1591</v>
      </c>
      <c r="U32" s="674"/>
      <c r="V32" s="680"/>
      <c r="W32" s="681"/>
      <c r="X32" s="674"/>
      <c r="Y32" s="680"/>
      <c r="Z32" s="681"/>
      <c r="AA32" s="674"/>
      <c r="AB32" s="680"/>
      <c r="AC32" s="681"/>
      <c r="AD32" s="674"/>
      <c r="AE32" s="680"/>
      <c r="AF32" s="681"/>
      <c r="AG32" s="674"/>
      <c r="AH32" s="680"/>
      <c r="AI32" s="681"/>
      <c r="AJ32" s="674"/>
      <c r="AK32" s="680"/>
      <c r="AL32" s="681"/>
    </row>
    <row r="33" spans="1:38" x14ac:dyDescent="0.55000000000000004">
      <c r="A33" s="686">
        <v>43494</v>
      </c>
      <c r="B33" s="687">
        <v>19030</v>
      </c>
      <c r="C33" s="675">
        <v>18106005</v>
      </c>
      <c r="D33" s="689" t="s">
        <v>1549</v>
      </c>
      <c r="E33" s="691"/>
      <c r="F33" s="674">
        <v>1</v>
      </c>
      <c r="G33" s="675" t="s">
        <v>594</v>
      </c>
      <c r="H33" s="676" t="s">
        <v>1571</v>
      </c>
      <c r="I33" s="674">
        <v>2</v>
      </c>
      <c r="J33" s="675" t="s">
        <v>1506</v>
      </c>
      <c r="K33" s="677" t="s">
        <v>1575</v>
      </c>
      <c r="L33" s="674">
        <v>3</v>
      </c>
      <c r="M33" s="678" t="s">
        <v>1507</v>
      </c>
      <c r="N33" s="677" t="s">
        <v>1575</v>
      </c>
      <c r="O33" s="674">
        <v>4</v>
      </c>
      <c r="P33" s="678" t="s">
        <v>1498</v>
      </c>
      <c r="Q33" s="677" t="s">
        <v>1593</v>
      </c>
      <c r="R33" s="674"/>
      <c r="S33" s="680"/>
      <c r="T33" s="681"/>
      <c r="U33" s="674"/>
      <c r="V33" s="680"/>
      <c r="W33" s="681"/>
      <c r="X33" s="674"/>
      <c r="Y33" s="680"/>
      <c r="Z33" s="681"/>
      <c r="AA33" s="674"/>
      <c r="AB33" s="680"/>
      <c r="AC33" s="681"/>
      <c r="AD33" s="674"/>
      <c r="AE33" s="680"/>
      <c r="AF33" s="681"/>
      <c r="AG33" s="674"/>
      <c r="AH33" s="680"/>
      <c r="AI33" s="681"/>
      <c r="AJ33" s="674"/>
      <c r="AK33" s="680"/>
      <c r="AL33" s="681"/>
    </row>
    <row r="34" spans="1:38" x14ac:dyDescent="0.55000000000000004">
      <c r="A34" s="670">
        <v>43494</v>
      </c>
      <c r="B34" s="671">
        <v>19031</v>
      </c>
      <c r="C34" s="672">
        <v>19016088</v>
      </c>
      <c r="D34" s="673" t="s">
        <v>1494</v>
      </c>
      <c r="E34" s="691"/>
      <c r="F34" s="674">
        <v>1</v>
      </c>
      <c r="G34" s="675" t="s">
        <v>593</v>
      </c>
      <c r="H34" s="676" t="s">
        <v>1579</v>
      </c>
      <c r="I34" s="674">
        <v>2</v>
      </c>
      <c r="J34" s="675" t="s">
        <v>1506</v>
      </c>
      <c r="K34" s="677" t="s">
        <v>1583</v>
      </c>
      <c r="L34" s="674">
        <v>3</v>
      </c>
      <c r="M34" s="678" t="s">
        <v>1507</v>
      </c>
      <c r="N34" s="677" t="s">
        <v>1583</v>
      </c>
      <c r="O34" s="674">
        <v>4</v>
      </c>
      <c r="P34" s="678" t="s">
        <v>1508</v>
      </c>
      <c r="Q34" s="677" t="s">
        <v>1594</v>
      </c>
      <c r="R34" s="674"/>
      <c r="S34" s="680"/>
      <c r="T34" s="681"/>
      <c r="U34" s="674"/>
      <c r="V34" s="680"/>
      <c r="W34" s="681"/>
      <c r="X34" s="674"/>
      <c r="Y34" s="680"/>
      <c r="Z34" s="681"/>
      <c r="AA34" s="674"/>
      <c r="AB34" s="680"/>
      <c r="AC34" s="681"/>
      <c r="AD34" s="674"/>
      <c r="AE34" s="680"/>
      <c r="AF34" s="681"/>
      <c r="AG34" s="674"/>
      <c r="AH34" s="680"/>
      <c r="AI34" s="681"/>
      <c r="AJ34" s="674"/>
      <c r="AK34" s="680"/>
      <c r="AL34" s="681"/>
    </row>
    <row r="35" spans="1:38" x14ac:dyDescent="0.55000000000000004">
      <c r="A35" s="706"/>
      <c r="B35" s="683">
        <v>19032</v>
      </c>
      <c r="C35" s="684"/>
      <c r="D35" s="705"/>
      <c r="E35" s="691"/>
      <c r="F35" s="674">
        <v>1</v>
      </c>
      <c r="G35" s="675" t="s">
        <v>593</v>
      </c>
      <c r="H35" s="676" t="s">
        <v>1579</v>
      </c>
      <c r="I35" s="674">
        <v>2</v>
      </c>
      <c r="J35" s="675" t="s">
        <v>1506</v>
      </c>
      <c r="K35" s="677" t="s">
        <v>1583</v>
      </c>
      <c r="L35" s="674">
        <v>3</v>
      </c>
      <c r="M35" s="678" t="s">
        <v>1507</v>
      </c>
      <c r="N35" s="677" t="s">
        <v>1583</v>
      </c>
      <c r="O35" s="674">
        <v>4</v>
      </c>
      <c r="P35" s="678" t="s">
        <v>1508</v>
      </c>
      <c r="Q35" s="677" t="s">
        <v>1594</v>
      </c>
      <c r="R35" s="674"/>
      <c r="S35" s="680"/>
      <c r="T35" s="681"/>
      <c r="U35" s="674"/>
      <c r="V35" s="680"/>
      <c r="W35" s="681"/>
      <c r="X35" s="674"/>
      <c r="Y35" s="680"/>
      <c r="Z35" s="681"/>
      <c r="AA35" s="674"/>
      <c r="AB35" s="680"/>
      <c r="AC35" s="681"/>
      <c r="AD35" s="674"/>
      <c r="AE35" s="680"/>
      <c r="AF35" s="681"/>
      <c r="AG35" s="674"/>
      <c r="AH35" s="680"/>
      <c r="AI35" s="681"/>
      <c r="AJ35" s="674"/>
      <c r="AK35" s="680"/>
      <c r="AL35" s="681"/>
    </row>
    <row r="36" spans="1:38" x14ac:dyDescent="0.55000000000000004">
      <c r="A36" s="727">
        <v>43494</v>
      </c>
      <c r="B36" s="728">
        <v>19033</v>
      </c>
      <c r="C36" s="729">
        <v>18116053</v>
      </c>
      <c r="D36" s="730" t="s">
        <v>1550</v>
      </c>
      <c r="E36" s="694"/>
      <c r="F36" s="740">
        <v>1</v>
      </c>
      <c r="G36" s="741" t="s">
        <v>1230</v>
      </c>
      <c r="H36" s="742" t="s">
        <v>1571</v>
      </c>
      <c r="I36" s="740">
        <v>2</v>
      </c>
      <c r="J36" s="741" t="s">
        <v>1503</v>
      </c>
      <c r="K36" s="743" t="s">
        <v>1584</v>
      </c>
      <c r="L36" s="674"/>
      <c r="M36" s="680"/>
      <c r="N36" s="681"/>
      <c r="O36" s="674"/>
      <c r="P36" s="680"/>
      <c r="Q36" s="681"/>
      <c r="R36" s="674"/>
      <c r="S36" s="680"/>
      <c r="T36" s="681"/>
      <c r="U36" s="674"/>
      <c r="V36" s="680"/>
      <c r="W36" s="681"/>
      <c r="X36" s="674"/>
      <c r="Y36" s="680"/>
      <c r="Z36" s="681"/>
      <c r="AA36" s="674"/>
      <c r="AB36" s="680"/>
      <c r="AC36" s="681"/>
      <c r="AD36" s="674"/>
      <c r="AE36" s="680"/>
      <c r="AF36" s="681"/>
      <c r="AG36" s="674"/>
      <c r="AH36" s="680"/>
      <c r="AI36" s="681"/>
      <c r="AJ36" s="674"/>
      <c r="AK36" s="680"/>
      <c r="AL36" s="681"/>
    </row>
    <row r="37" spans="1:38" x14ac:dyDescent="0.55000000000000004">
      <c r="A37" s="731"/>
      <c r="B37" s="732">
        <v>19034</v>
      </c>
      <c r="C37" s="733"/>
      <c r="D37" s="734"/>
      <c r="E37" s="726"/>
      <c r="F37" s="740">
        <v>1</v>
      </c>
      <c r="G37" s="741" t="s">
        <v>1230</v>
      </c>
      <c r="H37" s="742" t="s">
        <v>1571</v>
      </c>
      <c r="I37" s="740">
        <v>2</v>
      </c>
      <c r="J37" s="741" t="s">
        <v>1503</v>
      </c>
      <c r="K37" s="743" t="s">
        <v>1584</v>
      </c>
      <c r="L37" s="674"/>
      <c r="M37" s="680"/>
      <c r="N37" s="681"/>
      <c r="O37" s="674"/>
      <c r="P37" s="680"/>
      <c r="Q37" s="681"/>
      <c r="R37" s="674"/>
      <c r="S37" s="680"/>
      <c r="T37" s="681"/>
      <c r="U37" s="674"/>
      <c r="V37" s="680"/>
      <c r="W37" s="681"/>
      <c r="X37" s="674"/>
      <c r="Y37" s="680"/>
      <c r="Z37" s="681"/>
      <c r="AA37" s="674"/>
      <c r="AB37" s="680"/>
      <c r="AC37" s="681"/>
      <c r="AD37" s="674"/>
      <c r="AE37" s="680"/>
      <c r="AF37" s="681"/>
      <c r="AG37" s="674"/>
      <c r="AH37" s="680"/>
      <c r="AI37" s="681"/>
      <c r="AJ37" s="674"/>
      <c r="AK37" s="680"/>
      <c r="AL37" s="681"/>
    </row>
    <row r="38" spans="1:38" x14ac:dyDescent="0.55000000000000004">
      <c r="A38" s="731"/>
      <c r="B38" s="735">
        <v>19035</v>
      </c>
      <c r="C38" s="733"/>
      <c r="D38" s="734"/>
      <c r="E38" s="726"/>
      <c r="F38" s="740">
        <v>1</v>
      </c>
      <c r="G38" s="741" t="s">
        <v>1230</v>
      </c>
      <c r="H38" s="742" t="s">
        <v>1571</v>
      </c>
      <c r="I38" s="740">
        <v>2</v>
      </c>
      <c r="J38" s="741" t="s">
        <v>1503</v>
      </c>
      <c r="K38" s="743" t="s">
        <v>1584</v>
      </c>
      <c r="L38" s="674"/>
      <c r="M38" s="680"/>
      <c r="N38" s="681"/>
      <c r="O38" s="674"/>
      <c r="P38" s="680"/>
      <c r="Q38" s="681"/>
      <c r="R38" s="674"/>
      <c r="S38" s="680"/>
      <c r="T38" s="681"/>
      <c r="U38" s="674"/>
      <c r="V38" s="680"/>
      <c r="W38" s="681"/>
      <c r="X38" s="674"/>
      <c r="Y38" s="680"/>
      <c r="Z38" s="681"/>
      <c r="AA38" s="674"/>
      <c r="AB38" s="680"/>
      <c r="AC38" s="681"/>
      <c r="AD38" s="674"/>
      <c r="AE38" s="680"/>
      <c r="AF38" s="681"/>
      <c r="AG38" s="674"/>
      <c r="AH38" s="680"/>
      <c r="AI38" s="681"/>
      <c r="AJ38" s="674"/>
      <c r="AK38" s="680"/>
      <c r="AL38" s="681"/>
    </row>
    <row r="39" spans="1:38" x14ac:dyDescent="0.55000000000000004">
      <c r="A39" s="731"/>
      <c r="B39" s="735">
        <v>19036</v>
      </c>
      <c r="C39" s="733"/>
      <c r="D39" s="734"/>
      <c r="E39" s="702"/>
      <c r="F39" s="740">
        <v>1</v>
      </c>
      <c r="G39" s="741" t="s">
        <v>1230</v>
      </c>
      <c r="H39" s="742" t="s">
        <v>1571</v>
      </c>
      <c r="I39" s="740">
        <v>2</v>
      </c>
      <c r="J39" s="741" t="s">
        <v>1503</v>
      </c>
      <c r="K39" s="743" t="s">
        <v>1584</v>
      </c>
      <c r="L39" s="674"/>
      <c r="M39" s="680"/>
      <c r="N39" s="681"/>
      <c r="O39" s="674"/>
      <c r="P39" s="680"/>
      <c r="Q39" s="681"/>
      <c r="R39" s="674"/>
      <c r="S39" s="680"/>
      <c r="T39" s="681"/>
      <c r="U39" s="674"/>
      <c r="V39" s="680"/>
      <c r="W39" s="681"/>
      <c r="X39" s="674"/>
      <c r="Y39" s="680"/>
      <c r="Z39" s="681"/>
      <c r="AA39" s="674"/>
      <c r="AB39" s="680"/>
      <c r="AC39" s="681"/>
      <c r="AD39" s="674"/>
      <c r="AE39" s="680"/>
      <c r="AF39" s="681"/>
      <c r="AG39" s="674"/>
      <c r="AH39" s="680"/>
      <c r="AI39" s="681"/>
      <c r="AJ39" s="674"/>
      <c r="AK39" s="680"/>
      <c r="AL39" s="681"/>
    </row>
    <row r="40" spans="1:38" x14ac:dyDescent="0.55000000000000004">
      <c r="A40" s="736"/>
      <c r="B40" s="737">
        <v>19037</v>
      </c>
      <c r="C40" s="738"/>
      <c r="D40" s="739"/>
      <c r="E40" s="708"/>
      <c r="F40" s="740">
        <v>1</v>
      </c>
      <c r="G40" s="741" t="s">
        <v>1230</v>
      </c>
      <c r="H40" s="742" t="s">
        <v>1571</v>
      </c>
      <c r="I40" s="740">
        <v>2</v>
      </c>
      <c r="J40" s="741" t="s">
        <v>1503</v>
      </c>
      <c r="K40" s="743" t="s">
        <v>1584</v>
      </c>
      <c r="L40" s="674"/>
      <c r="M40" s="680"/>
      <c r="N40" s="681"/>
      <c r="O40" s="674"/>
      <c r="P40" s="680"/>
      <c r="Q40" s="681"/>
      <c r="R40" s="674"/>
      <c r="S40" s="680"/>
      <c r="T40" s="681"/>
      <c r="U40" s="674"/>
      <c r="V40" s="680"/>
      <c r="W40" s="681"/>
      <c r="X40" s="674"/>
      <c r="Y40" s="680"/>
      <c r="Z40" s="681"/>
      <c r="AA40" s="674"/>
      <c r="AB40" s="680"/>
      <c r="AC40" s="681"/>
      <c r="AD40" s="674"/>
      <c r="AE40" s="680"/>
      <c r="AF40" s="681"/>
      <c r="AG40" s="674"/>
      <c r="AH40" s="680"/>
      <c r="AI40" s="681"/>
      <c r="AJ40" s="674"/>
      <c r="AK40" s="680"/>
      <c r="AL40" s="681"/>
    </row>
    <row r="41" spans="1:38" x14ac:dyDescent="0.55000000000000004">
      <c r="A41" s="686">
        <v>43496</v>
      </c>
      <c r="B41" s="687">
        <v>19038</v>
      </c>
      <c r="C41" s="675">
        <v>18116054</v>
      </c>
      <c r="D41" s="689" t="s">
        <v>1622</v>
      </c>
      <c r="E41" s="691"/>
      <c r="F41" s="674">
        <v>1</v>
      </c>
      <c r="G41" s="675" t="s">
        <v>599</v>
      </c>
      <c r="H41" s="676" t="s">
        <v>1571</v>
      </c>
      <c r="I41" s="674">
        <v>2</v>
      </c>
      <c r="J41" s="675" t="s">
        <v>600</v>
      </c>
      <c r="K41" s="677" t="s">
        <v>1571</v>
      </c>
      <c r="L41" s="674">
        <v>3</v>
      </c>
      <c r="M41" s="678" t="s">
        <v>1511</v>
      </c>
      <c r="N41" s="677" t="s">
        <v>1574</v>
      </c>
      <c r="O41" s="674">
        <v>4</v>
      </c>
      <c r="P41" s="678" t="s">
        <v>1502</v>
      </c>
      <c r="Q41" s="677" t="s">
        <v>1575</v>
      </c>
      <c r="R41" s="674">
        <v>5</v>
      </c>
      <c r="S41" s="678" t="s">
        <v>1498</v>
      </c>
      <c r="T41" s="677" t="s">
        <v>1590</v>
      </c>
      <c r="U41" s="674"/>
      <c r="V41" s="680"/>
      <c r="W41" s="681"/>
      <c r="X41" s="674"/>
      <c r="Y41" s="680"/>
      <c r="Z41" s="681"/>
      <c r="AA41" s="674"/>
      <c r="AB41" s="680"/>
      <c r="AC41" s="681"/>
      <c r="AD41" s="674"/>
      <c r="AE41" s="680"/>
      <c r="AF41" s="681"/>
      <c r="AG41" s="674"/>
      <c r="AH41" s="680"/>
      <c r="AI41" s="681"/>
      <c r="AJ41" s="674"/>
      <c r="AK41" s="680"/>
      <c r="AL41" s="681"/>
    </row>
    <row r="42" spans="1:38" x14ac:dyDescent="0.55000000000000004">
      <c r="A42" s="686">
        <v>43497</v>
      </c>
      <c r="B42" s="687">
        <v>19039</v>
      </c>
      <c r="C42" s="675">
        <v>19016106</v>
      </c>
      <c r="D42" s="689" t="s">
        <v>1623</v>
      </c>
      <c r="E42" s="691"/>
      <c r="F42" s="674">
        <v>1</v>
      </c>
      <c r="G42" s="675" t="s">
        <v>1558</v>
      </c>
      <c r="H42" s="676" t="s">
        <v>1571</v>
      </c>
      <c r="I42" s="674">
        <v>2</v>
      </c>
      <c r="J42" s="675" t="s">
        <v>1511</v>
      </c>
      <c r="K42" s="677" t="s">
        <v>1574</v>
      </c>
      <c r="L42" s="674">
        <v>3</v>
      </c>
      <c r="M42" s="678" t="s">
        <v>1502</v>
      </c>
      <c r="N42" s="677" t="s">
        <v>1575</v>
      </c>
      <c r="O42" s="674">
        <v>4</v>
      </c>
      <c r="P42" s="678" t="s">
        <v>1498</v>
      </c>
      <c r="Q42" s="677" t="s">
        <v>1629</v>
      </c>
      <c r="R42" s="674">
        <v>5</v>
      </c>
      <c r="S42" s="678" t="s">
        <v>1630</v>
      </c>
      <c r="T42" s="677" t="s">
        <v>1577</v>
      </c>
      <c r="U42" s="674">
        <v>6</v>
      </c>
      <c r="V42" s="696" t="s">
        <v>1503</v>
      </c>
      <c r="W42" s="697" t="s">
        <v>1584</v>
      </c>
      <c r="X42" s="674"/>
      <c r="Y42" s="680"/>
      <c r="Z42" s="681"/>
      <c r="AA42" s="674"/>
      <c r="AB42" s="680"/>
      <c r="AC42" s="681"/>
      <c r="AD42" s="674"/>
      <c r="AE42" s="680"/>
      <c r="AF42" s="681"/>
      <c r="AG42" s="674"/>
      <c r="AH42" s="680"/>
      <c r="AI42" s="681"/>
      <c r="AJ42" s="674"/>
      <c r="AK42" s="680"/>
      <c r="AL42" s="681"/>
    </row>
    <row r="43" spans="1:38" x14ac:dyDescent="0.55000000000000004">
      <c r="A43" s="686">
        <v>43498</v>
      </c>
      <c r="B43" s="687">
        <v>19040</v>
      </c>
      <c r="C43" s="675">
        <v>18126069</v>
      </c>
      <c r="D43" s="689" t="s">
        <v>543</v>
      </c>
      <c r="E43" s="691"/>
      <c r="F43" s="674">
        <v>1</v>
      </c>
      <c r="G43" s="675" t="s">
        <v>1295</v>
      </c>
      <c r="H43" s="676" t="s">
        <v>1579</v>
      </c>
      <c r="I43" s="674">
        <v>2</v>
      </c>
      <c r="J43" s="675" t="s">
        <v>1631</v>
      </c>
      <c r="K43" s="677" t="s">
        <v>1582</v>
      </c>
      <c r="L43" s="674">
        <v>3</v>
      </c>
      <c r="M43" s="678" t="s">
        <v>1502</v>
      </c>
      <c r="N43" s="677" t="s">
        <v>1583</v>
      </c>
      <c r="O43" s="674">
        <v>4</v>
      </c>
      <c r="P43" s="678" t="s">
        <v>1503</v>
      </c>
      <c r="Q43" s="677" t="s">
        <v>1632</v>
      </c>
      <c r="R43" s="674"/>
      <c r="S43" s="680"/>
      <c r="T43" s="681"/>
      <c r="U43" s="674"/>
      <c r="V43" s="680"/>
      <c r="W43" s="681"/>
      <c r="X43" s="674"/>
      <c r="Y43" s="680"/>
      <c r="Z43" s="681"/>
      <c r="AA43" s="674"/>
      <c r="AB43" s="680"/>
      <c r="AC43" s="681"/>
      <c r="AD43" s="674"/>
      <c r="AE43" s="680"/>
      <c r="AF43" s="681"/>
      <c r="AG43" s="674"/>
      <c r="AH43" s="680"/>
      <c r="AI43" s="681"/>
      <c r="AJ43" s="674"/>
      <c r="AK43" s="680"/>
      <c r="AL43" s="681"/>
    </row>
    <row r="44" spans="1:38" x14ac:dyDescent="0.55000000000000004">
      <c r="A44" s="686">
        <v>43501</v>
      </c>
      <c r="B44" s="687">
        <v>19041</v>
      </c>
      <c r="C44" s="675">
        <v>19016100</v>
      </c>
      <c r="D44" s="689" t="s">
        <v>1624</v>
      </c>
      <c r="E44" s="691"/>
      <c r="F44" s="674">
        <v>1</v>
      </c>
      <c r="G44" s="675" t="s">
        <v>1527</v>
      </c>
      <c r="H44" s="676" t="s">
        <v>1571</v>
      </c>
      <c r="I44" s="674"/>
      <c r="J44" s="690"/>
      <c r="K44" s="681"/>
      <c r="L44" s="674"/>
      <c r="M44" s="680"/>
      <c r="N44" s="681"/>
      <c r="O44" s="674"/>
      <c r="P44" s="680"/>
      <c r="Q44" s="681"/>
      <c r="R44" s="674"/>
      <c r="S44" s="680"/>
      <c r="T44" s="681"/>
      <c r="U44" s="674"/>
      <c r="V44" s="680"/>
      <c r="W44" s="681"/>
      <c r="X44" s="674"/>
      <c r="Y44" s="680"/>
      <c r="Z44" s="681"/>
      <c r="AA44" s="674"/>
      <c r="AB44" s="680"/>
      <c r="AC44" s="681"/>
      <c r="AD44" s="674"/>
      <c r="AE44" s="680"/>
      <c r="AF44" s="681"/>
      <c r="AG44" s="674"/>
      <c r="AH44" s="680"/>
      <c r="AI44" s="681"/>
      <c r="AJ44" s="674"/>
      <c r="AK44" s="680"/>
      <c r="AL44" s="681"/>
    </row>
    <row r="45" spans="1:38" x14ac:dyDescent="0.55000000000000004">
      <c r="A45" s="686">
        <v>43501</v>
      </c>
      <c r="B45" s="687">
        <v>19042</v>
      </c>
      <c r="C45" s="675">
        <v>19016107</v>
      </c>
      <c r="D45" s="689" t="s">
        <v>1624</v>
      </c>
      <c r="E45" s="691"/>
      <c r="F45" s="674">
        <v>1</v>
      </c>
      <c r="G45" s="675" t="s">
        <v>1555</v>
      </c>
      <c r="H45" s="676" t="s">
        <v>1579</v>
      </c>
      <c r="I45" s="674">
        <v>2</v>
      </c>
      <c r="J45" s="675" t="s">
        <v>1511</v>
      </c>
      <c r="K45" s="677" t="s">
        <v>1633</v>
      </c>
      <c r="L45" s="674">
        <v>3</v>
      </c>
      <c r="M45" s="678" t="s">
        <v>1507</v>
      </c>
      <c r="N45" s="677" t="s">
        <v>1583</v>
      </c>
      <c r="O45" s="674">
        <v>4</v>
      </c>
      <c r="P45" s="678" t="s">
        <v>1498</v>
      </c>
      <c r="Q45" s="677" t="s">
        <v>1590</v>
      </c>
      <c r="R45" s="674"/>
      <c r="S45" s="680"/>
      <c r="T45" s="681"/>
      <c r="U45" s="674"/>
      <c r="V45" s="680"/>
      <c r="W45" s="681"/>
      <c r="X45" s="674"/>
      <c r="Y45" s="680"/>
      <c r="Z45" s="681"/>
      <c r="AA45" s="674"/>
      <c r="AB45" s="680"/>
      <c r="AC45" s="681"/>
      <c r="AD45" s="674"/>
      <c r="AE45" s="680"/>
      <c r="AF45" s="681"/>
      <c r="AG45" s="674"/>
      <c r="AH45" s="680"/>
      <c r="AI45" s="681"/>
      <c r="AJ45" s="674"/>
      <c r="AK45" s="680"/>
      <c r="AL45" s="681"/>
    </row>
    <row r="46" spans="1:38" x14ac:dyDescent="0.55000000000000004">
      <c r="A46" s="670">
        <v>43502</v>
      </c>
      <c r="B46" s="692">
        <v>19043</v>
      </c>
      <c r="C46" s="672">
        <v>19016084</v>
      </c>
      <c r="D46" s="673" t="s">
        <v>1494</v>
      </c>
      <c r="E46" s="694"/>
      <c r="F46" s="674">
        <v>1</v>
      </c>
      <c r="G46" s="675" t="s">
        <v>593</v>
      </c>
      <c r="H46" s="676" t="s">
        <v>1579</v>
      </c>
      <c r="I46" s="674">
        <v>2</v>
      </c>
      <c r="J46" s="675" t="s">
        <v>1506</v>
      </c>
      <c r="K46" s="677" t="s">
        <v>1583</v>
      </c>
      <c r="L46" s="674">
        <v>3</v>
      </c>
      <c r="M46" s="678" t="s">
        <v>1507</v>
      </c>
      <c r="N46" s="677" t="s">
        <v>1583</v>
      </c>
      <c r="O46" s="674">
        <v>4</v>
      </c>
      <c r="P46" s="678" t="s">
        <v>1508</v>
      </c>
      <c r="Q46" s="677" t="s">
        <v>1594</v>
      </c>
      <c r="R46" s="674"/>
      <c r="S46" s="680"/>
      <c r="T46" s="681"/>
      <c r="U46" s="674"/>
      <c r="V46" s="680"/>
      <c r="W46" s="681"/>
      <c r="X46" s="674"/>
      <c r="Y46" s="680"/>
      <c r="Z46" s="681"/>
      <c r="AA46" s="674"/>
      <c r="AB46" s="680"/>
      <c r="AC46" s="681"/>
      <c r="AD46" s="674"/>
      <c r="AE46" s="680"/>
      <c r="AF46" s="681"/>
      <c r="AG46" s="674"/>
      <c r="AH46" s="680"/>
      <c r="AI46" s="681"/>
      <c r="AJ46" s="674"/>
      <c r="AK46" s="680"/>
      <c r="AL46" s="681"/>
    </row>
    <row r="47" spans="1:38" x14ac:dyDescent="0.55000000000000004">
      <c r="A47" s="706"/>
      <c r="B47" s="682">
        <v>19044</v>
      </c>
      <c r="C47" s="684"/>
      <c r="D47" s="705"/>
      <c r="E47" s="708"/>
      <c r="F47" s="674">
        <v>1</v>
      </c>
      <c r="G47" s="675" t="s">
        <v>593</v>
      </c>
      <c r="H47" s="676" t="s">
        <v>1579</v>
      </c>
      <c r="I47" s="674">
        <v>2</v>
      </c>
      <c r="J47" s="675" t="s">
        <v>1506</v>
      </c>
      <c r="K47" s="677" t="s">
        <v>1583</v>
      </c>
      <c r="L47" s="674">
        <v>3</v>
      </c>
      <c r="M47" s="678" t="s">
        <v>1507</v>
      </c>
      <c r="N47" s="677" t="s">
        <v>1583</v>
      </c>
      <c r="O47" s="674">
        <v>4</v>
      </c>
      <c r="P47" s="678" t="s">
        <v>1508</v>
      </c>
      <c r="Q47" s="677" t="s">
        <v>1594</v>
      </c>
      <c r="R47" s="674"/>
      <c r="S47" s="680"/>
      <c r="T47" s="681"/>
      <c r="U47" s="674"/>
      <c r="V47" s="680"/>
      <c r="W47" s="681"/>
      <c r="X47" s="674"/>
      <c r="Y47" s="680"/>
      <c r="Z47" s="681"/>
      <c r="AA47" s="674"/>
      <c r="AB47" s="680"/>
      <c r="AC47" s="681"/>
      <c r="AD47" s="674"/>
      <c r="AE47" s="680"/>
      <c r="AF47" s="681"/>
      <c r="AG47" s="674"/>
      <c r="AH47" s="680"/>
      <c r="AI47" s="681"/>
      <c r="AJ47" s="674"/>
      <c r="AK47" s="680"/>
      <c r="AL47" s="681"/>
    </row>
    <row r="48" spans="1:38" x14ac:dyDescent="0.55000000000000004">
      <c r="A48" s="686">
        <v>43504</v>
      </c>
      <c r="B48" s="687">
        <v>19045</v>
      </c>
      <c r="C48" s="675">
        <v>19016103</v>
      </c>
      <c r="D48" s="689" t="s">
        <v>1625</v>
      </c>
      <c r="E48" s="691"/>
      <c r="F48" s="674">
        <v>1</v>
      </c>
      <c r="G48" s="675" t="s">
        <v>1564</v>
      </c>
      <c r="H48" s="676" t="s">
        <v>1571</v>
      </c>
      <c r="I48" s="674">
        <v>2</v>
      </c>
      <c r="J48" s="675" t="s">
        <v>1634</v>
      </c>
      <c r="K48" s="677" t="s">
        <v>1574</v>
      </c>
      <c r="L48" s="674">
        <v>3</v>
      </c>
      <c r="M48" s="678" t="s">
        <v>1502</v>
      </c>
      <c r="N48" s="677" t="s">
        <v>1574</v>
      </c>
      <c r="O48" s="674">
        <v>4</v>
      </c>
      <c r="P48" s="678" t="s">
        <v>1498</v>
      </c>
      <c r="Q48" s="677" t="s">
        <v>1635</v>
      </c>
      <c r="R48" s="674">
        <v>5</v>
      </c>
      <c r="S48" s="678" t="s">
        <v>1636</v>
      </c>
      <c r="T48" s="677" t="s">
        <v>1575</v>
      </c>
      <c r="U48" s="674"/>
      <c r="V48" s="680"/>
      <c r="W48" s="681"/>
      <c r="X48" s="674"/>
      <c r="Y48" s="680"/>
      <c r="Z48" s="681"/>
      <c r="AA48" s="674"/>
      <c r="AB48" s="680"/>
      <c r="AC48" s="681"/>
      <c r="AD48" s="674"/>
      <c r="AE48" s="680"/>
      <c r="AF48" s="681"/>
      <c r="AG48" s="674"/>
      <c r="AH48" s="680"/>
      <c r="AI48" s="681"/>
      <c r="AJ48" s="674"/>
      <c r="AK48" s="680"/>
      <c r="AL48" s="681"/>
    </row>
    <row r="49" spans="1:38" x14ac:dyDescent="0.55000000000000004">
      <c r="A49" s="670">
        <v>43507</v>
      </c>
      <c r="B49" s="692">
        <v>19046</v>
      </c>
      <c r="C49" s="672">
        <v>19016094</v>
      </c>
      <c r="D49" s="673" t="s">
        <v>1626</v>
      </c>
      <c r="E49" s="725"/>
      <c r="F49" s="674">
        <v>1</v>
      </c>
      <c r="G49" s="675" t="s">
        <v>829</v>
      </c>
      <c r="H49" s="676" t="s">
        <v>1581</v>
      </c>
      <c r="I49" s="674">
        <v>2</v>
      </c>
      <c r="J49" s="675" t="s">
        <v>1506</v>
      </c>
      <c r="K49" s="677" t="s">
        <v>1583</v>
      </c>
      <c r="L49" s="674">
        <v>3</v>
      </c>
      <c r="M49" s="678" t="s">
        <v>1507</v>
      </c>
      <c r="N49" s="677" t="s">
        <v>1582</v>
      </c>
      <c r="O49" s="674">
        <v>4</v>
      </c>
      <c r="P49" s="678" t="s">
        <v>1498</v>
      </c>
      <c r="Q49" s="677" t="s">
        <v>1637</v>
      </c>
      <c r="R49" s="674"/>
      <c r="S49" s="680"/>
      <c r="T49" s="681"/>
      <c r="U49" s="674"/>
      <c r="V49" s="680"/>
      <c r="W49" s="681"/>
      <c r="X49" s="674"/>
      <c r="Y49" s="680"/>
      <c r="Z49" s="681"/>
      <c r="AA49" s="674"/>
      <c r="AB49" s="680"/>
      <c r="AC49" s="681"/>
      <c r="AD49" s="674"/>
      <c r="AE49" s="680"/>
      <c r="AF49" s="681"/>
      <c r="AG49" s="674"/>
      <c r="AH49" s="680"/>
      <c r="AI49" s="681"/>
      <c r="AJ49" s="674"/>
      <c r="AK49" s="680"/>
      <c r="AL49" s="681"/>
    </row>
    <row r="50" spans="1:38" x14ac:dyDescent="0.55000000000000004">
      <c r="A50" s="706"/>
      <c r="B50" s="682">
        <v>19047</v>
      </c>
      <c r="C50" s="684"/>
      <c r="D50" s="705"/>
      <c r="E50" s="695"/>
      <c r="F50" s="674">
        <v>1</v>
      </c>
      <c r="G50" s="675" t="s">
        <v>829</v>
      </c>
      <c r="H50" s="676" t="s">
        <v>1581</v>
      </c>
      <c r="I50" s="674">
        <v>2</v>
      </c>
      <c r="J50" s="675" t="s">
        <v>1506</v>
      </c>
      <c r="K50" s="677" t="s">
        <v>1583</v>
      </c>
      <c r="L50" s="674">
        <v>3</v>
      </c>
      <c r="M50" s="678" t="s">
        <v>1507</v>
      </c>
      <c r="N50" s="677" t="s">
        <v>1582</v>
      </c>
      <c r="O50" s="674">
        <v>4</v>
      </c>
      <c r="P50" s="678" t="s">
        <v>1498</v>
      </c>
      <c r="Q50" s="677" t="s">
        <v>1637</v>
      </c>
      <c r="R50" s="674"/>
      <c r="S50" s="680"/>
      <c r="T50" s="681"/>
      <c r="U50" s="674"/>
      <c r="V50" s="680"/>
      <c r="W50" s="681"/>
      <c r="X50" s="674"/>
      <c r="Y50" s="680"/>
      <c r="Z50" s="681"/>
      <c r="AA50" s="674"/>
      <c r="AB50" s="680"/>
      <c r="AC50" s="681"/>
      <c r="AD50" s="674"/>
      <c r="AE50" s="680"/>
      <c r="AF50" s="681"/>
      <c r="AG50" s="674"/>
      <c r="AH50" s="680"/>
      <c r="AI50" s="681"/>
      <c r="AJ50" s="674"/>
      <c r="AK50" s="680"/>
      <c r="AL50" s="681"/>
    </row>
    <row r="51" spans="1:38" x14ac:dyDescent="0.55000000000000004">
      <c r="A51" s="686">
        <v>43508</v>
      </c>
      <c r="B51" s="687">
        <v>19048</v>
      </c>
      <c r="C51" s="675">
        <v>19026115</v>
      </c>
      <c r="D51" s="689" t="s">
        <v>1627</v>
      </c>
      <c r="E51" s="691"/>
      <c r="F51" s="674">
        <v>1</v>
      </c>
      <c r="G51" s="675" t="s">
        <v>1603</v>
      </c>
      <c r="H51" s="676" t="s">
        <v>1571</v>
      </c>
      <c r="I51" s="674">
        <v>2</v>
      </c>
      <c r="J51" s="675" t="s">
        <v>1503</v>
      </c>
      <c r="K51" s="677" t="s">
        <v>1584</v>
      </c>
      <c r="L51" s="674"/>
      <c r="M51" s="680"/>
      <c r="N51" s="681"/>
      <c r="O51" s="674"/>
      <c r="P51" s="680"/>
      <c r="Q51" s="681"/>
      <c r="R51" s="674"/>
      <c r="S51" s="680"/>
      <c r="T51" s="681"/>
      <c r="U51" s="674"/>
      <c r="V51" s="680"/>
      <c r="W51" s="681"/>
      <c r="X51" s="674"/>
      <c r="Y51" s="680"/>
      <c r="Z51" s="681"/>
      <c r="AA51" s="674"/>
      <c r="AB51" s="680"/>
      <c r="AC51" s="681"/>
      <c r="AD51" s="674"/>
      <c r="AE51" s="680"/>
      <c r="AF51" s="681"/>
      <c r="AG51" s="674"/>
      <c r="AH51" s="680"/>
      <c r="AI51" s="681"/>
      <c r="AJ51" s="674"/>
      <c r="AK51" s="680"/>
      <c r="AL51" s="681"/>
    </row>
    <row r="52" spans="1:38" x14ac:dyDescent="0.55000000000000004">
      <c r="A52" s="670">
        <v>43508</v>
      </c>
      <c r="B52" s="692">
        <v>19049</v>
      </c>
      <c r="C52" s="672">
        <v>18126070</v>
      </c>
      <c r="D52" s="673" t="s">
        <v>1628</v>
      </c>
      <c r="E52" s="725"/>
      <c r="F52" s="674">
        <v>1</v>
      </c>
      <c r="G52" s="675" t="s">
        <v>651</v>
      </c>
      <c r="H52" s="676" t="s">
        <v>1571</v>
      </c>
      <c r="I52" s="674">
        <v>2</v>
      </c>
      <c r="J52" s="675" t="s">
        <v>1503</v>
      </c>
      <c r="K52" s="677" t="s">
        <v>1632</v>
      </c>
      <c r="L52" s="674"/>
      <c r="M52" s="680"/>
      <c r="N52" s="681"/>
      <c r="O52" s="674"/>
      <c r="P52" s="680"/>
      <c r="Q52" s="681"/>
      <c r="R52" s="674"/>
      <c r="S52" s="680"/>
      <c r="T52" s="681"/>
      <c r="U52" s="674"/>
      <c r="V52" s="680"/>
      <c r="W52" s="681"/>
      <c r="X52" s="674"/>
      <c r="Y52" s="680"/>
      <c r="Z52" s="681"/>
      <c r="AA52" s="674"/>
      <c r="AB52" s="680"/>
      <c r="AC52" s="681"/>
      <c r="AD52" s="674"/>
      <c r="AE52" s="680"/>
      <c r="AF52" s="681"/>
      <c r="AG52" s="674"/>
      <c r="AH52" s="680"/>
      <c r="AI52" s="681"/>
      <c r="AJ52" s="674"/>
      <c r="AK52" s="680"/>
      <c r="AL52" s="681"/>
    </row>
    <row r="53" spans="1:38" x14ac:dyDescent="0.55000000000000004">
      <c r="A53" s="706"/>
      <c r="B53" s="682">
        <v>19050</v>
      </c>
      <c r="C53" s="684"/>
      <c r="D53" s="685"/>
      <c r="E53" s="695"/>
      <c r="F53" s="674">
        <v>1</v>
      </c>
      <c r="G53" s="675" t="s">
        <v>651</v>
      </c>
      <c r="H53" s="676" t="s">
        <v>1571</v>
      </c>
      <c r="I53" s="674">
        <v>2</v>
      </c>
      <c r="J53" s="675" t="s">
        <v>1503</v>
      </c>
      <c r="K53" s="677" t="s">
        <v>1632</v>
      </c>
      <c r="L53" s="674"/>
      <c r="M53" s="680"/>
      <c r="N53" s="681"/>
      <c r="O53" s="674"/>
      <c r="P53" s="680"/>
      <c r="Q53" s="681"/>
      <c r="R53" s="674"/>
      <c r="S53" s="680"/>
      <c r="T53" s="681"/>
      <c r="U53" s="674"/>
      <c r="V53" s="680"/>
      <c r="W53" s="681"/>
      <c r="X53" s="674"/>
      <c r="Y53" s="680"/>
      <c r="Z53" s="681"/>
      <c r="AA53" s="674"/>
      <c r="AB53" s="680"/>
      <c r="AC53" s="681"/>
      <c r="AD53" s="674"/>
      <c r="AE53" s="680"/>
      <c r="AF53" s="681"/>
      <c r="AG53" s="674"/>
      <c r="AH53" s="680"/>
      <c r="AI53" s="681"/>
      <c r="AJ53" s="674"/>
      <c r="AK53" s="680"/>
      <c r="AL53" s="681"/>
    </row>
    <row r="54" spans="1:38" x14ac:dyDescent="0.55000000000000004">
      <c r="A54" s="670">
        <v>43509</v>
      </c>
      <c r="B54" s="692">
        <v>19051</v>
      </c>
      <c r="C54" s="672">
        <v>19016088</v>
      </c>
      <c r="D54" s="673" t="s">
        <v>1494</v>
      </c>
      <c r="E54" s="725"/>
      <c r="F54" s="674">
        <v>1</v>
      </c>
      <c r="G54" s="675" t="s">
        <v>593</v>
      </c>
      <c r="H54" s="676" t="s">
        <v>1579</v>
      </c>
      <c r="I54" s="674">
        <v>2</v>
      </c>
      <c r="J54" s="675" t="s">
        <v>1506</v>
      </c>
      <c r="K54" s="677" t="s">
        <v>1583</v>
      </c>
      <c r="L54" s="674">
        <v>3</v>
      </c>
      <c r="M54" s="678" t="s">
        <v>1507</v>
      </c>
      <c r="N54" s="677" t="s">
        <v>1583</v>
      </c>
      <c r="O54" s="674">
        <v>4</v>
      </c>
      <c r="P54" s="678" t="s">
        <v>1508</v>
      </c>
      <c r="Q54" s="677" t="s">
        <v>1594</v>
      </c>
      <c r="R54" s="674"/>
      <c r="S54" s="680"/>
      <c r="T54" s="681"/>
      <c r="U54" s="674"/>
      <c r="V54" s="680"/>
      <c r="W54" s="681"/>
      <c r="X54" s="674"/>
      <c r="Y54" s="680"/>
      <c r="Z54" s="681"/>
      <c r="AA54" s="674"/>
      <c r="AB54" s="680"/>
      <c r="AC54" s="681"/>
      <c r="AD54" s="674"/>
      <c r="AE54" s="680"/>
      <c r="AF54" s="681"/>
      <c r="AG54" s="674"/>
      <c r="AH54" s="680"/>
      <c r="AI54" s="681"/>
      <c r="AJ54" s="674"/>
      <c r="AK54" s="680"/>
      <c r="AL54" s="681"/>
    </row>
    <row r="55" spans="1:38" x14ac:dyDescent="0.55000000000000004">
      <c r="A55" s="682"/>
      <c r="B55" s="682">
        <v>19052</v>
      </c>
      <c r="C55" s="684"/>
      <c r="D55" s="685"/>
      <c r="E55" s="695"/>
      <c r="F55" s="674">
        <v>1</v>
      </c>
      <c r="G55" s="675" t="s">
        <v>593</v>
      </c>
      <c r="H55" s="676" t="s">
        <v>1579</v>
      </c>
      <c r="I55" s="674">
        <v>2</v>
      </c>
      <c r="J55" s="675" t="s">
        <v>1506</v>
      </c>
      <c r="K55" s="677" t="s">
        <v>1583</v>
      </c>
      <c r="L55" s="674">
        <v>3</v>
      </c>
      <c r="M55" s="678" t="s">
        <v>1507</v>
      </c>
      <c r="N55" s="677" t="s">
        <v>1583</v>
      </c>
      <c r="O55" s="674">
        <v>4</v>
      </c>
      <c r="P55" s="678" t="s">
        <v>1508</v>
      </c>
      <c r="Q55" s="677" t="s">
        <v>1594</v>
      </c>
      <c r="R55" s="674"/>
      <c r="S55" s="680"/>
      <c r="T55" s="681"/>
      <c r="U55" s="674"/>
      <c r="V55" s="680"/>
      <c r="W55" s="681"/>
      <c r="X55" s="674"/>
      <c r="Y55" s="680"/>
      <c r="Z55" s="681"/>
      <c r="AA55" s="674"/>
      <c r="AB55" s="680"/>
      <c r="AC55" s="681"/>
      <c r="AD55" s="674"/>
      <c r="AE55" s="680"/>
      <c r="AF55" s="681"/>
      <c r="AG55" s="674"/>
      <c r="AH55" s="680"/>
      <c r="AI55" s="681"/>
      <c r="AJ55" s="674"/>
      <c r="AK55" s="680"/>
      <c r="AL55" s="681"/>
    </row>
    <row r="56" spans="1:38" x14ac:dyDescent="0.55000000000000004">
      <c r="A56" s="707">
        <v>43511</v>
      </c>
      <c r="B56" s="692">
        <v>19053</v>
      </c>
      <c r="C56" s="700">
        <v>19026119</v>
      </c>
      <c r="D56" s="701" t="s">
        <v>1677</v>
      </c>
      <c r="E56" s="702"/>
      <c r="F56" s="674">
        <v>1</v>
      </c>
      <c r="G56" s="675" t="s">
        <v>715</v>
      </c>
      <c r="H56" s="676" t="s">
        <v>1571</v>
      </c>
      <c r="I56" s="674">
        <v>2</v>
      </c>
      <c r="J56" s="675" t="s">
        <v>1634</v>
      </c>
      <c r="K56" s="677" t="s">
        <v>1574</v>
      </c>
      <c r="L56" s="674">
        <v>3</v>
      </c>
      <c r="M56" s="678" t="s">
        <v>1502</v>
      </c>
      <c r="N56" s="677" t="s">
        <v>1575</v>
      </c>
      <c r="O56" s="674">
        <v>4</v>
      </c>
      <c r="P56" s="678" t="s">
        <v>1498</v>
      </c>
      <c r="Q56" s="677" t="s">
        <v>1678</v>
      </c>
      <c r="R56" s="674"/>
      <c r="S56" s="680"/>
      <c r="T56" s="681"/>
      <c r="U56" s="674"/>
      <c r="V56" s="680"/>
      <c r="W56" s="681"/>
      <c r="X56" s="674"/>
      <c r="Y56" s="680"/>
      <c r="Z56" s="681"/>
      <c r="AA56" s="674"/>
      <c r="AB56" s="680"/>
      <c r="AC56" s="681"/>
      <c r="AD56" s="674"/>
      <c r="AE56" s="680"/>
      <c r="AF56" s="681"/>
      <c r="AG56" s="674"/>
      <c r="AH56" s="680"/>
      <c r="AI56" s="681"/>
      <c r="AJ56" s="674"/>
      <c r="AK56" s="680"/>
      <c r="AL56" s="681"/>
    </row>
    <row r="57" spans="1:38" x14ac:dyDescent="0.55000000000000004">
      <c r="A57" s="698"/>
      <c r="B57" s="703">
        <v>19054</v>
      </c>
      <c r="C57" s="700"/>
      <c r="D57" s="704"/>
      <c r="E57" s="726"/>
      <c r="F57" s="674">
        <v>1</v>
      </c>
      <c r="G57" s="675" t="s">
        <v>715</v>
      </c>
      <c r="H57" s="676" t="s">
        <v>1571</v>
      </c>
      <c r="I57" s="674">
        <v>2</v>
      </c>
      <c r="J57" s="675" t="s">
        <v>1634</v>
      </c>
      <c r="K57" s="677" t="s">
        <v>1574</v>
      </c>
      <c r="L57" s="674">
        <v>3</v>
      </c>
      <c r="M57" s="678" t="s">
        <v>1502</v>
      </c>
      <c r="N57" s="677" t="s">
        <v>1575</v>
      </c>
      <c r="O57" s="674">
        <v>4</v>
      </c>
      <c r="P57" s="678" t="s">
        <v>1498</v>
      </c>
      <c r="Q57" s="677" t="s">
        <v>1678</v>
      </c>
      <c r="R57" s="674"/>
      <c r="S57" s="680"/>
      <c r="T57" s="681"/>
      <c r="U57" s="674"/>
      <c r="V57" s="680"/>
      <c r="W57" s="681"/>
      <c r="X57" s="674"/>
      <c r="Y57" s="680"/>
      <c r="Z57" s="681"/>
      <c r="AA57" s="674"/>
      <c r="AB57" s="680"/>
      <c r="AC57" s="681"/>
      <c r="AD57" s="674"/>
      <c r="AE57" s="680"/>
      <c r="AF57" s="681"/>
      <c r="AG57" s="674"/>
      <c r="AH57" s="680"/>
      <c r="AI57" s="681"/>
      <c r="AJ57" s="674"/>
      <c r="AK57" s="680"/>
      <c r="AL57" s="681"/>
    </row>
    <row r="58" spans="1:38" x14ac:dyDescent="0.55000000000000004">
      <c r="A58" s="698"/>
      <c r="B58" s="703">
        <v>19055</v>
      </c>
      <c r="C58" s="700"/>
      <c r="D58" s="704"/>
      <c r="E58" s="726"/>
      <c r="F58" s="674">
        <v>1</v>
      </c>
      <c r="G58" s="675" t="s">
        <v>827</v>
      </c>
      <c r="H58" s="676" t="s">
        <v>1571</v>
      </c>
      <c r="I58" s="674">
        <v>2</v>
      </c>
      <c r="J58" s="675" t="s">
        <v>1634</v>
      </c>
      <c r="K58" s="677" t="s">
        <v>1574</v>
      </c>
      <c r="L58" s="674">
        <v>3</v>
      </c>
      <c r="M58" s="678" t="s">
        <v>1502</v>
      </c>
      <c r="N58" s="677" t="s">
        <v>1575</v>
      </c>
      <c r="O58" s="674">
        <v>4</v>
      </c>
      <c r="P58" s="678" t="s">
        <v>1498</v>
      </c>
      <c r="Q58" s="677" t="s">
        <v>1590</v>
      </c>
      <c r="R58" s="674"/>
      <c r="S58" s="680"/>
      <c r="T58" s="681"/>
      <c r="U58" s="674"/>
      <c r="V58" s="680"/>
      <c r="W58" s="681"/>
      <c r="X58" s="674"/>
      <c r="Y58" s="680"/>
      <c r="Z58" s="681"/>
      <c r="AA58" s="674"/>
      <c r="AB58" s="680"/>
      <c r="AC58" s="681"/>
      <c r="AD58" s="674"/>
      <c r="AE58" s="680"/>
      <c r="AF58" s="681"/>
      <c r="AG58" s="674"/>
      <c r="AH58" s="680"/>
      <c r="AI58" s="681"/>
      <c r="AJ58" s="674"/>
      <c r="AK58" s="680"/>
      <c r="AL58" s="681"/>
    </row>
    <row r="59" spans="1:38" x14ac:dyDescent="0.55000000000000004">
      <c r="A59" s="682"/>
      <c r="B59" s="682">
        <v>19056</v>
      </c>
      <c r="C59" s="684"/>
      <c r="D59" s="705"/>
      <c r="E59" s="695"/>
      <c r="F59" s="674">
        <v>1</v>
      </c>
      <c r="G59" s="675" t="s">
        <v>827</v>
      </c>
      <c r="H59" s="676" t="s">
        <v>1571</v>
      </c>
      <c r="I59" s="674">
        <v>2</v>
      </c>
      <c r="J59" s="675" t="s">
        <v>661</v>
      </c>
      <c r="K59" s="677" t="s">
        <v>1571</v>
      </c>
      <c r="L59" s="674">
        <v>3</v>
      </c>
      <c r="M59" s="678" t="s">
        <v>1634</v>
      </c>
      <c r="N59" s="677" t="s">
        <v>1583</v>
      </c>
      <c r="O59" s="674">
        <v>4</v>
      </c>
      <c r="P59" s="678" t="s">
        <v>1507</v>
      </c>
      <c r="Q59" s="677" t="s">
        <v>1575</v>
      </c>
      <c r="R59" s="674">
        <v>5</v>
      </c>
      <c r="S59" s="678" t="s">
        <v>1502</v>
      </c>
      <c r="T59" s="677" t="s">
        <v>1575</v>
      </c>
      <c r="U59" s="674">
        <v>6</v>
      </c>
      <c r="V59" s="678" t="s">
        <v>1498</v>
      </c>
      <c r="W59" s="677" t="s">
        <v>1598</v>
      </c>
      <c r="X59" s="674"/>
      <c r="Y59" s="680"/>
      <c r="Z59" s="681"/>
      <c r="AA59" s="674"/>
      <c r="AB59" s="680"/>
      <c r="AC59" s="681"/>
      <c r="AD59" s="674"/>
      <c r="AE59" s="680"/>
      <c r="AF59" s="681"/>
      <c r="AG59" s="674"/>
      <c r="AH59" s="680"/>
      <c r="AI59" s="681"/>
      <c r="AJ59" s="674"/>
      <c r="AK59" s="680"/>
      <c r="AL59" s="681"/>
    </row>
    <row r="60" spans="1:38" x14ac:dyDescent="0.55000000000000004">
      <c r="A60" s="707">
        <v>43512</v>
      </c>
      <c r="B60" s="692">
        <v>19057</v>
      </c>
      <c r="C60" s="700">
        <v>19026118</v>
      </c>
      <c r="D60" s="701" t="s">
        <v>1493</v>
      </c>
      <c r="E60" s="702"/>
      <c r="F60" s="674">
        <v>1</v>
      </c>
      <c r="G60" s="675" t="s">
        <v>593</v>
      </c>
      <c r="H60" s="676" t="s">
        <v>1579</v>
      </c>
      <c r="I60" s="674">
        <v>2</v>
      </c>
      <c r="J60" s="675" t="s">
        <v>1506</v>
      </c>
      <c r="K60" s="677" t="s">
        <v>1583</v>
      </c>
      <c r="L60" s="674">
        <v>3</v>
      </c>
      <c r="M60" s="678" t="s">
        <v>1507</v>
      </c>
      <c r="N60" s="677" t="s">
        <v>1583</v>
      </c>
      <c r="O60" s="674">
        <v>4</v>
      </c>
      <c r="P60" s="678" t="s">
        <v>1508</v>
      </c>
      <c r="Q60" s="677" t="s">
        <v>1594</v>
      </c>
      <c r="R60" s="674"/>
      <c r="S60" s="680"/>
      <c r="T60" s="681"/>
      <c r="U60" s="674"/>
      <c r="V60" s="680"/>
      <c r="W60" s="681"/>
      <c r="X60" s="674"/>
      <c r="Y60" s="680"/>
      <c r="Z60" s="681"/>
      <c r="AA60" s="674"/>
      <c r="AB60" s="680"/>
      <c r="AC60" s="681"/>
      <c r="AD60" s="674"/>
      <c r="AE60" s="680"/>
      <c r="AF60" s="681"/>
      <c r="AG60" s="674"/>
      <c r="AH60" s="680"/>
      <c r="AI60" s="681"/>
      <c r="AJ60" s="674"/>
      <c r="AK60" s="680"/>
      <c r="AL60" s="681"/>
    </row>
    <row r="61" spans="1:38" x14ac:dyDescent="0.55000000000000004">
      <c r="A61" s="698"/>
      <c r="B61" s="703">
        <v>19058</v>
      </c>
      <c r="C61" s="700"/>
      <c r="D61" s="704"/>
      <c r="E61" s="726"/>
      <c r="F61" s="674">
        <v>1</v>
      </c>
      <c r="G61" s="675" t="s">
        <v>593</v>
      </c>
      <c r="H61" s="676" t="s">
        <v>1579</v>
      </c>
      <c r="I61" s="674">
        <v>2</v>
      </c>
      <c r="J61" s="675" t="s">
        <v>1506</v>
      </c>
      <c r="K61" s="677" t="s">
        <v>1583</v>
      </c>
      <c r="L61" s="674">
        <v>3</v>
      </c>
      <c r="M61" s="678" t="s">
        <v>1507</v>
      </c>
      <c r="N61" s="677" t="s">
        <v>1583</v>
      </c>
      <c r="O61" s="674">
        <v>4</v>
      </c>
      <c r="P61" s="678" t="s">
        <v>1508</v>
      </c>
      <c r="Q61" s="677" t="s">
        <v>1594</v>
      </c>
      <c r="R61" s="674"/>
      <c r="S61" s="680"/>
      <c r="T61" s="681"/>
      <c r="U61" s="674"/>
      <c r="V61" s="680"/>
      <c r="W61" s="681"/>
      <c r="X61" s="674"/>
      <c r="Y61" s="680"/>
      <c r="Z61" s="681"/>
      <c r="AA61" s="674"/>
      <c r="AB61" s="680"/>
      <c r="AC61" s="681"/>
      <c r="AD61" s="674"/>
      <c r="AE61" s="680"/>
      <c r="AF61" s="681"/>
      <c r="AG61" s="674"/>
      <c r="AH61" s="680"/>
      <c r="AI61" s="681"/>
      <c r="AJ61" s="674"/>
      <c r="AK61" s="680"/>
      <c r="AL61" s="681"/>
    </row>
    <row r="62" spans="1:38" x14ac:dyDescent="0.55000000000000004">
      <c r="A62" s="698"/>
      <c r="B62" s="703">
        <v>19059</v>
      </c>
      <c r="C62" s="700"/>
      <c r="D62" s="704"/>
      <c r="E62" s="726"/>
      <c r="F62" s="674">
        <v>1</v>
      </c>
      <c r="G62" s="675" t="s">
        <v>593</v>
      </c>
      <c r="H62" s="676" t="s">
        <v>1579</v>
      </c>
      <c r="I62" s="674">
        <v>2</v>
      </c>
      <c r="J62" s="675" t="s">
        <v>1506</v>
      </c>
      <c r="K62" s="677" t="s">
        <v>1583</v>
      </c>
      <c r="L62" s="674">
        <v>3</v>
      </c>
      <c r="M62" s="678" t="s">
        <v>1507</v>
      </c>
      <c r="N62" s="677" t="s">
        <v>1583</v>
      </c>
      <c r="O62" s="674">
        <v>4</v>
      </c>
      <c r="P62" s="678" t="s">
        <v>1508</v>
      </c>
      <c r="Q62" s="677" t="s">
        <v>1594</v>
      </c>
      <c r="R62" s="674"/>
      <c r="S62" s="680"/>
      <c r="T62" s="681"/>
      <c r="U62" s="674"/>
      <c r="V62" s="680"/>
      <c r="W62" s="681"/>
      <c r="X62" s="674"/>
      <c r="Y62" s="680"/>
      <c r="Z62" s="681"/>
      <c r="AA62" s="674"/>
      <c r="AB62" s="680"/>
      <c r="AC62" s="681"/>
      <c r="AD62" s="674"/>
      <c r="AE62" s="680"/>
      <c r="AF62" s="681"/>
      <c r="AG62" s="674"/>
      <c r="AH62" s="680"/>
      <c r="AI62" s="681"/>
      <c r="AJ62" s="674"/>
      <c r="AK62" s="680"/>
      <c r="AL62" s="681"/>
    </row>
    <row r="63" spans="1:38" x14ac:dyDescent="0.55000000000000004">
      <c r="A63" s="682"/>
      <c r="B63" s="682">
        <v>19060</v>
      </c>
      <c r="C63" s="684"/>
      <c r="D63" s="705"/>
      <c r="E63" s="708"/>
      <c r="F63" s="674">
        <v>1</v>
      </c>
      <c r="G63" s="675" t="s">
        <v>593</v>
      </c>
      <c r="H63" s="676" t="s">
        <v>1579</v>
      </c>
      <c r="I63" s="674">
        <v>2</v>
      </c>
      <c r="J63" s="675" t="s">
        <v>1506</v>
      </c>
      <c r="K63" s="677" t="s">
        <v>1583</v>
      </c>
      <c r="L63" s="674">
        <v>3</v>
      </c>
      <c r="M63" s="678" t="s">
        <v>1507</v>
      </c>
      <c r="N63" s="677" t="s">
        <v>1583</v>
      </c>
      <c r="O63" s="674">
        <v>4</v>
      </c>
      <c r="P63" s="678" t="s">
        <v>1508</v>
      </c>
      <c r="Q63" s="677" t="s">
        <v>1594</v>
      </c>
      <c r="R63" s="674"/>
      <c r="S63" s="680"/>
      <c r="T63" s="681"/>
      <c r="U63" s="674"/>
      <c r="V63" s="680"/>
      <c r="W63" s="681"/>
      <c r="X63" s="674"/>
      <c r="Y63" s="680"/>
      <c r="Z63" s="681"/>
      <c r="AA63" s="674"/>
      <c r="AB63" s="680"/>
      <c r="AC63" s="681"/>
      <c r="AD63" s="674"/>
      <c r="AE63" s="680"/>
      <c r="AF63" s="681"/>
      <c r="AG63" s="674"/>
      <c r="AH63" s="680"/>
      <c r="AI63" s="681"/>
      <c r="AJ63" s="674"/>
      <c r="AK63" s="680"/>
      <c r="AL63" s="681"/>
    </row>
    <row r="64" spans="1:38" x14ac:dyDescent="0.55000000000000004">
      <c r="A64" s="670">
        <v>43516</v>
      </c>
      <c r="B64" s="692">
        <v>19061</v>
      </c>
      <c r="C64" s="672">
        <v>18116053</v>
      </c>
      <c r="D64" s="673" t="s">
        <v>1550</v>
      </c>
      <c r="E64" s="725"/>
      <c r="F64" s="674">
        <v>1</v>
      </c>
      <c r="G64" s="675" t="s">
        <v>1230</v>
      </c>
      <c r="H64" s="676" t="s">
        <v>1571</v>
      </c>
      <c r="I64" s="674">
        <v>2</v>
      </c>
      <c r="J64" s="675" t="s">
        <v>1503</v>
      </c>
      <c r="K64" s="677" t="s">
        <v>1584</v>
      </c>
      <c r="L64" s="674"/>
      <c r="M64" s="680"/>
      <c r="N64" s="681"/>
      <c r="O64" s="674"/>
      <c r="P64" s="680"/>
      <c r="Q64" s="681"/>
      <c r="R64" s="674"/>
      <c r="S64" s="680"/>
      <c r="T64" s="681"/>
      <c r="U64" s="674"/>
      <c r="V64" s="680"/>
      <c r="W64" s="681"/>
      <c r="X64" s="674"/>
      <c r="Y64" s="680"/>
      <c r="Z64" s="681"/>
      <c r="AA64" s="674"/>
      <c r="AB64" s="680"/>
      <c r="AC64" s="681"/>
      <c r="AD64" s="674"/>
      <c r="AE64" s="680"/>
      <c r="AF64" s="681"/>
      <c r="AG64" s="674"/>
      <c r="AH64" s="680"/>
      <c r="AI64" s="681"/>
      <c r="AJ64" s="674"/>
      <c r="AK64" s="680"/>
      <c r="AL64" s="681"/>
    </row>
    <row r="65" spans="1:38" x14ac:dyDescent="0.55000000000000004">
      <c r="A65" s="698"/>
      <c r="B65" s="703">
        <v>19062</v>
      </c>
      <c r="C65" s="700"/>
      <c r="D65" s="701"/>
      <c r="E65" s="726"/>
      <c r="F65" s="674">
        <v>1</v>
      </c>
      <c r="G65" s="675" t="s">
        <v>1230</v>
      </c>
      <c r="H65" s="676" t="s">
        <v>1571</v>
      </c>
      <c r="I65" s="674">
        <v>2</v>
      </c>
      <c r="J65" s="675" t="s">
        <v>1503</v>
      </c>
      <c r="K65" s="677" t="s">
        <v>1584</v>
      </c>
      <c r="L65" s="674"/>
      <c r="M65" s="680"/>
      <c r="N65" s="681"/>
      <c r="O65" s="674"/>
      <c r="P65" s="680"/>
      <c r="Q65" s="681"/>
      <c r="R65" s="674"/>
      <c r="S65" s="680"/>
      <c r="T65" s="681"/>
      <c r="U65" s="674"/>
      <c r="V65" s="680"/>
      <c r="W65" s="681"/>
      <c r="X65" s="674"/>
      <c r="Y65" s="680"/>
      <c r="Z65" s="681"/>
      <c r="AA65" s="674"/>
      <c r="AB65" s="680"/>
      <c r="AC65" s="681"/>
      <c r="AD65" s="674"/>
      <c r="AE65" s="680"/>
      <c r="AF65" s="681"/>
      <c r="AG65" s="674"/>
      <c r="AH65" s="680"/>
      <c r="AI65" s="681"/>
      <c r="AJ65" s="674"/>
      <c r="AK65" s="680"/>
      <c r="AL65" s="681"/>
    </row>
    <row r="66" spans="1:38" x14ac:dyDescent="0.55000000000000004">
      <c r="A66" s="698"/>
      <c r="B66" s="703">
        <v>19063</v>
      </c>
      <c r="C66" s="700"/>
      <c r="D66" s="704"/>
      <c r="E66" s="702"/>
      <c r="F66" s="674">
        <v>1</v>
      </c>
      <c r="G66" s="675" t="s">
        <v>1230</v>
      </c>
      <c r="H66" s="676" t="s">
        <v>1571</v>
      </c>
      <c r="I66" s="674">
        <v>2</v>
      </c>
      <c r="J66" s="675" t="s">
        <v>1503</v>
      </c>
      <c r="K66" s="677" t="s">
        <v>1584</v>
      </c>
      <c r="L66" s="674"/>
      <c r="M66" s="680"/>
      <c r="N66" s="681"/>
      <c r="O66" s="674"/>
      <c r="P66" s="680"/>
      <c r="Q66" s="681"/>
      <c r="R66" s="674"/>
      <c r="S66" s="680"/>
      <c r="T66" s="681"/>
      <c r="U66" s="674"/>
      <c r="V66" s="680"/>
      <c r="W66" s="681"/>
      <c r="X66" s="674"/>
      <c r="Y66" s="680"/>
      <c r="Z66" s="681"/>
      <c r="AA66" s="674"/>
      <c r="AB66" s="680"/>
      <c r="AC66" s="681"/>
      <c r="AD66" s="674"/>
      <c r="AE66" s="680"/>
      <c r="AF66" s="681"/>
      <c r="AG66" s="674"/>
      <c r="AH66" s="680"/>
      <c r="AI66" s="681"/>
      <c r="AJ66" s="674"/>
      <c r="AK66" s="680"/>
      <c r="AL66" s="681"/>
    </row>
    <row r="67" spans="1:38" x14ac:dyDescent="0.55000000000000004">
      <c r="A67" s="698"/>
      <c r="B67" s="703">
        <v>19064</v>
      </c>
      <c r="C67" s="700"/>
      <c r="D67" s="704"/>
      <c r="E67" s="726"/>
      <c r="F67" s="674">
        <v>1</v>
      </c>
      <c r="G67" s="675" t="s">
        <v>1230</v>
      </c>
      <c r="H67" s="676" t="s">
        <v>1571</v>
      </c>
      <c r="I67" s="674">
        <v>2</v>
      </c>
      <c r="J67" s="675" t="s">
        <v>1503</v>
      </c>
      <c r="K67" s="677" t="s">
        <v>1584</v>
      </c>
      <c r="L67" s="674"/>
      <c r="M67" s="680"/>
      <c r="N67" s="681"/>
      <c r="O67" s="674"/>
      <c r="P67" s="680"/>
      <c r="Q67" s="681"/>
      <c r="R67" s="674"/>
      <c r="S67" s="680"/>
      <c r="T67" s="681"/>
      <c r="U67" s="674"/>
      <c r="V67" s="680"/>
      <c r="W67" s="681"/>
      <c r="X67" s="674"/>
      <c r="Y67" s="680"/>
      <c r="Z67" s="681"/>
      <c r="AA67" s="674"/>
      <c r="AB67" s="680"/>
      <c r="AC67" s="681"/>
      <c r="AD67" s="674"/>
      <c r="AE67" s="680"/>
      <c r="AF67" s="681"/>
      <c r="AG67" s="674"/>
      <c r="AH67" s="680"/>
      <c r="AI67" s="681"/>
      <c r="AJ67" s="674"/>
      <c r="AK67" s="680"/>
      <c r="AL67" s="681"/>
    </row>
    <row r="68" spans="1:38" x14ac:dyDescent="0.55000000000000004">
      <c r="A68" s="682"/>
      <c r="B68" s="682">
        <v>19065</v>
      </c>
      <c r="C68" s="684"/>
      <c r="D68" s="685"/>
      <c r="E68" s="708"/>
      <c r="F68" s="674">
        <v>1</v>
      </c>
      <c r="G68" s="675" t="s">
        <v>1230</v>
      </c>
      <c r="H68" s="676" t="s">
        <v>1571</v>
      </c>
      <c r="I68" s="674">
        <v>2</v>
      </c>
      <c r="J68" s="675" t="s">
        <v>1503</v>
      </c>
      <c r="K68" s="677" t="s">
        <v>1584</v>
      </c>
      <c r="L68" s="674"/>
      <c r="M68" s="680"/>
      <c r="N68" s="681"/>
      <c r="O68" s="674"/>
      <c r="P68" s="680"/>
      <c r="Q68" s="681"/>
      <c r="R68" s="674"/>
      <c r="S68" s="680"/>
      <c r="T68" s="681"/>
      <c r="U68" s="674"/>
      <c r="V68" s="680"/>
      <c r="W68" s="681"/>
      <c r="X68" s="674"/>
      <c r="Y68" s="680"/>
      <c r="Z68" s="681"/>
      <c r="AA68" s="674"/>
      <c r="AB68" s="680"/>
      <c r="AC68" s="681"/>
      <c r="AD68" s="674"/>
      <c r="AE68" s="680"/>
      <c r="AF68" s="681"/>
      <c r="AG68" s="674"/>
      <c r="AH68" s="680"/>
      <c r="AI68" s="681"/>
      <c r="AJ68" s="674"/>
      <c r="AK68" s="680"/>
      <c r="AL68" s="681"/>
    </row>
    <row r="69" spans="1:38" x14ac:dyDescent="0.55000000000000004">
      <c r="A69" s="706">
        <v>43517</v>
      </c>
      <c r="B69" s="682">
        <v>19066</v>
      </c>
      <c r="C69" s="684">
        <v>19016102</v>
      </c>
      <c r="D69" s="685" t="s">
        <v>1735</v>
      </c>
      <c r="E69" s="695"/>
      <c r="F69" s="674">
        <v>1</v>
      </c>
      <c r="G69" s="675" t="s">
        <v>833</v>
      </c>
      <c r="H69" s="676" t="s">
        <v>1579</v>
      </c>
      <c r="I69" s="674">
        <v>2</v>
      </c>
      <c r="J69" s="675" t="s">
        <v>829</v>
      </c>
      <c r="K69" s="677" t="s">
        <v>1571</v>
      </c>
      <c r="L69" s="674">
        <v>3</v>
      </c>
      <c r="M69" s="678" t="s">
        <v>1506</v>
      </c>
      <c r="N69" s="677" t="s">
        <v>1578</v>
      </c>
      <c r="O69" s="674">
        <v>4</v>
      </c>
      <c r="P69" s="678" t="s">
        <v>1502</v>
      </c>
      <c r="Q69" s="677" t="s">
        <v>1583</v>
      </c>
      <c r="R69" s="674">
        <v>5</v>
      </c>
      <c r="S69" s="678" t="s">
        <v>1507</v>
      </c>
      <c r="T69" s="677" t="s">
        <v>1575</v>
      </c>
      <c r="U69" s="674">
        <v>6</v>
      </c>
      <c r="V69" s="678" t="s">
        <v>1498</v>
      </c>
      <c r="W69" s="677" t="s">
        <v>1930</v>
      </c>
      <c r="X69" s="674"/>
      <c r="Y69" s="680"/>
      <c r="Z69" s="681"/>
      <c r="AA69" s="674"/>
      <c r="AB69" s="680"/>
      <c r="AC69" s="681"/>
      <c r="AD69" s="674"/>
      <c r="AE69" s="680"/>
      <c r="AF69" s="681"/>
      <c r="AG69" s="674"/>
      <c r="AH69" s="680"/>
      <c r="AI69" s="681"/>
      <c r="AJ69" s="674"/>
      <c r="AK69" s="680"/>
      <c r="AL69" s="681"/>
    </row>
    <row r="70" spans="1:38" x14ac:dyDescent="0.55000000000000004">
      <c r="A70" s="706">
        <v>43518</v>
      </c>
      <c r="B70" s="682">
        <v>19067</v>
      </c>
      <c r="C70" s="684">
        <v>19016109</v>
      </c>
      <c r="D70" s="685" t="s">
        <v>1736</v>
      </c>
      <c r="E70" s="695"/>
      <c r="F70" s="674">
        <v>1</v>
      </c>
      <c r="G70" s="675" t="s">
        <v>1564</v>
      </c>
      <c r="H70" s="676" t="s">
        <v>1571</v>
      </c>
      <c r="I70" s="674">
        <v>2</v>
      </c>
      <c r="J70" s="675" t="s">
        <v>1511</v>
      </c>
      <c r="K70" s="677" t="s">
        <v>1574</v>
      </c>
      <c r="L70" s="674">
        <v>3</v>
      </c>
      <c r="M70" s="678" t="s">
        <v>1502</v>
      </c>
      <c r="N70" s="677" t="s">
        <v>1574</v>
      </c>
      <c r="O70" s="674">
        <v>4</v>
      </c>
      <c r="P70" s="678" t="s">
        <v>1498</v>
      </c>
      <c r="Q70" s="677" t="s">
        <v>1635</v>
      </c>
      <c r="R70" s="674">
        <v>5</v>
      </c>
      <c r="S70" s="678" t="s">
        <v>1636</v>
      </c>
      <c r="T70" s="677" t="s">
        <v>1575</v>
      </c>
      <c r="U70" s="674"/>
      <c r="V70" s="680"/>
      <c r="W70" s="681"/>
      <c r="X70" s="674"/>
      <c r="Y70" s="680"/>
      <c r="Z70" s="681"/>
      <c r="AA70" s="674"/>
      <c r="AB70" s="680"/>
      <c r="AC70" s="681"/>
      <c r="AD70" s="674"/>
      <c r="AE70" s="680"/>
      <c r="AF70" s="681"/>
      <c r="AG70" s="674"/>
      <c r="AH70" s="680"/>
      <c r="AI70" s="681"/>
      <c r="AJ70" s="674"/>
      <c r="AK70" s="680"/>
      <c r="AL70" s="681"/>
    </row>
    <row r="71" spans="1:38" x14ac:dyDescent="0.55000000000000004">
      <c r="A71" s="670">
        <v>43518</v>
      </c>
      <c r="B71" s="692">
        <v>19068</v>
      </c>
      <c r="C71" s="672">
        <v>19026120</v>
      </c>
      <c r="D71" s="693" t="s">
        <v>1677</v>
      </c>
      <c r="E71" s="702"/>
      <c r="F71" s="674">
        <v>1</v>
      </c>
      <c r="G71" s="675" t="s">
        <v>1615</v>
      </c>
      <c r="H71" s="676" t="s">
        <v>1571</v>
      </c>
      <c r="I71" s="674">
        <v>2</v>
      </c>
      <c r="J71" s="675" t="s">
        <v>1503</v>
      </c>
      <c r="K71" s="677" t="s">
        <v>1584</v>
      </c>
      <c r="L71" s="674"/>
      <c r="M71" s="680"/>
      <c r="N71" s="681"/>
      <c r="O71" s="674"/>
      <c r="P71" s="680"/>
      <c r="Q71" s="681"/>
      <c r="R71" s="674"/>
      <c r="S71" s="680"/>
      <c r="T71" s="681"/>
      <c r="U71" s="674"/>
      <c r="V71" s="680"/>
      <c r="W71" s="681"/>
      <c r="X71" s="674"/>
      <c r="Y71" s="680"/>
      <c r="Z71" s="681"/>
      <c r="AA71" s="674"/>
      <c r="AB71" s="680"/>
      <c r="AC71" s="681"/>
      <c r="AD71" s="674"/>
      <c r="AE71" s="680"/>
      <c r="AF71" s="681"/>
      <c r="AG71" s="674"/>
      <c r="AH71" s="680"/>
      <c r="AI71" s="681"/>
      <c r="AJ71" s="674"/>
      <c r="AK71" s="680"/>
      <c r="AL71" s="681"/>
    </row>
    <row r="72" spans="1:38" x14ac:dyDescent="0.55000000000000004">
      <c r="A72" s="698"/>
      <c r="B72" s="703">
        <v>19069</v>
      </c>
      <c r="C72" s="700"/>
      <c r="D72" s="704"/>
      <c r="E72" s="726"/>
      <c r="F72" s="674">
        <v>1</v>
      </c>
      <c r="G72" s="675" t="s">
        <v>1615</v>
      </c>
      <c r="H72" s="676" t="s">
        <v>1571</v>
      </c>
      <c r="I72" s="674">
        <v>2</v>
      </c>
      <c r="J72" s="675" t="s">
        <v>1503</v>
      </c>
      <c r="K72" s="677" t="s">
        <v>1584</v>
      </c>
      <c r="L72" s="674"/>
      <c r="M72" s="680"/>
      <c r="N72" s="681"/>
      <c r="O72" s="674"/>
      <c r="P72" s="680"/>
      <c r="Q72" s="681"/>
      <c r="R72" s="674"/>
      <c r="S72" s="680"/>
      <c r="T72" s="681"/>
      <c r="U72" s="674"/>
      <c r="V72" s="680"/>
      <c r="W72" s="681"/>
      <c r="X72" s="674"/>
      <c r="Y72" s="680"/>
      <c r="Z72" s="681"/>
      <c r="AA72" s="674"/>
      <c r="AB72" s="680"/>
      <c r="AC72" s="681"/>
      <c r="AD72" s="674"/>
      <c r="AE72" s="680"/>
      <c r="AF72" s="681"/>
      <c r="AG72" s="674"/>
      <c r="AH72" s="680"/>
      <c r="AI72" s="681"/>
      <c r="AJ72" s="674"/>
      <c r="AK72" s="680"/>
      <c r="AL72" s="681"/>
    </row>
    <row r="73" spans="1:38" x14ac:dyDescent="0.55000000000000004">
      <c r="A73" s="698"/>
      <c r="B73" s="703">
        <v>19070</v>
      </c>
      <c r="C73" s="700"/>
      <c r="D73" s="701"/>
      <c r="E73" s="702"/>
      <c r="F73" s="674">
        <v>1</v>
      </c>
      <c r="G73" s="675" t="s">
        <v>1615</v>
      </c>
      <c r="H73" s="676" t="s">
        <v>1571</v>
      </c>
      <c r="I73" s="674">
        <v>2</v>
      </c>
      <c r="J73" s="675" t="s">
        <v>1503</v>
      </c>
      <c r="K73" s="677" t="s">
        <v>1584</v>
      </c>
      <c r="L73" s="674"/>
      <c r="M73" s="680"/>
      <c r="N73" s="681"/>
      <c r="O73" s="674"/>
      <c r="P73" s="680"/>
      <c r="Q73" s="681"/>
      <c r="R73" s="674"/>
      <c r="S73" s="680"/>
      <c r="T73" s="681"/>
      <c r="U73" s="674"/>
      <c r="V73" s="680"/>
      <c r="W73" s="681"/>
      <c r="X73" s="674"/>
      <c r="Y73" s="680"/>
      <c r="Z73" s="681"/>
      <c r="AA73" s="674"/>
      <c r="AB73" s="680"/>
      <c r="AC73" s="681"/>
      <c r="AD73" s="674"/>
      <c r="AE73" s="680"/>
      <c r="AF73" s="681"/>
      <c r="AG73" s="674"/>
      <c r="AH73" s="680"/>
      <c r="AI73" s="681"/>
      <c r="AJ73" s="674"/>
      <c r="AK73" s="680"/>
      <c r="AL73" s="681"/>
    </row>
    <row r="74" spans="1:38" x14ac:dyDescent="0.55000000000000004">
      <c r="A74" s="682"/>
      <c r="B74" s="682">
        <v>19071</v>
      </c>
      <c r="C74" s="684"/>
      <c r="D74" s="705"/>
      <c r="E74" s="708"/>
      <c r="F74" s="674">
        <v>1</v>
      </c>
      <c r="G74" s="675" t="s">
        <v>1615</v>
      </c>
      <c r="H74" s="676" t="s">
        <v>1571</v>
      </c>
      <c r="I74" s="674">
        <v>2</v>
      </c>
      <c r="J74" s="675" t="s">
        <v>1503</v>
      </c>
      <c r="K74" s="677" t="s">
        <v>1584</v>
      </c>
      <c r="L74" s="674"/>
      <c r="M74" s="680"/>
      <c r="N74" s="681"/>
      <c r="O74" s="674"/>
      <c r="P74" s="680"/>
      <c r="Q74" s="681"/>
      <c r="R74" s="674"/>
      <c r="S74" s="680"/>
      <c r="T74" s="681"/>
      <c r="U74" s="674"/>
      <c r="V74" s="680"/>
      <c r="W74" s="681"/>
      <c r="X74" s="674"/>
      <c r="Y74" s="680"/>
      <c r="Z74" s="681"/>
      <c r="AA74" s="674"/>
      <c r="AB74" s="680"/>
      <c r="AC74" s="681"/>
      <c r="AD74" s="674"/>
      <c r="AE74" s="680"/>
      <c r="AF74" s="681"/>
      <c r="AG74" s="674"/>
      <c r="AH74" s="680"/>
      <c r="AI74" s="681"/>
      <c r="AJ74" s="674"/>
      <c r="AK74" s="680"/>
      <c r="AL74" s="681"/>
    </row>
    <row r="75" spans="1:38" x14ac:dyDescent="0.55000000000000004">
      <c r="A75" s="706">
        <v>43518</v>
      </c>
      <c r="B75" s="682">
        <v>19072</v>
      </c>
      <c r="C75" s="684">
        <v>19016105</v>
      </c>
      <c r="D75" s="685" t="s">
        <v>1737</v>
      </c>
      <c r="E75" s="695"/>
      <c r="F75" s="674">
        <v>1</v>
      </c>
      <c r="G75" s="675" t="s">
        <v>600</v>
      </c>
      <c r="H75" s="676" t="s">
        <v>1572</v>
      </c>
      <c r="I75" s="674"/>
      <c r="J75" s="690"/>
      <c r="K75" s="681"/>
      <c r="L75" s="674"/>
      <c r="M75" s="680"/>
      <c r="N75" s="681"/>
      <c r="O75" s="674"/>
      <c r="P75" s="680"/>
      <c r="Q75" s="681"/>
      <c r="R75" s="674"/>
      <c r="S75" s="680"/>
      <c r="T75" s="681"/>
      <c r="U75" s="674"/>
      <c r="V75" s="680"/>
      <c r="W75" s="681"/>
      <c r="X75" s="674"/>
      <c r="Y75" s="680"/>
      <c r="Z75" s="681"/>
      <c r="AA75" s="674"/>
      <c r="AB75" s="680"/>
      <c r="AC75" s="681"/>
      <c r="AD75" s="674"/>
      <c r="AE75" s="680"/>
      <c r="AF75" s="681"/>
      <c r="AG75" s="674"/>
      <c r="AH75" s="680"/>
      <c r="AI75" s="681"/>
      <c r="AJ75" s="674"/>
      <c r="AK75" s="680"/>
      <c r="AL75" s="681"/>
    </row>
    <row r="76" spans="1:38" x14ac:dyDescent="0.55000000000000004">
      <c r="A76" s="706">
        <v>43521</v>
      </c>
      <c r="B76" s="682">
        <v>19073</v>
      </c>
      <c r="C76" s="684">
        <v>19026122</v>
      </c>
      <c r="D76" s="685" t="s">
        <v>1490</v>
      </c>
      <c r="E76" s="695"/>
      <c r="F76" s="674">
        <v>1</v>
      </c>
      <c r="G76" s="675" t="s">
        <v>1611</v>
      </c>
      <c r="H76" s="676" t="s">
        <v>1571</v>
      </c>
      <c r="I76" s="674">
        <v>2</v>
      </c>
      <c r="J76" s="675" t="s">
        <v>793</v>
      </c>
      <c r="K76" s="677" t="s">
        <v>1586</v>
      </c>
      <c r="L76" s="674">
        <v>3</v>
      </c>
      <c r="M76" s="678" t="s">
        <v>1511</v>
      </c>
      <c r="N76" s="677" t="s">
        <v>1578</v>
      </c>
      <c r="O76" s="674">
        <v>4</v>
      </c>
      <c r="P76" s="678" t="s">
        <v>1502</v>
      </c>
      <c r="Q76" s="677" t="s">
        <v>1575</v>
      </c>
      <c r="R76" s="674">
        <v>5</v>
      </c>
      <c r="S76" s="678" t="s">
        <v>1507</v>
      </c>
      <c r="T76" s="677" t="s">
        <v>1575</v>
      </c>
      <c r="U76" s="674">
        <v>6</v>
      </c>
      <c r="V76" s="678" t="s">
        <v>1498</v>
      </c>
      <c r="W76" s="677" t="s">
        <v>1802</v>
      </c>
      <c r="X76" s="674">
        <v>7</v>
      </c>
      <c r="Y76" s="678" t="s">
        <v>1503</v>
      </c>
      <c r="Z76" s="677" t="s">
        <v>1801</v>
      </c>
      <c r="AA76" s="674"/>
      <c r="AB76" s="680"/>
      <c r="AC76" s="681"/>
      <c r="AD76" s="674"/>
      <c r="AE76" s="680"/>
      <c r="AF76" s="681"/>
      <c r="AG76" s="674"/>
      <c r="AH76" s="680"/>
      <c r="AI76" s="681"/>
      <c r="AJ76" s="674"/>
      <c r="AK76" s="680"/>
      <c r="AL76" s="681"/>
    </row>
    <row r="77" spans="1:38" x14ac:dyDescent="0.55000000000000004">
      <c r="A77" s="706">
        <v>43522</v>
      </c>
      <c r="B77" s="682">
        <v>19074</v>
      </c>
      <c r="C77" s="684">
        <v>18065869</v>
      </c>
      <c r="D77" s="685" t="s">
        <v>1624</v>
      </c>
      <c r="E77" s="695"/>
      <c r="F77" s="674">
        <v>1</v>
      </c>
      <c r="G77" s="675" t="s">
        <v>729</v>
      </c>
      <c r="H77" s="676" t="s">
        <v>1571</v>
      </c>
      <c r="I77" s="674">
        <v>2</v>
      </c>
      <c r="J77" s="675" t="s">
        <v>1511</v>
      </c>
      <c r="K77" s="677" t="s">
        <v>1574</v>
      </c>
      <c r="L77" s="674">
        <v>3</v>
      </c>
      <c r="M77" s="678" t="s">
        <v>1800</v>
      </c>
      <c r="N77" s="677" t="s">
        <v>1575</v>
      </c>
      <c r="O77" s="674">
        <v>4</v>
      </c>
      <c r="P77" s="678" t="s">
        <v>1498</v>
      </c>
      <c r="Q77" s="677" t="s">
        <v>1580</v>
      </c>
      <c r="R77" s="674">
        <v>5</v>
      </c>
      <c r="S77" s="678" t="s">
        <v>1503</v>
      </c>
      <c r="T77" s="677" t="s">
        <v>1801</v>
      </c>
      <c r="U77" s="674"/>
      <c r="V77" s="680"/>
      <c r="W77" s="681"/>
      <c r="X77" s="674"/>
      <c r="Y77" s="680"/>
      <c r="Z77" s="681"/>
      <c r="AA77" s="674"/>
      <c r="AB77" s="680"/>
      <c r="AC77" s="681"/>
      <c r="AD77" s="674"/>
      <c r="AE77" s="680"/>
      <c r="AF77" s="681"/>
      <c r="AG77" s="674"/>
      <c r="AH77" s="680"/>
      <c r="AI77" s="681"/>
      <c r="AJ77" s="674"/>
      <c r="AK77" s="680"/>
      <c r="AL77" s="681"/>
    </row>
    <row r="78" spans="1:38" x14ac:dyDescent="0.55000000000000004">
      <c r="A78" s="706">
        <v>43522</v>
      </c>
      <c r="B78" s="682">
        <v>19075</v>
      </c>
      <c r="C78" s="684">
        <v>19026124</v>
      </c>
      <c r="D78" s="685" t="s">
        <v>1738</v>
      </c>
      <c r="E78" s="695"/>
      <c r="F78" s="674">
        <v>1</v>
      </c>
      <c r="G78" s="675" t="s">
        <v>1685</v>
      </c>
      <c r="H78" s="676" t="s">
        <v>1579</v>
      </c>
      <c r="I78" s="674">
        <v>2</v>
      </c>
      <c r="J78" s="675" t="s">
        <v>1686</v>
      </c>
      <c r="K78" s="677" t="s">
        <v>1586</v>
      </c>
      <c r="L78" s="674">
        <v>3</v>
      </c>
      <c r="M78" s="678" t="s">
        <v>1511</v>
      </c>
      <c r="N78" s="677" t="s">
        <v>1582</v>
      </c>
      <c r="O78" s="674">
        <v>4</v>
      </c>
      <c r="P78" s="678" t="s">
        <v>1502</v>
      </c>
      <c r="Q78" s="677" t="s">
        <v>1583</v>
      </c>
      <c r="R78" s="674">
        <v>5</v>
      </c>
      <c r="S78" s="678" t="s">
        <v>1498</v>
      </c>
      <c r="T78" s="677" t="s">
        <v>1799</v>
      </c>
      <c r="U78" s="674">
        <v>6</v>
      </c>
      <c r="V78" s="678" t="s">
        <v>1503</v>
      </c>
      <c r="W78" s="677" t="s">
        <v>1584</v>
      </c>
      <c r="X78" s="674"/>
      <c r="Y78" s="680"/>
      <c r="Z78" s="681"/>
      <c r="AA78" s="674"/>
      <c r="AB78" s="680"/>
      <c r="AC78" s="681"/>
      <c r="AD78" s="674"/>
      <c r="AE78" s="680"/>
      <c r="AF78" s="681"/>
      <c r="AG78" s="674"/>
      <c r="AH78" s="680"/>
      <c r="AI78" s="681"/>
      <c r="AJ78" s="674"/>
      <c r="AK78" s="680"/>
      <c r="AL78" s="681"/>
    </row>
    <row r="79" spans="1:38" x14ac:dyDescent="0.55000000000000004">
      <c r="A79" s="706">
        <v>43523</v>
      </c>
      <c r="B79" s="682">
        <v>19076</v>
      </c>
      <c r="C79" s="684">
        <v>18095995</v>
      </c>
      <c r="D79" s="685" t="s">
        <v>541</v>
      </c>
      <c r="E79" s="695"/>
      <c r="F79" s="674">
        <v>1</v>
      </c>
      <c r="G79" s="675" t="s">
        <v>593</v>
      </c>
      <c r="H79" s="676" t="s">
        <v>1581</v>
      </c>
      <c r="I79" s="674">
        <v>2</v>
      </c>
      <c r="J79" s="675" t="s">
        <v>1506</v>
      </c>
      <c r="K79" s="677" t="s">
        <v>1582</v>
      </c>
      <c r="L79" s="674">
        <v>3</v>
      </c>
      <c r="M79" s="678" t="s">
        <v>1507</v>
      </c>
      <c r="N79" s="677" t="s">
        <v>1582</v>
      </c>
      <c r="O79" s="674">
        <v>4</v>
      </c>
      <c r="P79" s="678" t="s">
        <v>1508</v>
      </c>
      <c r="Q79" s="677" t="s">
        <v>1592</v>
      </c>
      <c r="R79" s="674"/>
      <c r="S79" s="680"/>
      <c r="T79" s="681"/>
      <c r="U79" s="674"/>
      <c r="V79" s="680"/>
      <c r="W79" s="681"/>
      <c r="X79" s="674"/>
      <c r="Y79" s="680"/>
      <c r="Z79" s="681"/>
      <c r="AA79" s="674"/>
      <c r="AB79" s="680"/>
      <c r="AC79" s="681"/>
      <c r="AD79" s="674"/>
      <c r="AE79" s="680"/>
      <c r="AF79" s="681"/>
      <c r="AG79" s="674"/>
      <c r="AH79" s="680"/>
      <c r="AI79" s="681"/>
      <c r="AJ79" s="674"/>
      <c r="AK79" s="680"/>
      <c r="AL79" s="681"/>
    </row>
    <row r="80" spans="1:38" x14ac:dyDescent="0.55000000000000004">
      <c r="A80" s="706">
        <v>43524</v>
      </c>
      <c r="B80" s="682">
        <v>19077</v>
      </c>
      <c r="C80" s="684">
        <v>19026117</v>
      </c>
      <c r="D80" s="685" t="s">
        <v>1739</v>
      </c>
      <c r="E80" s="695"/>
      <c r="F80" s="674">
        <v>1</v>
      </c>
      <c r="G80" s="675" t="s">
        <v>721</v>
      </c>
      <c r="H80" s="676" t="s">
        <v>1797</v>
      </c>
      <c r="I80" s="674">
        <v>2</v>
      </c>
      <c r="J80" s="675" t="s">
        <v>1511</v>
      </c>
      <c r="K80" s="677" t="s">
        <v>1633</v>
      </c>
      <c r="L80" s="674">
        <v>3</v>
      </c>
      <c r="M80" s="678" t="s">
        <v>1502</v>
      </c>
      <c r="N80" s="677" t="s">
        <v>1633</v>
      </c>
      <c r="O80" s="674">
        <v>4</v>
      </c>
      <c r="P80" s="678" t="s">
        <v>1498</v>
      </c>
      <c r="Q80" s="677" t="s">
        <v>1798</v>
      </c>
      <c r="R80" s="674">
        <v>5</v>
      </c>
      <c r="S80" s="678" t="s">
        <v>1503</v>
      </c>
      <c r="T80" s="677" t="s">
        <v>1585</v>
      </c>
      <c r="U80" s="674"/>
      <c r="V80" s="680"/>
      <c r="W80" s="681"/>
      <c r="X80" s="674"/>
      <c r="Y80" s="680"/>
      <c r="Z80" s="681"/>
      <c r="AA80" s="674"/>
      <c r="AB80" s="680"/>
      <c r="AC80" s="681"/>
      <c r="AD80" s="674"/>
      <c r="AE80" s="680"/>
      <c r="AF80" s="681"/>
      <c r="AG80" s="674"/>
      <c r="AH80" s="680"/>
      <c r="AI80" s="681"/>
      <c r="AJ80" s="674"/>
      <c r="AK80" s="680"/>
      <c r="AL80" s="681"/>
    </row>
    <row r="81" spans="1:38" x14ac:dyDescent="0.55000000000000004">
      <c r="A81" s="706">
        <v>43528</v>
      </c>
      <c r="B81" s="682">
        <v>19078</v>
      </c>
      <c r="C81" s="684">
        <v>19026127</v>
      </c>
      <c r="D81" s="685" t="s">
        <v>1624</v>
      </c>
      <c r="E81" s="695"/>
      <c r="F81" s="674">
        <v>1</v>
      </c>
      <c r="G81" s="675" t="s">
        <v>1679</v>
      </c>
      <c r="H81" s="676" t="s">
        <v>1571</v>
      </c>
      <c r="I81" s="674">
        <v>2</v>
      </c>
      <c r="J81" s="675" t="s">
        <v>1511</v>
      </c>
      <c r="K81" s="677" t="s">
        <v>1575</v>
      </c>
      <c r="L81" s="674">
        <v>3</v>
      </c>
      <c r="M81" s="678" t="s">
        <v>1512</v>
      </c>
      <c r="N81" s="677" t="s">
        <v>1575</v>
      </c>
      <c r="O81" s="674">
        <v>4</v>
      </c>
      <c r="P81" s="678" t="s">
        <v>1502</v>
      </c>
      <c r="Q81" s="677" t="s">
        <v>1575</v>
      </c>
      <c r="R81" s="674">
        <v>5</v>
      </c>
      <c r="S81" s="678" t="s">
        <v>1498</v>
      </c>
      <c r="T81" s="677" t="s">
        <v>1803</v>
      </c>
      <c r="U81" s="674">
        <v>6</v>
      </c>
      <c r="V81" s="678" t="s">
        <v>1503</v>
      </c>
      <c r="W81" s="677" t="s">
        <v>1632</v>
      </c>
      <c r="X81" s="674"/>
      <c r="Y81" s="680"/>
      <c r="Z81" s="681"/>
      <c r="AA81" s="674"/>
      <c r="AB81" s="680"/>
      <c r="AC81" s="681"/>
      <c r="AD81" s="674"/>
      <c r="AE81" s="680"/>
      <c r="AF81" s="681"/>
      <c r="AG81" s="674"/>
      <c r="AH81" s="680"/>
      <c r="AI81" s="681"/>
      <c r="AJ81" s="674"/>
      <c r="AK81" s="680"/>
      <c r="AL81" s="681"/>
    </row>
    <row r="82" spans="1:38" x14ac:dyDescent="0.55000000000000004">
      <c r="A82" s="706">
        <v>43529</v>
      </c>
      <c r="B82" s="682">
        <v>19079</v>
      </c>
      <c r="C82" s="684">
        <v>19026137</v>
      </c>
      <c r="D82" s="685" t="s">
        <v>1490</v>
      </c>
      <c r="E82" s="695"/>
      <c r="F82" s="674">
        <v>1</v>
      </c>
      <c r="G82" s="675" t="s">
        <v>801</v>
      </c>
      <c r="H82" s="676" t="s">
        <v>1571</v>
      </c>
      <c r="I82" s="674">
        <v>2</v>
      </c>
      <c r="J82" s="675" t="s">
        <v>1511</v>
      </c>
      <c r="K82" s="677" t="s">
        <v>1586</v>
      </c>
      <c r="L82" s="674">
        <v>3</v>
      </c>
      <c r="M82" s="678" t="s">
        <v>1507</v>
      </c>
      <c r="N82" s="677" t="s">
        <v>1575</v>
      </c>
      <c r="O82" s="674">
        <v>4</v>
      </c>
      <c r="P82" s="678" t="s">
        <v>1498</v>
      </c>
      <c r="Q82" s="677" t="s">
        <v>1796</v>
      </c>
      <c r="R82" s="674"/>
      <c r="S82" s="680"/>
      <c r="T82" s="681"/>
      <c r="U82" s="674"/>
      <c r="V82" s="680"/>
      <c r="W82" s="681"/>
      <c r="X82" s="674"/>
      <c r="Y82" s="680"/>
      <c r="Z82" s="681"/>
      <c r="AA82" s="674"/>
      <c r="AB82" s="680"/>
      <c r="AC82" s="681"/>
      <c r="AD82" s="674"/>
      <c r="AE82" s="680"/>
      <c r="AF82" s="681"/>
      <c r="AG82" s="674"/>
      <c r="AH82" s="680"/>
      <c r="AI82" s="681"/>
      <c r="AJ82" s="674"/>
      <c r="AK82" s="680"/>
      <c r="AL82" s="681"/>
    </row>
    <row r="83" spans="1:38" x14ac:dyDescent="0.55000000000000004">
      <c r="A83" s="706">
        <v>43530</v>
      </c>
      <c r="B83" s="682">
        <v>19080</v>
      </c>
      <c r="C83" s="684">
        <v>19036142</v>
      </c>
      <c r="D83" s="685" t="s">
        <v>1740</v>
      </c>
      <c r="E83" s="695"/>
      <c r="F83" s="674">
        <v>1</v>
      </c>
      <c r="G83" s="675" t="s">
        <v>801</v>
      </c>
      <c r="H83" s="676" t="s">
        <v>1571</v>
      </c>
      <c r="I83" s="674">
        <v>2</v>
      </c>
      <c r="J83" s="675" t="s">
        <v>1511</v>
      </c>
      <c r="K83" s="677" t="s">
        <v>1586</v>
      </c>
      <c r="L83" s="674">
        <v>3</v>
      </c>
      <c r="M83" s="678" t="s">
        <v>1507</v>
      </c>
      <c r="N83" s="677" t="s">
        <v>1575</v>
      </c>
      <c r="O83" s="674">
        <v>4</v>
      </c>
      <c r="P83" s="678" t="s">
        <v>1498</v>
      </c>
      <c r="Q83" s="677" t="s">
        <v>1795</v>
      </c>
      <c r="R83" s="674"/>
      <c r="S83" s="680"/>
      <c r="T83" s="681"/>
      <c r="U83" s="674"/>
      <c r="V83" s="680"/>
      <c r="W83" s="681"/>
      <c r="X83" s="674"/>
      <c r="Y83" s="680"/>
      <c r="Z83" s="681"/>
      <c r="AA83" s="674"/>
      <c r="AB83" s="680"/>
      <c r="AC83" s="681"/>
      <c r="AD83" s="674"/>
      <c r="AE83" s="680"/>
      <c r="AF83" s="681"/>
      <c r="AG83" s="674"/>
      <c r="AH83" s="680"/>
      <c r="AI83" s="681"/>
      <c r="AJ83" s="674"/>
      <c r="AK83" s="680"/>
      <c r="AL83" s="681"/>
    </row>
    <row r="84" spans="1:38" x14ac:dyDescent="0.55000000000000004">
      <c r="A84" s="706">
        <v>43530</v>
      </c>
      <c r="B84" s="682">
        <v>19081</v>
      </c>
      <c r="C84" s="745"/>
      <c r="D84" s="685" t="s">
        <v>1741</v>
      </c>
      <c r="E84" s="695" t="s">
        <v>1742</v>
      </c>
      <c r="F84" s="674">
        <v>1</v>
      </c>
      <c r="G84" s="675" t="s">
        <v>1794</v>
      </c>
      <c r="H84" s="676" t="s">
        <v>1787</v>
      </c>
      <c r="I84" s="674"/>
      <c r="J84" s="690"/>
      <c r="K84" s="681"/>
      <c r="L84" s="674"/>
      <c r="M84" s="680"/>
      <c r="N84" s="681"/>
      <c r="O84" s="674"/>
      <c r="P84" s="680"/>
      <c r="Q84" s="681"/>
      <c r="R84" s="674"/>
      <c r="S84" s="680"/>
      <c r="T84" s="681"/>
      <c r="U84" s="674"/>
      <c r="V84" s="680"/>
      <c r="W84" s="681"/>
      <c r="X84" s="674"/>
      <c r="Y84" s="680"/>
      <c r="Z84" s="681"/>
      <c r="AA84" s="674"/>
      <c r="AB84" s="680"/>
      <c r="AC84" s="681"/>
      <c r="AD84" s="674"/>
      <c r="AE84" s="680"/>
      <c r="AF84" s="681"/>
      <c r="AG84" s="674"/>
      <c r="AH84" s="680"/>
      <c r="AI84" s="681"/>
      <c r="AJ84" s="674"/>
      <c r="AK84" s="680"/>
      <c r="AL84" s="681"/>
    </row>
    <row r="85" spans="1:38" x14ac:dyDescent="0.55000000000000004">
      <c r="A85" s="706">
        <v>43530</v>
      </c>
      <c r="B85" s="682">
        <v>19082</v>
      </c>
      <c r="C85" s="745"/>
      <c r="D85" s="685" t="s">
        <v>2142</v>
      </c>
      <c r="E85" s="695" t="s">
        <v>1743</v>
      </c>
      <c r="F85" s="674">
        <v>1</v>
      </c>
      <c r="G85" s="675" t="s">
        <v>1636</v>
      </c>
      <c r="H85" s="676" t="s">
        <v>1575</v>
      </c>
      <c r="I85" s="674"/>
      <c r="J85" s="690"/>
      <c r="K85" s="681"/>
      <c r="L85" s="674"/>
      <c r="M85" s="680"/>
      <c r="N85" s="681"/>
      <c r="O85" s="674"/>
      <c r="P85" s="680"/>
      <c r="Q85" s="681"/>
      <c r="R85" s="674"/>
      <c r="S85" s="680"/>
      <c r="T85" s="681"/>
      <c r="U85" s="674"/>
      <c r="V85" s="680"/>
      <c r="W85" s="681"/>
      <c r="X85" s="674"/>
      <c r="Y85" s="680"/>
      <c r="Z85" s="681"/>
      <c r="AA85" s="674"/>
      <c r="AB85" s="680"/>
      <c r="AC85" s="681"/>
      <c r="AD85" s="674"/>
      <c r="AE85" s="680"/>
      <c r="AF85" s="681"/>
      <c r="AG85" s="674"/>
      <c r="AH85" s="680"/>
      <c r="AI85" s="681"/>
      <c r="AJ85" s="674"/>
      <c r="AK85" s="680"/>
      <c r="AL85" s="681"/>
    </row>
    <row r="86" spans="1:38" x14ac:dyDescent="0.55000000000000004">
      <c r="A86" s="706">
        <v>43532</v>
      </c>
      <c r="B86" s="682">
        <v>19083</v>
      </c>
      <c r="C86" s="684">
        <v>19026139</v>
      </c>
      <c r="D86" s="685" t="s">
        <v>1744</v>
      </c>
      <c r="E86" s="695"/>
      <c r="F86" s="674">
        <v>1</v>
      </c>
      <c r="G86" s="675" t="s">
        <v>1701</v>
      </c>
      <c r="H86" s="676" t="s">
        <v>1579</v>
      </c>
      <c r="I86" s="674"/>
      <c r="J86" s="690"/>
      <c r="K86" s="681"/>
      <c r="L86" s="674"/>
      <c r="M86" s="680"/>
      <c r="N86" s="681"/>
      <c r="O86" s="674"/>
      <c r="P86" s="680"/>
      <c r="Q86" s="681"/>
      <c r="R86" s="674"/>
      <c r="S86" s="680"/>
      <c r="T86" s="681"/>
      <c r="U86" s="674"/>
      <c r="V86" s="680"/>
      <c r="W86" s="681"/>
      <c r="X86" s="674"/>
      <c r="Y86" s="680"/>
      <c r="Z86" s="681"/>
      <c r="AA86" s="674"/>
      <c r="AB86" s="680"/>
      <c r="AC86" s="681"/>
      <c r="AD86" s="674"/>
      <c r="AE86" s="680"/>
      <c r="AF86" s="681"/>
      <c r="AG86" s="674"/>
      <c r="AH86" s="680"/>
      <c r="AI86" s="681"/>
      <c r="AJ86" s="674"/>
      <c r="AK86" s="680"/>
      <c r="AL86" s="681"/>
    </row>
    <row r="87" spans="1:38" x14ac:dyDescent="0.55000000000000004">
      <c r="A87" s="706">
        <v>43535</v>
      </c>
      <c r="B87" s="682">
        <v>19084</v>
      </c>
      <c r="C87" s="684">
        <v>19016105</v>
      </c>
      <c r="D87" s="685" t="s">
        <v>1737</v>
      </c>
      <c r="E87" s="695"/>
      <c r="F87" s="674">
        <v>1</v>
      </c>
      <c r="G87" s="675" t="s">
        <v>1561</v>
      </c>
      <c r="H87" s="676" t="s">
        <v>1571</v>
      </c>
      <c r="I87" s="674">
        <v>2</v>
      </c>
      <c r="J87" s="675" t="s">
        <v>1634</v>
      </c>
      <c r="K87" s="677" t="s">
        <v>1578</v>
      </c>
      <c r="L87" s="674">
        <v>3</v>
      </c>
      <c r="M87" s="678" t="s">
        <v>1502</v>
      </c>
      <c r="N87" s="677" t="s">
        <v>1575</v>
      </c>
      <c r="O87" s="674">
        <v>4</v>
      </c>
      <c r="P87" s="678" t="s">
        <v>1791</v>
      </c>
      <c r="Q87" s="677" t="s">
        <v>1792</v>
      </c>
      <c r="R87" s="674">
        <v>5</v>
      </c>
      <c r="S87" s="678" t="s">
        <v>1793</v>
      </c>
      <c r="T87" s="677" t="s">
        <v>1586</v>
      </c>
      <c r="U87" s="674">
        <v>6</v>
      </c>
      <c r="V87" s="678" t="s">
        <v>1515</v>
      </c>
      <c r="W87" s="677" t="s">
        <v>1586</v>
      </c>
      <c r="X87" s="674">
        <v>7</v>
      </c>
      <c r="Y87" s="678" t="s">
        <v>1503</v>
      </c>
      <c r="Z87" s="677" t="s">
        <v>1632</v>
      </c>
      <c r="AA87" s="674"/>
      <c r="AB87" s="680"/>
      <c r="AC87" s="681"/>
      <c r="AD87" s="674"/>
      <c r="AE87" s="680"/>
      <c r="AF87" s="681"/>
      <c r="AG87" s="674"/>
      <c r="AH87" s="680"/>
      <c r="AI87" s="681"/>
      <c r="AJ87" s="674"/>
      <c r="AK87" s="680"/>
      <c r="AL87" s="681"/>
    </row>
    <row r="88" spans="1:38" x14ac:dyDescent="0.55000000000000004">
      <c r="A88" s="706">
        <v>43535</v>
      </c>
      <c r="B88" s="682">
        <v>19085</v>
      </c>
      <c r="C88" s="745"/>
      <c r="D88" s="685" t="s">
        <v>1349</v>
      </c>
      <c r="E88" s="709"/>
      <c r="F88" s="674">
        <v>1</v>
      </c>
      <c r="G88" s="675" t="s">
        <v>1789</v>
      </c>
      <c r="H88" s="676" t="s">
        <v>1790</v>
      </c>
      <c r="I88" s="674"/>
      <c r="J88" s="690"/>
      <c r="K88" s="681"/>
      <c r="L88" s="674"/>
      <c r="M88" s="680"/>
      <c r="N88" s="681"/>
      <c r="O88" s="674"/>
      <c r="P88" s="680"/>
      <c r="Q88" s="681"/>
      <c r="R88" s="674"/>
      <c r="S88" s="680"/>
      <c r="T88" s="681"/>
      <c r="U88" s="674"/>
      <c r="V88" s="680"/>
      <c r="W88" s="681"/>
      <c r="X88" s="674"/>
      <c r="Y88" s="680"/>
      <c r="Z88" s="681"/>
      <c r="AA88" s="674"/>
      <c r="AB88" s="680"/>
      <c r="AC88" s="681"/>
      <c r="AD88" s="674"/>
      <c r="AE88" s="680"/>
      <c r="AF88" s="681"/>
      <c r="AG88" s="674"/>
      <c r="AH88" s="680"/>
      <c r="AI88" s="681"/>
      <c r="AJ88" s="674"/>
      <c r="AK88" s="680"/>
      <c r="AL88" s="681"/>
    </row>
    <row r="89" spans="1:38" x14ac:dyDescent="0.55000000000000004">
      <c r="A89" s="706">
        <v>43537</v>
      </c>
      <c r="B89" s="682">
        <v>19086</v>
      </c>
      <c r="C89" s="745"/>
      <c r="D89" s="685" t="s">
        <v>1741</v>
      </c>
      <c r="E89" s="695" t="s">
        <v>1776</v>
      </c>
      <c r="F89" s="674">
        <v>1</v>
      </c>
      <c r="G89" s="675" t="s">
        <v>1788</v>
      </c>
      <c r="H89" s="676" t="s">
        <v>1787</v>
      </c>
      <c r="I89" s="674"/>
      <c r="J89" s="690"/>
      <c r="K89" s="681"/>
      <c r="L89" s="674"/>
      <c r="M89" s="680"/>
      <c r="N89" s="681"/>
      <c r="O89" s="674"/>
      <c r="P89" s="680"/>
      <c r="Q89" s="681"/>
      <c r="R89" s="674"/>
      <c r="S89" s="680"/>
      <c r="T89" s="681"/>
      <c r="U89" s="674"/>
      <c r="V89" s="680"/>
      <c r="W89" s="681"/>
      <c r="X89" s="674"/>
      <c r="Y89" s="680"/>
      <c r="Z89" s="681"/>
      <c r="AA89" s="674"/>
      <c r="AB89" s="680"/>
      <c r="AC89" s="681"/>
      <c r="AD89" s="674"/>
      <c r="AE89" s="680"/>
      <c r="AF89" s="681"/>
      <c r="AG89" s="674"/>
      <c r="AH89" s="680"/>
      <c r="AI89" s="681"/>
      <c r="AJ89" s="674"/>
      <c r="AK89" s="680"/>
      <c r="AL89" s="681"/>
    </row>
    <row r="90" spans="1:38" x14ac:dyDescent="0.55000000000000004">
      <c r="A90" s="706">
        <v>43537</v>
      </c>
      <c r="B90" s="682">
        <v>19087</v>
      </c>
      <c r="C90" s="745"/>
      <c r="D90" s="685" t="s">
        <v>1741</v>
      </c>
      <c r="E90" s="695" t="s">
        <v>1777</v>
      </c>
      <c r="F90" s="674">
        <v>1</v>
      </c>
      <c r="G90" s="675" t="s">
        <v>1786</v>
      </c>
      <c r="H90" s="676" t="s">
        <v>1787</v>
      </c>
      <c r="I90" s="674"/>
      <c r="J90" s="690"/>
      <c r="K90" s="681"/>
      <c r="L90" s="674"/>
      <c r="M90" s="680"/>
      <c r="N90" s="681"/>
      <c r="O90" s="674"/>
      <c r="P90" s="680"/>
      <c r="Q90" s="681"/>
      <c r="R90" s="674"/>
      <c r="S90" s="680"/>
      <c r="T90" s="681"/>
      <c r="U90" s="674"/>
      <c r="V90" s="680"/>
      <c r="W90" s="681"/>
      <c r="X90" s="674"/>
      <c r="Y90" s="680"/>
      <c r="Z90" s="681"/>
      <c r="AA90" s="674"/>
      <c r="AB90" s="680"/>
      <c r="AC90" s="681"/>
      <c r="AD90" s="674"/>
      <c r="AE90" s="680"/>
      <c r="AF90" s="681"/>
      <c r="AG90" s="674"/>
      <c r="AH90" s="680"/>
      <c r="AI90" s="681"/>
      <c r="AJ90" s="674"/>
      <c r="AK90" s="680"/>
      <c r="AL90" s="681"/>
    </row>
    <row r="91" spans="1:38" x14ac:dyDescent="0.55000000000000004">
      <c r="A91" s="706">
        <v>43538</v>
      </c>
      <c r="B91" s="682">
        <v>19088</v>
      </c>
      <c r="C91" s="684">
        <v>19026116</v>
      </c>
      <c r="D91" s="685" t="s">
        <v>1331</v>
      </c>
      <c r="E91" s="695"/>
      <c r="F91" s="674">
        <v>1</v>
      </c>
      <c r="G91" s="675" t="s">
        <v>1600</v>
      </c>
      <c r="H91" s="676" t="s">
        <v>1571</v>
      </c>
      <c r="I91" s="674">
        <v>2</v>
      </c>
      <c r="J91" s="675" t="s">
        <v>1511</v>
      </c>
      <c r="K91" s="677" t="s">
        <v>1575</v>
      </c>
      <c r="L91" s="674">
        <v>3</v>
      </c>
      <c r="M91" s="678" t="s">
        <v>1502</v>
      </c>
      <c r="N91" s="677" t="s">
        <v>1575</v>
      </c>
      <c r="O91" s="674">
        <v>4</v>
      </c>
      <c r="P91" s="678" t="s">
        <v>1498</v>
      </c>
      <c r="Q91" s="677" t="s">
        <v>1580</v>
      </c>
      <c r="R91" s="674">
        <v>5</v>
      </c>
      <c r="S91" s="678" t="s">
        <v>1503</v>
      </c>
      <c r="T91" s="677" t="s">
        <v>1584</v>
      </c>
      <c r="U91" s="674"/>
      <c r="V91" s="680"/>
      <c r="W91" s="681"/>
      <c r="X91" s="674"/>
      <c r="Y91" s="680"/>
      <c r="Z91" s="681"/>
      <c r="AA91" s="674"/>
      <c r="AB91" s="680"/>
      <c r="AC91" s="681"/>
      <c r="AD91" s="674"/>
      <c r="AE91" s="680"/>
      <c r="AF91" s="681"/>
      <c r="AG91" s="674"/>
      <c r="AH91" s="680"/>
      <c r="AI91" s="681"/>
      <c r="AJ91" s="674"/>
      <c r="AK91" s="680"/>
      <c r="AL91" s="681"/>
    </row>
    <row r="92" spans="1:38" x14ac:dyDescent="0.55000000000000004">
      <c r="A92" s="706">
        <v>43538</v>
      </c>
      <c r="B92" s="682">
        <v>19089</v>
      </c>
      <c r="C92" s="684">
        <v>19026123</v>
      </c>
      <c r="D92" s="685" t="s">
        <v>1738</v>
      </c>
      <c r="E92" s="695"/>
      <c r="F92" s="674">
        <v>1</v>
      </c>
      <c r="G92" s="675" t="s">
        <v>658</v>
      </c>
      <c r="H92" s="676" t="s">
        <v>1571</v>
      </c>
      <c r="I92" s="674">
        <v>2</v>
      </c>
      <c r="J92" s="675" t="s">
        <v>657</v>
      </c>
      <c r="K92" s="677" t="s">
        <v>1571</v>
      </c>
      <c r="L92" s="674">
        <v>3</v>
      </c>
      <c r="M92" s="678" t="s">
        <v>1511</v>
      </c>
      <c r="N92" s="677" t="s">
        <v>1578</v>
      </c>
      <c r="O92" s="674">
        <v>4</v>
      </c>
      <c r="P92" s="678" t="s">
        <v>1502</v>
      </c>
      <c r="Q92" s="677" t="s">
        <v>1583</v>
      </c>
      <c r="R92" s="674">
        <v>5</v>
      </c>
      <c r="S92" s="678" t="s">
        <v>1498</v>
      </c>
      <c r="T92" s="677" t="s">
        <v>1785</v>
      </c>
      <c r="U92" s="674"/>
      <c r="V92" s="680"/>
      <c r="W92" s="681"/>
      <c r="X92" s="674"/>
      <c r="Y92" s="680"/>
      <c r="Z92" s="681"/>
      <c r="AA92" s="674"/>
      <c r="AB92" s="680"/>
      <c r="AC92" s="681"/>
      <c r="AD92" s="674"/>
      <c r="AE92" s="680"/>
      <c r="AF92" s="681"/>
      <c r="AG92" s="674"/>
      <c r="AH92" s="680"/>
      <c r="AI92" s="681"/>
      <c r="AJ92" s="674"/>
      <c r="AK92" s="680"/>
      <c r="AL92" s="681"/>
    </row>
    <row r="93" spans="1:38" x14ac:dyDescent="0.55000000000000004">
      <c r="A93" s="706">
        <v>43543</v>
      </c>
      <c r="B93" s="682">
        <v>19090</v>
      </c>
      <c r="C93" s="745"/>
      <c r="D93" s="685" t="s">
        <v>2142</v>
      </c>
      <c r="E93" s="695" t="s">
        <v>1743</v>
      </c>
      <c r="F93" s="674">
        <v>1</v>
      </c>
      <c r="G93" s="675" t="s">
        <v>1784</v>
      </c>
      <c r="H93" s="676" t="s">
        <v>1577</v>
      </c>
      <c r="I93" s="674"/>
      <c r="J93" s="690"/>
      <c r="K93" s="681"/>
      <c r="L93" s="674"/>
      <c r="M93" s="680"/>
      <c r="N93" s="681"/>
      <c r="O93" s="674"/>
      <c r="P93" s="680"/>
      <c r="Q93" s="681"/>
      <c r="R93" s="674"/>
      <c r="S93" s="680"/>
      <c r="T93" s="681"/>
      <c r="U93" s="674"/>
      <c r="V93" s="680"/>
      <c r="W93" s="681"/>
      <c r="X93" s="674"/>
      <c r="Y93" s="680"/>
      <c r="Z93" s="681"/>
      <c r="AA93" s="674"/>
      <c r="AB93" s="680"/>
      <c r="AC93" s="681"/>
      <c r="AD93" s="674"/>
      <c r="AE93" s="680"/>
      <c r="AF93" s="681"/>
      <c r="AG93" s="674"/>
      <c r="AH93" s="680"/>
      <c r="AI93" s="681"/>
      <c r="AJ93" s="674"/>
      <c r="AK93" s="680"/>
      <c r="AL93" s="681"/>
    </row>
    <row r="94" spans="1:38" x14ac:dyDescent="0.55000000000000004">
      <c r="A94" s="706">
        <v>43543</v>
      </c>
      <c r="B94" s="682">
        <v>19091</v>
      </c>
      <c r="C94" s="684">
        <v>19036153</v>
      </c>
      <c r="D94" s="685" t="s">
        <v>1331</v>
      </c>
      <c r="E94" s="695"/>
      <c r="F94" s="674">
        <v>1</v>
      </c>
      <c r="G94" s="675" t="s">
        <v>1767</v>
      </c>
      <c r="H94" s="676" t="s">
        <v>1571</v>
      </c>
      <c r="I94" s="674">
        <v>2</v>
      </c>
      <c r="J94" s="675" t="s">
        <v>1511</v>
      </c>
      <c r="K94" s="677" t="s">
        <v>1574</v>
      </c>
      <c r="L94" s="674">
        <v>3</v>
      </c>
      <c r="M94" s="678" t="s">
        <v>1502</v>
      </c>
      <c r="N94" s="677" t="s">
        <v>1575</v>
      </c>
      <c r="O94" s="674">
        <v>4</v>
      </c>
      <c r="P94" s="678" t="s">
        <v>1498</v>
      </c>
      <c r="Q94" s="677" t="s">
        <v>1783</v>
      </c>
      <c r="R94" s="674">
        <v>5</v>
      </c>
      <c r="S94" s="678" t="s">
        <v>1503</v>
      </c>
      <c r="T94" s="677" t="s">
        <v>1584</v>
      </c>
      <c r="U94" s="674"/>
      <c r="V94" s="680"/>
      <c r="W94" s="681"/>
      <c r="X94" s="674"/>
      <c r="Y94" s="680"/>
      <c r="Z94" s="681"/>
      <c r="AA94" s="674"/>
      <c r="AB94" s="680"/>
      <c r="AC94" s="681"/>
      <c r="AD94" s="674"/>
      <c r="AE94" s="680"/>
      <c r="AF94" s="681"/>
      <c r="AG94" s="674"/>
      <c r="AH94" s="680"/>
      <c r="AI94" s="681"/>
      <c r="AJ94" s="674"/>
      <c r="AK94" s="680"/>
      <c r="AL94" s="681"/>
    </row>
    <row r="95" spans="1:38" x14ac:dyDescent="0.55000000000000004">
      <c r="A95" s="706">
        <v>43543</v>
      </c>
      <c r="B95" s="682">
        <v>19092</v>
      </c>
      <c r="C95" s="684">
        <v>19026131</v>
      </c>
      <c r="D95" s="685" t="s">
        <v>1738</v>
      </c>
      <c r="E95" s="695"/>
      <c r="F95" s="674">
        <v>1</v>
      </c>
      <c r="G95" s="675" t="s">
        <v>593</v>
      </c>
      <c r="H95" s="676" t="s">
        <v>1581</v>
      </c>
      <c r="I95" s="674">
        <v>2</v>
      </c>
      <c r="J95" s="675" t="s">
        <v>1511</v>
      </c>
      <c r="K95" s="677" t="s">
        <v>1582</v>
      </c>
      <c r="L95" s="674">
        <v>3</v>
      </c>
      <c r="M95" s="678" t="s">
        <v>1507</v>
      </c>
      <c r="N95" s="677" t="s">
        <v>1582</v>
      </c>
      <c r="O95" s="674">
        <v>4</v>
      </c>
      <c r="P95" s="678" t="s">
        <v>1508</v>
      </c>
      <c r="Q95" s="677" t="s">
        <v>1782</v>
      </c>
      <c r="R95" s="674"/>
      <c r="S95" s="680"/>
      <c r="T95" s="681"/>
      <c r="U95" s="674"/>
      <c r="V95" s="680"/>
      <c r="W95" s="681"/>
      <c r="X95" s="674"/>
      <c r="Y95" s="680"/>
      <c r="Z95" s="681"/>
      <c r="AA95" s="674"/>
      <c r="AB95" s="680"/>
      <c r="AC95" s="681"/>
      <c r="AD95" s="674"/>
      <c r="AE95" s="680"/>
      <c r="AF95" s="681"/>
      <c r="AG95" s="674"/>
      <c r="AH95" s="680"/>
      <c r="AI95" s="681"/>
      <c r="AJ95" s="674"/>
      <c r="AK95" s="680"/>
      <c r="AL95" s="681"/>
    </row>
    <row r="96" spans="1:38" x14ac:dyDescent="0.55000000000000004">
      <c r="A96" s="707">
        <v>43544</v>
      </c>
      <c r="B96" s="671">
        <v>19093</v>
      </c>
      <c r="C96" s="672">
        <v>19036147</v>
      </c>
      <c r="D96" s="693" t="s">
        <v>1842</v>
      </c>
      <c r="E96" s="702"/>
      <c r="F96" s="674">
        <v>1</v>
      </c>
      <c r="G96" s="675" t="s">
        <v>594</v>
      </c>
      <c r="H96" s="676" t="s">
        <v>1797</v>
      </c>
      <c r="I96" s="674">
        <v>2</v>
      </c>
      <c r="J96" s="675" t="s">
        <v>1506</v>
      </c>
      <c r="K96" s="677" t="s">
        <v>1633</v>
      </c>
      <c r="L96" s="674">
        <v>3</v>
      </c>
      <c r="M96" s="678" t="s">
        <v>1507</v>
      </c>
      <c r="N96" s="677" t="s">
        <v>1633</v>
      </c>
      <c r="O96" s="674">
        <v>4</v>
      </c>
      <c r="P96" s="678" t="s">
        <v>1498</v>
      </c>
      <c r="Q96" s="677" t="s">
        <v>2332</v>
      </c>
      <c r="R96" s="674"/>
      <c r="S96" s="680"/>
      <c r="T96" s="681"/>
      <c r="U96" s="674"/>
      <c r="V96" s="680"/>
      <c r="W96" s="681"/>
      <c r="X96" s="674"/>
      <c r="Y96" s="680"/>
      <c r="Z96" s="681"/>
      <c r="AA96" s="674"/>
      <c r="AB96" s="680"/>
      <c r="AC96" s="681"/>
      <c r="AD96" s="674"/>
      <c r="AE96" s="680"/>
      <c r="AF96" s="681"/>
      <c r="AG96" s="674"/>
      <c r="AH96" s="680"/>
      <c r="AI96" s="681"/>
      <c r="AJ96" s="674"/>
      <c r="AK96" s="680"/>
      <c r="AL96" s="681"/>
    </row>
    <row r="97" spans="1:38" x14ac:dyDescent="0.55000000000000004">
      <c r="A97" s="682"/>
      <c r="B97" s="683">
        <v>19094</v>
      </c>
      <c r="C97" s="684"/>
      <c r="D97" s="685"/>
      <c r="E97" s="708"/>
      <c r="F97" s="674">
        <v>1</v>
      </c>
      <c r="G97" s="675" t="s">
        <v>594</v>
      </c>
      <c r="H97" s="676" t="s">
        <v>1579</v>
      </c>
      <c r="I97" s="674">
        <v>2</v>
      </c>
      <c r="J97" s="675" t="s">
        <v>1506</v>
      </c>
      <c r="K97" s="677" t="s">
        <v>1583</v>
      </c>
      <c r="L97" s="674">
        <v>3</v>
      </c>
      <c r="M97" s="678" t="s">
        <v>1507</v>
      </c>
      <c r="N97" s="677" t="s">
        <v>1583</v>
      </c>
      <c r="O97" s="674">
        <v>4</v>
      </c>
      <c r="P97" s="678" t="s">
        <v>1498</v>
      </c>
      <c r="Q97" s="677" t="s">
        <v>1590</v>
      </c>
      <c r="R97" s="674"/>
      <c r="S97" s="680"/>
      <c r="T97" s="681"/>
      <c r="U97" s="674"/>
      <c r="V97" s="680"/>
      <c r="W97" s="681"/>
      <c r="X97" s="674"/>
      <c r="Y97" s="680"/>
      <c r="Z97" s="681"/>
      <c r="AA97" s="674"/>
      <c r="AB97" s="680"/>
      <c r="AC97" s="681"/>
      <c r="AD97" s="674"/>
      <c r="AE97" s="680"/>
      <c r="AF97" s="681"/>
      <c r="AG97" s="674"/>
      <c r="AH97" s="680"/>
      <c r="AI97" s="681"/>
      <c r="AJ97" s="674"/>
      <c r="AK97" s="680"/>
      <c r="AL97" s="681"/>
    </row>
    <row r="98" spans="1:38" x14ac:dyDescent="0.55000000000000004">
      <c r="A98" s="707">
        <v>43544</v>
      </c>
      <c r="B98" s="692">
        <v>19095</v>
      </c>
      <c r="C98" s="700">
        <v>19036151</v>
      </c>
      <c r="D98" s="693" t="s">
        <v>1493</v>
      </c>
      <c r="E98" s="702"/>
      <c r="F98" s="674">
        <v>1</v>
      </c>
      <c r="G98" s="675" t="s">
        <v>593</v>
      </c>
      <c r="H98" s="676" t="s">
        <v>1579</v>
      </c>
      <c r="I98" s="674">
        <v>2</v>
      </c>
      <c r="J98" s="675" t="s">
        <v>1506</v>
      </c>
      <c r="K98" s="677" t="s">
        <v>1583</v>
      </c>
      <c r="L98" s="674">
        <v>3</v>
      </c>
      <c r="M98" s="678" t="s">
        <v>1507</v>
      </c>
      <c r="N98" s="677" t="s">
        <v>1583</v>
      </c>
      <c r="O98" s="674">
        <v>4</v>
      </c>
      <c r="P98" s="678" t="s">
        <v>1508</v>
      </c>
      <c r="Q98" s="677" t="s">
        <v>1927</v>
      </c>
      <c r="R98" s="674"/>
      <c r="S98" s="680"/>
      <c r="T98" s="681"/>
      <c r="U98" s="674"/>
      <c r="V98" s="680"/>
      <c r="W98" s="681"/>
      <c r="X98" s="674"/>
      <c r="Y98" s="680"/>
      <c r="Z98" s="681"/>
      <c r="AA98" s="674"/>
      <c r="AB98" s="680"/>
      <c r="AC98" s="681"/>
      <c r="AD98" s="674"/>
      <c r="AE98" s="680"/>
      <c r="AF98" s="681"/>
      <c r="AG98" s="674"/>
      <c r="AH98" s="680"/>
      <c r="AI98" s="681"/>
      <c r="AJ98" s="674"/>
      <c r="AK98" s="680"/>
      <c r="AL98" s="681"/>
    </row>
    <row r="99" spans="1:38" x14ac:dyDescent="0.55000000000000004">
      <c r="A99" s="698"/>
      <c r="B99" s="703">
        <v>19096</v>
      </c>
      <c r="C99" s="700"/>
      <c r="D99" s="701"/>
      <c r="E99" s="726"/>
      <c r="F99" s="674">
        <v>1</v>
      </c>
      <c r="G99" s="675" t="s">
        <v>593</v>
      </c>
      <c r="H99" s="676" t="s">
        <v>1579</v>
      </c>
      <c r="I99" s="674">
        <v>2</v>
      </c>
      <c r="J99" s="675" t="s">
        <v>1506</v>
      </c>
      <c r="K99" s="677" t="s">
        <v>1583</v>
      </c>
      <c r="L99" s="674">
        <v>3</v>
      </c>
      <c r="M99" s="678" t="s">
        <v>1507</v>
      </c>
      <c r="N99" s="677" t="s">
        <v>1583</v>
      </c>
      <c r="O99" s="674">
        <v>4</v>
      </c>
      <c r="P99" s="678" t="s">
        <v>1508</v>
      </c>
      <c r="Q99" s="677" t="s">
        <v>1927</v>
      </c>
      <c r="R99" s="674"/>
      <c r="S99" s="680"/>
      <c r="T99" s="681"/>
      <c r="U99" s="674"/>
      <c r="V99" s="680"/>
      <c r="W99" s="681"/>
      <c r="X99" s="674"/>
      <c r="Y99" s="680"/>
      <c r="Z99" s="681"/>
      <c r="AA99" s="674"/>
      <c r="AB99" s="680"/>
      <c r="AC99" s="681"/>
      <c r="AD99" s="674"/>
      <c r="AE99" s="680"/>
      <c r="AF99" s="681"/>
      <c r="AG99" s="674"/>
      <c r="AH99" s="680"/>
      <c r="AI99" s="681"/>
      <c r="AJ99" s="674"/>
      <c r="AK99" s="680"/>
      <c r="AL99" s="681"/>
    </row>
    <row r="100" spans="1:38" x14ac:dyDescent="0.55000000000000004">
      <c r="A100" s="698"/>
      <c r="B100" s="703">
        <v>19097</v>
      </c>
      <c r="C100" s="700"/>
      <c r="D100" s="704"/>
      <c r="E100" s="726"/>
      <c r="F100" s="674">
        <v>1</v>
      </c>
      <c r="G100" s="675" t="s">
        <v>593</v>
      </c>
      <c r="H100" s="676" t="s">
        <v>1579</v>
      </c>
      <c r="I100" s="674">
        <v>2</v>
      </c>
      <c r="J100" s="675" t="s">
        <v>1506</v>
      </c>
      <c r="K100" s="677" t="s">
        <v>1583</v>
      </c>
      <c r="L100" s="674">
        <v>3</v>
      </c>
      <c r="M100" s="678" t="s">
        <v>1507</v>
      </c>
      <c r="N100" s="677" t="s">
        <v>1583</v>
      </c>
      <c r="O100" s="674">
        <v>4</v>
      </c>
      <c r="P100" s="678" t="s">
        <v>1508</v>
      </c>
      <c r="Q100" s="677" t="s">
        <v>1927</v>
      </c>
      <c r="R100" s="674"/>
      <c r="S100" s="680"/>
      <c r="T100" s="681"/>
      <c r="U100" s="674"/>
      <c r="V100" s="680"/>
      <c r="W100" s="681"/>
      <c r="X100" s="674"/>
      <c r="Y100" s="680"/>
      <c r="Z100" s="681"/>
      <c r="AA100" s="674"/>
      <c r="AB100" s="680"/>
      <c r="AC100" s="681"/>
      <c r="AD100" s="674"/>
      <c r="AE100" s="680"/>
      <c r="AF100" s="681"/>
      <c r="AG100" s="674"/>
      <c r="AH100" s="680"/>
      <c r="AI100" s="681"/>
      <c r="AJ100" s="674"/>
      <c r="AK100" s="680"/>
      <c r="AL100" s="681"/>
    </row>
    <row r="101" spans="1:38" x14ac:dyDescent="0.55000000000000004">
      <c r="A101" s="682"/>
      <c r="B101" s="682">
        <v>19098</v>
      </c>
      <c r="C101" s="684"/>
      <c r="D101" s="705"/>
      <c r="E101" s="708"/>
      <c r="F101" s="674">
        <v>1</v>
      </c>
      <c r="G101" s="675" t="s">
        <v>593</v>
      </c>
      <c r="H101" s="676" t="s">
        <v>1579</v>
      </c>
      <c r="I101" s="674">
        <v>2</v>
      </c>
      <c r="J101" s="675" t="s">
        <v>1506</v>
      </c>
      <c r="K101" s="677" t="s">
        <v>1583</v>
      </c>
      <c r="L101" s="674">
        <v>3</v>
      </c>
      <c r="M101" s="678" t="s">
        <v>1507</v>
      </c>
      <c r="N101" s="677" t="s">
        <v>1583</v>
      </c>
      <c r="O101" s="674">
        <v>4</v>
      </c>
      <c r="P101" s="678" t="s">
        <v>1508</v>
      </c>
      <c r="Q101" s="677" t="s">
        <v>1927</v>
      </c>
      <c r="R101" s="674"/>
      <c r="S101" s="680"/>
      <c r="T101" s="681"/>
      <c r="U101" s="674"/>
      <c r="V101" s="680"/>
      <c r="W101" s="681"/>
      <c r="X101" s="674"/>
      <c r="Y101" s="680"/>
      <c r="Z101" s="681"/>
      <c r="AA101" s="674"/>
      <c r="AB101" s="680"/>
      <c r="AC101" s="681"/>
      <c r="AD101" s="674"/>
      <c r="AE101" s="680"/>
      <c r="AF101" s="681"/>
      <c r="AG101" s="674"/>
      <c r="AH101" s="680"/>
      <c r="AI101" s="681"/>
      <c r="AJ101" s="674"/>
      <c r="AK101" s="680"/>
      <c r="AL101" s="681"/>
    </row>
    <row r="102" spans="1:38" x14ac:dyDescent="0.55000000000000004">
      <c r="A102" s="706">
        <v>43547</v>
      </c>
      <c r="B102" s="682">
        <v>19099</v>
      </c>
      <c r="C102" s="684">
        <v>19016110</v>
      </c>
      <c r="D102" s="685" t="s">
        <v>1736</v>
      </c>
      <c r="E102" s="695"/>
      <c r="F102" s="674">
        <v>1</v>
      </c>
      <c r="G102" s="675" t="s">
        <v>1216</v>
      </c>
      <c r="H102" s="676" t="s">
        <v>1571</v>
      </c>
      <c r="I102" s="674">
        <v>2</v>
      </c>
      <c r="J102" s="675" t="s">
        <v>1503</v>
      </c>
      <c r="K102" s="677" t="s">
        <v>1584</v>
      </c>
      <c r="L102" s="674"/>
      <c r="M102" s="680"/>
      <c r="N102" s="681"/>
      <c r="O102" s="674"/>
      <c r="P102" s="680"/>
      <c r="Q102" s="681"/>
      <c r="R102" s="674"/>
      <c r="S102" s="680"/>
      <c r="T102" s="681"/>
      <c r="U102" s="674"/>
      <c r="V102" s="680"/>
      <c r="W102" s="681"/>
      <c r="X102" s="674"/>
      <c r="Y102" s="680"/>
      <c r="Z102" s="681"/>
      <c r="AA102" s="674"/>
      <c r="AB102" s="680"/>
      <c r="AC102" s="681"/>
      <c r="AD102" s="674"/>
      <c r="AE102" s="680"/>
      <c r="AF102" s="681"/>
      <c r="AG102" s="674"/>
      <c r="AH102" s="680"/>
      <c r="AI102" s="681"/>
      <c r="AJ102" s="674"/>
      <c r="AK102" s="680"/>
      <c r="AL102" s="681"/>
    </row>
    <row r="103" spans="1:38" x14ac:dyDescent="0.55000000000000004">
      <c r="A103" s="706">
        <v>43549</v>
      </c>
      <c r="B103" s="682">
        <v>19100</v>
      </c>
      <c r="C103" s="684">
        <v>19036156</v>
      </c>
      <c r="D103" s="685" t="s">
        <v>1331</v>
      </c>
      <c r="E103" s="695"/>
      <c r="F103" s="674">
        <v>1</v>
      </c>
      <c r="G103" s="675" t="s">
        <v>737</v>
      </c>
      <c r="H103" s="676" t="s">
        <v>1571</v>
      </c>
      <c r="I103" s="674">
        <v>2</v>
      </c>
      <c r="J103" s="675" t="s">
        <v>1511</v>
      </c>
      <c r="K103" s="677" t="s">
        <v>1574</v>
      </c>
      <c r="L103" s="674">
        <v>3</v>
      </c>
      <c r="M103" s="678" t="s">
        <v>1502</v>
      </c>
      <c r="N103" s="677" t="s">
        <v>1575</v>
      </c>
      <c r="O103" s="674">
        <v>4</v>
      </c>
      <c r="P103" s="678" t="s">
        <v>1498</v>
      </c>
      <c r="Q103" s="677" t="s">
        <v>1802</v>
      </c>
      <c r="R103" s="674">
        <v>5</v>
      </c>
      <c r="S103" s="678" t="s">
        <v>1503</v>
      </c>
      <c r="T103" s="677" t="s">
        <v>1801</v>
      </c>
      <c r="U103" s="674"/>
      <c r="V103" s="680"/>
      <c r="W103" s="681"/>
      <c r="X103" s="674"/>
      <c r="Y103" s="680"/>
      <c r="Z103" s="681"/>
      <c r="AA103" s="674"/>
      <c r="AB103" s="680"/>
      <c r="AC103" s="681"/>
      <c r="AD103" s="674"/>
      <c r="AE103" s="680"/>
      <c r="AF103" s="681"/>
      <c r="AG103" s="674"/>
      <c r="AH103" s="680"/>
      <c r="AI103" s="681"/>
      <c r="AJ103" s="674"/>
      <c r="AK103" s="680"/>
      <c r="AL103" s="681"/>
    </row>
    <row r="104" spans="1:38" x14ac:dyDescent="0.55000000000000004">
      <c r="A104" s="706">
        <v>43549</v>
      </c>
      <c r="B104" s="682">
        <v>19101</v>
      </c>
      <c r="C104" s="684">
        <v>19036155</v>
      </c>
      <c r="D104" s="685" t="s">
        <v>1740</v>
      </c>
      <c r="E104" s="695"/>
      <c r="F104" s="674">
        <v>1</v>
      </c>
      <c r="G104" s="675" t="s">
        <v>826</v>
      </c>
      <c r="H104" s="676" t="s">
        <v>1571</v>
      </c>
      <c r="I104" s="674"/>
      <c r="J104" s="690"/>
      <c r="K104" s="681"/>
      <c r="L104" s="674"/>
      <c r="M104" s="680"/>
      <c r="N104" s="681"/>
      <c r="O104" s="674"/>
      <c r="P104" s="680"/>
      <c r="Q104" s="681"/>
      <c r="R104" s="674"/>
      <c r="S104" s="680"/>
      <c r="T104" s="681"/>
      <c r="U104" s="674"/>
      <c r="V104" s="680"/>
      <c r="W104" s="681"/>
      <c r="X104" s="674"/>
      <c r="Y104" s="680"/>
      <c r="Z104" s="681"/>
      <c r="AA104" s="674"/>
      <c r="AB104" s="680"/>
      <c r="AC104" s="681"/>
      <c r="AD104" s="674"/>
      <c r="AE104" s="680"/>
      <c r="AF104" s="681"/>
      <c r="AG104" s="674"/>
      <c r="AH104" s="680"/>
      <c r="AI104" s="681"/>
      <c r="AJ104" s="674"/>
      <c r="AK104" s="680"/>
      <c r="AL104" s="681"/>
    </row>
    <row r="105" spans="1:38" x14ac:dyDescent="0.55000000000000004">
      <c r="A105" s="706">
        <v>43551</v>
      </c>
      <c r="B105" s="682">
        <v>19102</v>
      </c>
      <c r="C105" s="684">
        <v>19016090</v>
      </c>
      <c r="D105" s="685" t="s">
        <v>1843</v>
      </c>
      <c r="E105" s="695"/>
      <c r="F105" s="674">
        <v>1</v>
      </c>
      <c r="G105" s="675" t="s">
        <v>849</v>
      </c>
      <c r="H105" s="676" t="s">
        <v>1579</v>
      </c>
      <c r="I105" s="674">
        <v>2</v>
      </c>
      <c r="J105" s="675" t="s">
        <v>829</v>
      </c>
      <c r="K105" s="677" t="s">
        <v>1571</v>
      </c>
      <c r="L105" s="674">
        <v>3</v>
      </c>
      <c r="M105" s="678" t="s">
        <v>1157</v>
      </c>
      <c r="N105" s="677" t="s">
        <v>1571</v>
      </c>
      <c r="O105" s="674">
        <v>4</v>
      </c>
      <c r="P105" s="678" t="s">
        <v>1634</v>
      </c>
      <c r="Q105" s="677" t="s">
        <v>1574</v>
      </c>
      <c r="R105" s="674">
        <v>5</v>
      </c>
      <c r="S105" s="678" t="s">
        <v>1507</v>
      </c>
      <c r="T105" s="677" t="s">
        <v>1633</v>
      </c>
      <c r="U105" s="674">
        <v>6</v>
      </c>
      <c r="V105" s="678" t="s">
        <v>1498</v>
      </c>
      <c r="W105" s="677" t="s">
        <v>1928</v>
      </c>
      <c r="X105" s="674"/>
      <c r="Y105" s="680"/>
      <c r="Z105" s="681"/>
      <c r="AA105" s="674"/>
      <c r="AB105" s="680"/>
      <c r="AC105" s="681"/>
      <c r="AD105" s="674"/>
      <c r="AE105" s="680"/>
      <c r="AF105" s="681"/>
      <c r="AG105" s="674"/>
      <c r="AH105" s="680"/>
      <c r="AI105" s="681"/>
      <c r="AJ105" s="674"/>
      <c r="AK105" s="680"/>
      <c r="AL105" s="681"/>
    </row>
    <row r="106" spans="1:38" x14ac:dyDescent="0.55000000000000004">
      <c r="A106" s="670">
        <v>43551</v>
      </c>
      <c r="B106" s="692">
        <v>19103</v>
      </c>
      <c r="C106" s="672">
        <v>19036162</v>
      </c>
      <c r="D106" s="693" t="s">
        <v>1844</v>
      </c>
      <c r="E106" s="725"/>
      <c r="F106" s="674">
        <v>1</v>
      </c>
      <c r="G106" s="675" t="s">
        <v>833</v>
      </c>
      <c r="H106" s="676" t="s">
        <v>1571</v>
      </c>
      <c r="I106" s="674">
        <v>2</v>
      </c>
      <c r="J106" s="675" t="s">
        <v>660</v>
      </c>
      <c r="K106" s="677" t="s">
        <v>1571</v>
      </c>
      <c r="L106" s="674">
        <v>3</v>
      </c>
      <c r="M106" s="678" t="s">
        <v>1929</v>
      </c>
      <c r="N106" s="677" t="s">
        <v>1578</v>
      </c>
      <c r="O106" s="674">
        <v>4</v>
      </c>
      <c r="P106" s="678" t="s">
        <v>1502</v>
      </c>
      <c r="Q106" s="677" t="s">
        <v>1583</v>
      </c>
      <c r="R106" s="674">
        <v>5</v>
      </c>
      <c r="S106" s="678" t="s">
        <v>1498</v>
      </c>
      <c r="T106" s="677" t="s">
        <v>1930</v>
      </c>
      <c r="U106" s="674"/>
      <c r="V106" s="680"/>
      <c r="W106" s="681"/>
      <c r="X106" s="674"/>
      <c r="Y106" s="680"/>
      <c r="Z106" s="681"/>
      <c r="AA106" s="674"/>
      <c r="AB106" s="680"/>
      <c r="AC106" s="681"/>
      <c r="AD106" s="674"/>
      <c r="AE106" s="680"/>
      <c r="AF106" s="681"/>
      <c r="AG106" s="674"/>
      <c r="AH106" s="680"/>
      <c r="AI106" s="681"/>
      <c r="AJ106" s="674"/>
      <c r="AK106" s="680"/>
      <c r="AL106" s="681"/>
    </row>
    <row r="107" spans="1:38" x14ac:dyDescent="0.55000000000000004">
      <c r="A107" s="682"/>
      <c r="B107" s="682">
        <v>19104</v>
      </c>
      <c r="C107" s="684"/>
      <c r="D107" s="685"/>
      <c r="E107" s="708"/>
      <c r="F107" s="674">
        <v>1</v>
      </c>
      <c r="G107" s="675" t="s">
        <v>833</v>
      </c>
      <c r="H107" s="676" t="s">
        <v>1571</v>
      </c>
      <c r="I107" s="674">
        <v>2</v>
      </c>
      <c r="J107" s="675" t="s">
        <v>660</v>
      </c>
      <c r="K107" s="677" t="s">
        <v>1571</v>
      </c>
      <c r="L107" s="674">
        <v>3</v>
      </c>
      <c r="M107" s="678" t="s">
        <v>1929</v>
      </c>
      <c r="N107" s="677" t="s">
        <v>1578</v>
      </c>
      <c r="O107" s="674">
        <v>4</v>
      </c>
      <c r="P107" s="678" t="s">
        <v>1502</v>
      </c>
      <c r="Q107" s="677" t="s">
        <v>1583</v>
      </c>
      <c r="R107" s="674">
        <v>5</v>
      </c>
      <c r="S107" s="678" t="s">
        <v>1498</v>
      </c>
      <c r="T107" s="677" t="s">
        <v>1930</v>
      </c>
      <c r="U107" s="674"/>
      <c r="V107" s="680"/>
      <c r="W107" s="681"/>
      <c r="X107" s="674"/>
      <c r="Y107" s="680"/>
      <c r="Z107" s="681"/>
      <c r="AA107" s="674"/>
      <c r="AB107" s="680"/>
      <c r="AC107" s="681"/>
      <c r="AD107" s="674"/>
      <c r="AE107" s="680"/>
      <c r="AF107" s="681"/>
      <c r="AG107" s="674"/>
      <c r="AH107" s="680"/>
      <c r="AI107" s="681"/>
      <c r="AJ107" s="674"/>
      <c r="AK107" s="680"/>
      <c r="AL107" s="681"/>
    </row>
    <row r="108" spans="1:38" x14ac:dyDescent="0.55000000000000004">
      <c r="A108" s="706">
        <v>43554</v>
      </c>
      <c r="B108" s="682">
        <v>19105</v>
      </c>
      <c r="C108" s="684">
        <v>19036177</v>
      </c>
      <c r="D108" s="685" t="s">
        <v>1920</v>
      </c>
      <c r="E108" s="695"/>
      <c r="F108" s="674">
        <v>1</v>
      </c>
      <c r="G108" s="675" t="s">
        <v>755</v>
      </c>
      <c r="H108" s="676" t="s">
        <v>1571</v>
      </c>
      <c r="I108" s="674"/>
      <c r="J108" s="690"/>
      <c r="K108" s="681"/>
      <c r="L108" s="674"/>
      <c r="M108" s="680"/>
      <c r="N108" s="681"/>
      <c r="O108" s="674"/>
      <c r="P108" s="680"/>
      <c r="Q108" s="681"/>
      <c r="R108" s="674"/>
      <c r="S108" s="680"/>
      <c r="T108" s="681"/>
      <c r="U108" s="674"/>
      <c r="V108" s="680"/>
      <c r="W108" s="681"/>
      <c r="X108" s="674"/>
      <c r="Y108" s="680"/>
      <c r="Z108" s="681"/>
      <c r="AA108" s="674"/>
      <c r="AB108" s="680"/>
      <c r="AC108" s="681"/>
      <c r="AD108" s="674"/>
      <c r="AE108" s="680"/>
      <c r="AF108" s="681"/>
      <c r="AG108" s="674"/>
      <c r="AH108" s="680"/>
      <c r="AI108" s="681"/>
      <c r="AJ108" s="674"/>
      <c r="AK108" s="680"/>
      <c r="AL108" s="681"/>
    </row>
    <row r="109" spans="1:38" x14ac:dyDescent="0.55000000000000004">
      <c r="A109" s="670">
        <v>43559</v>
      </c>
      <c r="B109" s="692">
        <v>19106</v>
      </c>
      <c r="C109" s="700">
        <v>19026133</v>
      </c>
      <c r="D109" s="693" t="s">
        <v>1677</v>
      </c>
      <c r="E109" s="702"/>
      <c r="F109" s="674">
        <v>1</v>
      </c>
      <c r="G109" s="675" t="s">
        <v>1689</v>
      </c>
      <c r="H109" s="676" t="s">
        <v>1571</v>
      </c>
      <c r="I109" s="674"/>
      <c r="J109" s="690"/>
      <c r="K109" s="681"/>
      <c r="L109" s="674"/>
      <c r="M109" s="680"/>
      <c r="N109" s="681"/>
      <c r="O109" s="674"/>
      <c r="P109" s="680"/>
      <c r="Q109" s="681"/>
      <c r="R109" s="674"/>
      <c r="S109" s="680"/>
      <c r="T109" s="681"/>
      <c r="U109" s="674"/>
      <c r="V109" s="680"/>
      <c r="W109" s="681"/>
      <c r="X109" s="674"/>
      <c r="Y109" s="680"/>
      <c r="Z109" s="681"/>
      <c r="AA109" s="674"/>
      <c r="AB109" s="680"/>
      <c r="AC109" s="681"/>
      <c r="AD109" s="674"/>
      <c r="AE109" s="680"/>
      <c r="AF109" s="681"/>
      <c r="AG109" s="674"/>
      <c r="AH109" s="680"/>
      <c r="AI109" s="681"/>
      <c r="AJ109" s="674"/>
      <c r="AK109" s="680"/>
      <c r="AL109" s="681"/>
    </row>
    <row r="110" spans="1:38" x14ac:dyDescent="0.55000000000000004">
      <c r="A110" s="698"/>
      <c r="B110" s="703">
        <v>19107</v>
      </c>
      <c r="C110" s="700"/>
      <c r="D110" s="701"/>
      <c r="E110" s="726"/>
      <c r="F110" s="674">
        <v>1</v>
      </c>
      <c r="G110" s="675" t="s">
        <v>1689</v>
      </c>
      <c r="H110" s="676" t="s">
        <v>1571</v>
      </c>
      <c r="I110" s="674"/>
      <c r="J110" s="690"/>
      <c r="K110" s="681"/>
      <c r="L110" s="674"/>
      <c r="M110" s="680"/>
      <c r="N110" s="681"/>
      <c r="O110" s="674"/>
      <c r="P110" s="680"/>
      <c r="Q110" s="681"/>
      <c r="R110" s="674"/>
      <c r="S110" s="680"/>
      <c r="T110" s="681"/>
      <c r="U110" s="674"/>
      <c r="V110" s="680"/>
      <c r="W110" s="681"/>
      <c r="X110" s="674"/>
      <c r="Y110" s="680"/>
      <c r="Z110" s="681"/>
      <c r="AA110" s="674"/>
      <c r="AB110" s="680"/>
      <c r="AC110" s="681"/>
      <c r="AD110" s="674"/>
      <c r="AE110" s="680"/>
      <c r="AF110" s="681"/>
      <c r="AG110" s="674"/>
      <c r="AH110" s="680"/>
      <c r="AI110" s="681"/>
      <c r="AJ110" s="674"/>
      <c r="AK110" s="680"/>
      <c r="AL110" s="681"/>
    </row>
    <row r="111" spans="1:38" x14ac:dyDescent="0.55000000000000004">
      <c r="A111" s="698"/>
      <c r="B111" s="703">
        <v>19108</v>
      </c>
      <c r="C111" s="700"/>
      <c r="D111" s="701"/>
      <c r="E111" s="726"/>
      <c r="F111" s="674">
        <v>1</v>
      </c>
      <c r="G111" s="675" t="s">
        <v>1921</v>
      </c>
      <c r="H111" s="676" t="s">
        <v>1575</v>
      </c>
      <c r="I111" s="674"/>
      <c r="J111" s="690"/>
      <c r="K111" s="681"/>
      <c r="L111" s="674"/>
      <c r="M111" s="680"/>
      <c r="N111" s="681"/>
      <c r="O111" s="674"/>
      <c r="P111" s="680"/>
      <c r="Q111" s="681"/>
      <c r="R111" s="674"/>
      <c r="S111" s="680"/>
      <c r="T111" s="681"/>
      <c r="U111" s="674"/>
      <c r="V111" s="680"/>
      <c r="W111" s="681"/>
      <c r="X111" s="674"/>
      <c r="Y111" s="680"/>
      <c r="Z111" s="681"/>
      <c r="AA111" s="674"/>
      <c r="AB111" s="680"/>
      <c r="AC111" s="681"/>
      <c r="AD111" s="674"/>
      <c r="AE111" s="680"/>
      <c r="AF111" s="681"/>
      <c r="AG111" s="674"/>
      <c r="AH111" s="680"/>
      <c r="AI111" s="681"/>
      <c r="AJ111" s="674"/>
      <c r="AK111" s="680"/>
      <c r="AL111" s="681"/>
    </row>
    <row r="112" spans="1:38" x14ac:dyDescent="0.55000000000000004">
      <c r="A112" s="682"/>
      <c r="B112" s="682">
        <v>19109</v>
      </c>
      <c r="C112" s="684"/>
      <c r="D112" s="685"/>
      <c r="E112" s="708"/>
      <c r="F112" s="674">
        <v>1</v>
      </c>
      <c r="G112" s="675" t="s">
        <v>1922</v>
      </c>
      <c r="H112" s="676" t="s">
        <v>1787</v>
      </c>
      <c r="I112" s="674"/>
      <c r="J112" s="690"/>
      <c r="K112" s="681"/>
      <c r="L112" s="674"/>
      <c r="M112" s="680"/>
      <c r="N112" s="681"/>
      <c r="O112" s="674"/>
      <c r="P112" s="680"/>
      <c r="Q112" s="681"/>
      <c r="R112" s="674"/>
      <c r="S112" s="680"/>
      <c r="T112" s="681"/>
      <c r="U112" s="674"/>
      <c r="V112" s="680"/>
      <c r="W112" s="681"/>
      <c r="X112" s="674"/>
      <c r="Y112" s="680"/>
      <c r="Z112" s="681"/>
      <c r="AA112" s="674"/>
      <c r="AB112" s="680"/>
      <c r="AC112" s="681"/>
      <c r="AD112" s="674"/>
      <c r="AE112" s="680"/>
      <c r="AF112" s="681"/>
      <c r="AG112" s="674"/>
      <c r="AH112" s="680"/>
      <c r="AI112" s="681"/>
      <c r="AJ112" s="674"/>
      <c r="AK112" s="680"/>
      <c r="AL112" s="681"/>
    </row>
    <row r="113" spans="1:38" x14ac:dyDescent="0.55000000000000004">
      <c r="A113" s="706">
        <v>43590</v>
      </c>
      <c r="B113" s="682">
        <v>19110</v>
      </c>
      <c r="C113" s="684">
        <v>19036148</v>
      </c>
      <c r="D113" s="685" t="s">
        <v>1923</v>
      </c>
      <c r="E113" s="695"/>
      <c r="F113" s="674">
        <v>1</v>
      </c>
      <c r="G113" s="675" t="s">
        <v>793</v>
      </c>
      <c r="H113" s="676" t="s">
        <v>1572</v>
      </c>
      <c r="I113" s="674">
        <v>2</v>
      </c>
      <c r="J113" s="675" t="s">
        <v>600</v>
      </c>
      <c r="K113" s="677" t="s">
        <v>1572</v>
      </c>
      <c r="L113" s="674">
        <v>3</v>
      </c>
      <c r="M113" s="678" t="s">
        <v>1929</v>
      </c>
      <c r="N113" s="677" t="s">
        <v>1578</v>
      </c>
      <c r="O113" s="674">
        <v>4</v>
      </c>
      <c r="P113" s="678" t="s">
        <v>1507</v>
      </c>
      <c r="Q113" s="677" t="s">
        <v>1931</v>
      </c>
      <c r="R113" s="674">
        <v>5</v>
      </c>
      <c r="S113" s="678" t="s">
        <v>1498</v>
      </c>
      <c r="T113" s="677" t="s">
        <v>1932</v>
      </c>
      <c r="U113" s="674">
        <v>6</v>
      </c>
      <c r="V113" s="678" t="s">
        <v>1933</v>
      </c>
      <c r="W113" s="677" t="s">
        <v>1578</v>
      </c>
      <c r="X113" s="674"/>
      <c r="Y113" s="680"/>
      <c r="Z113" s="681"/>
      <c r="AA113" s="674"/>
      <c r="AB113" s="680"/>
      <c r="AC113" s="681"/>
      <c r="AD113" s="674"/>
      <c r="AE113" s="680"/>
      <c r="AF113" s="681"/>
      <c r="AG113" s="674"/>
      <c r="AH113" s="680"/>
      <c r="AI113" s="681"/>
      <c r="AJ113" s="674"/>
      <c r="AK113" s="680"/>
      <c r="AL113" s="681"/>
    </row>
    <row r="114" spans="1:38" x14ac:dyDescent="0.55000000000000004">
      <c r="A114" s="706">
        <v>43717</v>
      </c>
      <c r="B114" s="682">
        <v>19111</v>
      </c>
      <c r="C114" s="684">
        <v>19026134</v>
      </c>
      <c r="D114" s="685" t="s">
        <v>1924</v>
      </c>
      <c r="E114" s="695"/>
      <c r="F114" s="674">
        <v>1</v>
      </c>
      <c r="G114" s="675" t="s">
        <v>1708</v>
      </c>
      <c r="H114" s="676" t="s">
        <v>1571</v>
      </c>
      <c r="I114" s="674">
        <v>2</v>
      </c>
      <c r="J114" s="675" t="s">
        <v>716</v>
      </c>
      <c r="K114" s="677" t="s">
        <v>1571</v>
      </c>
      <c r="L114" s="674">
        <v>3</v>
      </c>
      <c r="M114" s="678" t="s">
        <v>1634</v>
      </c>
      <c r="N114" s="677" t="s">
        <v>1583</v>
      </c>
      <c r="O114" s="674">
        <v>4</v>
      </c>
      <c r="P114" s="678" t="s">
        <v>1507</v>
      </c>
      <c r="Q114" s="677" t="s">
        <v>1583</v>
      </c>
      <c r="R114" s="674">
        <v>5</v>
      </c>
      <c r="S114" s="678" t="s">
        <v>1498</v>
      </c>
      <c r="T114" s="677" t="s">
        <v>1795</v>
      </c>
      <c r="U114" s="674">
        <v>6</v>
      </c>
      <c r="V114" s="678" t="s">
        <v>1934</v>
      </c>
      <c r="W114" s="677" t="s">
        <v>1586</v>
      </c>
      <c r="X114" s="674"/>
      <c r="Y114" s="680"/>
      <c r="Z114" s="681"/>
      <c r="AA114" s="674"/>
      <c r="AB114" s="680"/>
      <c r="AC114" s="681"/>
      <c r="AD114" s="674"/>
      <c r="AE114" s="680"/>
      <c r="AF114" s="681"/>
      <c r="AG114" s="674"/>
      <c r="AH114" s="680"/>
      <c r="AI114" s="681"/>
      <c r="AJ114" s="674"/>
      <c r="AK114" s="680"/>
      <c r="AL114" s="681"/>
    </row>
    <row r="115" spans="1:38" x14ac:dyDescent="0.55000000000000004">
      <c r="A115" s="706">
        <v>43717</v>
      </c>
      <c r="B115" s="682">
        <v>19112</v>
      </c>
      <c r="C115" s="684">
        <v>19036157</v>
      </c>
      <c r="D115" s="685" t="s">
        <v>1738</v>
      </c>
      <c r="E115" s="695"/>
      <c r="F115" s="674">
        <v>1</v>
      </c>
      <c r="G115" s="675" t="s">
        <v>593</v>
      </c>
      <c r="H115" s="676" t="s">
        <v>1581</v>
      </c>
      <c r="I115" s="674">
        <v>2</v>
      </c>
      <c r="J115" s="675" t="s">
        <v>1511</v>
      </c>
      <c r="K115" s="677" t="s">
        <v>1582</v>
      </c>
      <c r="L115" s="674">
        <v>3</v>
      </c>
      <c r="M115" s="678" t="s">
        <v>1507</v>
      </c>
      <c r="N115" s="677" t="s">
        <v>1582</v>
      </c>
      <c r="O115" s="674">
        <v>4</v>
      </c>
      <c r="P115" s="678" t="s">
        <v>1508</v>
      </c>
      <c r="Q115" s="677" t="s">
        <v>1592</v>
      </c>
      <c r="R115" s="674"/>
      <c r="S115" s="680"/>
      <c r="T115" s="681"/>
      <c r="U115" s="674"/>
      <c r="V115" s="680"/>
      <c r="W115" s="681"/>
      <c r="X115" s="674"/>
      <c r="Y115" s="680"/>
      <c r="Z115" s="681"/>
      <c r="AA115" s="674"/>
      <c r="AB115" s="680"/>
      <c r="AC115" s="681"/>
      <c r="AD115" s="674"/>
      <c r="AE115" s="680"/>
      <c r="AF115" s="681"/>
      <c r="AG115" s="674"/>
      <c r="AH115" s="680"/>
      <c r="AI115" s="681"/>
      <c r="AJ115" s="674"/>
      <c r="AK115" s="680"/>
      <c r="AL115" s="681"/>
    </row>
    <row r="116" spans="1:38" x14ac:dyDescent="0.55000000000000004">
      <c r="A116" s="706">
        <v>43717</v>
      </c>
      <c r="B116" s="682">
        <v>19113</v>
      </c>
      <c r="C116" s="684">
        <v>19016101</v>
      </c>
      <c r="D116" s="685" t="s">
        <v>1925</v>
      </c>
      <c r="E116" s="695"/>
      <c r="F116" s="674">
        <v>1</v>
      </c>
      <c r="G116" s="675" t="s">
        <v>1935</v>
      </c>
      <c r="H116" s="676" t="s">
        <v>1571</v>
      </c>
      <c r="I116" s="674">
        <v>2</v>
      </c>
      <c r="J116" s="675" t="s">
        <v>1936</v>
      </c>
      <c r="K116" s="677" t="s">
        <v>1571</v>
      </c>
      <c r="L116" s="674">
        <v>3</v>
      </c>
      <c r="M116" s="678" t="s">
        <v>1511</v>
      </c>
      <c r="N116" s="677" t="s">
        <v>1574</v>
      </c>
      <c r="O116" s="674">
        <v>4</v>
      </c>
      <c r="P116" s="678" t="s">
        <v>1631</v>
      </c>
      <c r="Q116" s="677" t="s">
        <v>1575</v>
      </c>
      <c r="R116" s="674">
        <v>5</v>
      </c>
      <c r="S116" s="678" t="s">
        <v>1502</v>
      </c>
      <c r="T116" s="677" t="s">
        <v>1583</v>
      </c>
      <c r="U116" s="674">
        <v>6</v>
      </c>
      <c r="V116" s="678" t="s">
        <v>1498</v>
      </c>
      <c r="W116" s="677" t="s">
        <v>1937</v>
      </c>
      <c r="X116" s="674">
        <v>7</v>
      </c>
      <c r="Y116" s="678" t="s">
        <v>1503</v>
      </c>
      <c r="Z116" s="677" t="s">
        <v>1938</v>
      </c>
      <c r="AA116" s="674"/>
      <c r="AB116" s="680"/>
      <c r="AC116" s="681"/>
      <c r="AD116" s="674"/>
      <c r="AE116" s="680"/>
      <c r="AF116" s="681"/>
      <c r="AG116" s="674"/>
      <c r="AH116" s="680"/>
      <c r="AI116" s="681"/>
      <c r="AJ116" s="674"/>
      <c r="AK116" s="680"/>
      <c r="AL116" s="681"/>
    </row>
    <row r="117" spans="1:38" x14ac:dyDescent="0.55000000000000004">
      <c r="A117" s="706">
        <v>43565</v>
      </c>
      <c r="B117" s="682">
        <v>19114</v>
      </c>
      <c r="C117" s="684">
        <v>19046182</v>
      </c>
      <c r="D117" s="685" t="s">
        <v>1926</v>
      </c>
      <c r="E117" s="695"/>
      <c r="F117" s="674">
        <v>1</v>
      </c>
      <c r="G117" s="675" t="s">
        <v>1908</v>
      </c>
      <c r="H117" s="676" t="s">
        <v>1571</v>
      </c>
      <c r="I117" s="674">
        <v>2</v>
      </c>
      <c r="J117" s="675" t="s">
        <v>1511</v>
      </c>
      <c r="K117" s="677" t="s">
        <v>1575</v>
      </c>
      <c r="L117" s="674">
        <v>3</v>
      </c>
      <c r="M117" s="678" t="s">
        <v>1503</v>
      </c>
      <c r="N117" s="677" t="s">
        <v>1584</v>
      </c>
      <c r="O117" s="674"/>
      <c r="P117" s="680"/>
      <c r="Q117" s="681"/>
      <c r="R117" s="674"/>
      <c r="S117" s="680"/>
      <c r="T117" s="681"/>
      <c r="U117" s="674"/>
      <c r="V117" s="680"/>
      <c r="W117" s="681"/>
      <c r="X117" s="674"/>
      <c r="Y117" s="680"/>
      <c r="Z117" s="681"/>
      <c r="AA117" s="674"/>
      <c r="AB117" s="680"/>
      <c r="AC117" s="681"/>
      <c r="AD117" s="674"/>
      <c r="AE117" s="680"/>
      <c r="AF117" s="681"/>
      <c r="AG117" s="674"/>
      <c r="AH117" s="680"/>
      <c r="AI117" s="681"/>
      <c r="AJ117" s="674"/>
      <c r="AK117" s="680"/>
      <c r="AL117" s="681"/>
    </row>
    <row r="118" spans="1:38" x14ac:dyDescent="0.55000000000000004">
      <c r="A118" s="706">
        <v>43565</v>
      </c>
      <c r="B118" s="682">
        <v>19115</v>
      </c>
      <c r="C118" s="684">
        <v>19046183</v>
      </c>
      <c r="D118" s="685" t="s">
        <v>1452</v>
      </c>
      <c r="E118" s="695"/>
      <c r="F118" s="674">
        <v>1</v>
      </c>
      <c r="G118" s="675" t="s">
        <v>1252</v>
      </c>
      <c r="H118" s="676" t="s">
        <v>1571</v>
      </c>
      <c r="I118" s="674">
        <v>2</v>
      </c>
      <c r="J118" s="675" t="s">
        <v>1511</v>
      </c>
      <c r="K118" s="677" t="s">
        <v>1575</v>
      </c>
      <c r="L118" s="674">
        <v>3</v>
      </c>
      <c r="M118" s="678" t="s">
        <v>1502</v>
      </c>
      <c r="N118" s="677" t="s">
        <v>1575</v>
      </c>
      <c r="O118" s="674">
        <v>4</v>
      </c>
      <c r="P118" s="678" t="s">
        <v>1498</v>
      </c>
      <c r="Q118" s="677" t="s">
        <v>1939</v>
      </c>
      <c r="R118" s="674">
        <v>5</v>
      </c>
      <c r="S118" s="678" t="s">
        <v>1503</v>
      </c>
      <c r="T118" s="677" t="s">
        <v>1584</v>
      </c>
      <c r="U118" s="674"/>
      <c r="V118" s="680"/>
      <c r="W118" s="681"/>
      <c r="X118" s="674"/>
      <c r="Y118" s="680"/>
      <c r="Z118" s="681"/>
      <c r="AA118" s="674"/>
      <c r="AB118" s="680"/>
      <c r="AC118" s="681"/>
      <c r="AD118" s="674"/>
      <c r="AE118" s="680"/>
      <c r="AF118" s="681"/>
      <c r="AG118" s="674"/>
      <c r="AH118" s="680"/>
      <c r="AI118" s="681"/>
      <c r="AJ118" s="674"/>
      <c r="AK118" s="680"/>
      <c r="AL118" s="681"/>
    </row>
    <row r="119" spans="1:38" x14ac:dyDescent="0.55000000000000004">
      <c r="A119" s="706">
        <v>43565</v>
      </c>
      <c r="B119" s="682">
        <v>19116</v>
      </c>
      <c r="C119" s="684">
        <v>19016111</v>
      </c>
      <c r="D119" s="685" t="s">
        <v>1736</v>
      </c>
      <c r="E119" s="695"/>
      <c r="F119" s="674">
        <v>1</v>
      </c>
      <c r="G119" s="675" t="s">
        <v>1606</v>
      </c>
      <c r="H119" s="676" t="s">
        <v>1579</v>
      </c>
      <c r="I119" s="674"/>
      <c r="J119" s="690"/>
      <c r="K119" s="681"/>
      <c r="L119" s="674"/>
      <c r="M119" s="680"/>
      <c r="N119" s="681"/>
      <c r="O119" s="674"/>
      <c r="P119" s="680"/>
      <c r="Q119" s="681"/>
      <c r="R119" s="674"/>
      <c r="S119" s="680"/>
      <c r="T119" s="681"/>
      <c r="U119" s="674"/>
      <c r="V119" s="680"/>
      <c r="W119" s="681"/>
      <c r="X119" s="674"/>
      <c r="Y119" s="680"/>
      <c r="Z119" s="681"/>
      <c r="AA119" s="674"/>
      <c r="AB119" s="680"/>
      <c r="AC119" s="681"/>
      <c r="AD119" s="674"/>
      <c r="AE119" s="680"/>
      <c r="AF119" s="681"/>
      <c r="AG119" s="674"/>
      <c r="AH119" s="680"/>
      <c r="AI119" s="681"/>
      <c r="AJ119" s="674"/>
      <c r="AK119" s="680"/>
      <c r="AL119" s="681"/>
    </row>
    <row r="120" spans="1:38" x14ac:dyDescent="0.55000000000000004">
      <c r="A120" s="706">
        <v>43574</v>
      </c>
      <c r="B120" s="682">
        <v>19117</v>
      </c>
      <c r="C120" s="684">
        <v>19046180</v>
      </c>
      <c r="D120" s="685" t="s">
        <v>1969</v>
      </c>
      <c r="E120" s="695"/>
      <c r="F120" s="674">
        <v>1</v>
      </c>
      <c r="G120" s="675" t="s">
        <v>1902</v>
      </c>
      <c r="H120" s="676" t="s">
        <v>1571</v>
      </c>
      <c r="I120" s="674">
        <v>2</v>
      </c>
      <c r="J120" s="675" t="s">
        <v>1634</v>
      </c>
      <c r="K120" s="677" t="s">
        <v>1574</v>
      </c>
      <c r="L120" s="674">
        <v>3</v>
      </c>
      <c r="M120" s="678" t="s">
        <v>1507</v>
      </c>
      <c r="N120" s="677" t="s">
        <v>1574</v>
      </c>
      <c r="O120" s="674">
        <v>4</v>
      </c>
      <c r="P120" s="678" t="s">
        <v>1498</v>
      </c>
      <c r="Q120" s="677" t="s">
        <v>2446</v>
      </c>
      <c r="R120" s="674">
        <v>5</v>
      </c>
      <c r="S120" s="678" t="s">
        <v>2447</v>
      </c>
      <c r="T120" s="677" t="s">
        <v>1586</v>
      </c>
      <c r="U120" s="674"/>
      <c r="V120" s="680"/>
      <c r="W120" s="681"/>
      <c r="X120" s="674"/>
      <c r="Y120" s="680"/>
      <c r="Z120" s="681"/>
      <c r="AA120" s="674"/>
      <c r="AB120" s="680"/>
      <c r="AC120" s="681"/>
      <c r="AD120" s="674"/>
      <c r="AE120" s="680"/>
      <c r="AF120" s="681"/>
      <c r="AG120" s="674"/>
      <c r="AH120" s="680"/>
      <c r="AI120" s="681"/>
      <c r="AJ120" s="674"/>
      <c r="AK120" s="680"/>
      <c r="AL120" s="681"/>
    </row>
    <row r="121" spans="1:38" x14ac:dyDescent="0.55000000000000004">
      <c r="A121" s="706">
        <v>43574</v>
      </c>
      <c r="B121" s="682">
        <v>19118</v>
      </c>
      <c r="C121" s="684">
        <v>19036163</v>
      </c>
      <c r="D121" s="685" t="s">
        <v>1970</v>
      </c>
      <c r="E121" s="695"/>
      <c r="F121" s="674">
        <v>1</v>
      </c>
      <c r="G121" s="675" t="s">
        <v>600</v>
      </c>
      <c r="H121" s="676" t="s">
        <v>1571</v>
      </c>
      <c r="I121" s="674">
        <v>2</v>
      </c>
      <c r="J121" s="675" t="s">
        <v>650</v>
      </c>
      <c r="K121" s="677" t="s">
        <v>1797</v>
      </c>
      <c r="L121" s="674">
        <v>3</v>
      </c>
      <c r="M121" s="678" t="s">
        <v>1634</v>
      </c>
      <c r="N121" s="677" t="s">
        <v>1574</v>
      </c>
      <c r="O121" s="674">
        <v>4</v>
      </c>
      <c r="P121" s="678" t="s">
        <v>1507</v>
      </c>
      <c r="Q121" s="677" t="s">
        <v>1633</v>
      </c>
      <c r="R121" s="674">
        <v>5</v>
      </c>
      <c r="S121" s="678" t="s">
        <v>1498</v>
      </c>
      <c r="T121" s="677" t="s">
        <v>2448</v>
      </c>
      <c r="U121" s="674"/>
      <c r="V121" s="680"/>
      <c r="W121" s="681"/>
      <c r="X121" s="674"/>
      <c r="Y121" s="680"/>
      <c r="Z121" s="681"/>
      <c r="AA121" s="674"/>
      <c r="AB121" s="680"/>
      <c r="AC121" s="681"/>
      <c r="AD121" s="674"/>
      <c r="AE121" s="680"/>
      <c r="AF121" s="681"/>
      <c r="AG121" s="674"/>
      <c r="AH121" s="680"/>
      <c r="AI121" s="681"/>
      <c r="AJ121" s="674"/>
      <c r="AK121" s="680"/>
      <c r="AL121" s="681"/>
    </row>
    <row r="122" spans="1:38" x14ac:dyDescent="0.55000000000000004">
      <c r="A122" s="706">
        <v>43574</v>
      </c>
      <c r="B122" s="682">
        <v>19119</v>
      </c>
      <c r="C122" s="684">
        <v>19036164</v>
      </c>
      <c r="D122" s="685" t="s">
        <v>1970</v>
      </c>
      <c r="E122" s="695"/>
      <c r="F122" s="674">
        <v>1</v>
      </c>
      <c r="G122" s="675" t="s">
        <v>650</v>
      </c>
      <c r="H122" s="676" t="s">
        <v>1797</v>
      </c>
      <c r="I122" s="674">
        <v>2</v>
      </c>
      <c r="J122" s="675" t="s">
        <v>600</v>
      </c>
      <c r="K122" s="677" t="s">
        <v>1571</v>
      </c>
      <c r="L122" s="674">
        <v>3</v>
      </c>
      <c r="M122" s="678" t="s">
        <v>1634</v>
      </c>
      <c r="N122" s="677" t="s">
        <v>1574</v>
      </c>
      <c r="O122" s="674">
        <v>4</v>
      </c>
      <c r="P122" s="678" t="s">
        <v>1507</v>
      </c>
      <c r="Q122" s="677" t="s">
        <v>1633</v>
      </c>
      <c r="R122" s="674">
        <v>5</v>
      </c>
      <c r="S122" s="678" t="s">
        <v>1498</v>
      </c>
      <c r="T122" s="677" t="s">
        <v>2448</v>
      </c>
      <c r="U122" s="674"/>
      <c r="V122" s="680"/>
      <c r="W122" s="681"/>
      <c r="X122" s="674"/>
      <c r="Y122" s="680"/>
      <c r="Z122" s="681"/>
      <c r="AA122" s="674"/>
      <c r="AB122" s="680"/>
      <c r="AC122" s="681"/>
      <c r="AD122" s="674"/>
      <c r="AE122" s="680"/>
      <c r="AF122" s="681"/>
      <c r="AG122" s="674"/>
      <c r="AH122" s="680"/>
      <c r="AI122" s="681"/>
      <c r="AJ122" s="674"/>
      <c r="AK122" s="680"/>
      <c r="AL122" s="681"/>
    </row>
    <row r="123" spans="1:38" x14ac:dyDescent="0.55000000000000004">
      <c r="A123" s="706">
        <v>43578</v>
      </c>
      <c r="B123" s="682">
        <v>19120</v>
      </c>
      <c r="C123" s="684">
        <v>19046184</v>
      </c>
      <c r="D123" s="685" t="s">
        <v>1624</v>
      </c>
      <c r="E123" s="695"/>
      <c r="F123" s="674">
        <v>1</v>
      </c>
      <c r="G123" s="675" t="s">
        <v>1951</v>
      </c>
      <c r="H123" s="676" t="s">
        <v>1571</v>
      </c>
      <c r="I123" s="674">
        <v>2</v>
      </c>
      <c r="J123" s="675" t="s">
        <v>1511</v>
      </c>
      <c r="K123" s="677" t="s">
        <v>1574</v>
      </c>
      <c r="L123" s="674">
        <v>3</v>
      </c>
      <c r="M123" s="678" t="s">
        <v>1507</v>
      </c>
      <c r="N123" s="677" t="s">
        <v>1575</v>
      </c>
      <c r="O123" s="674">
        <v>4</v>
      </c>
      <c r="P123" s="678" t="s">
        <v>1498</v>
      </c>
      <c r="Q123" s="677" t="s">
        <v>2449</v>
      </c>
      <c r="R123" s="674"/>
      <c r="S123" s="680"/>
      <c r="T123" s="681"/>
      <c r="U123" s="674"/>
      <c r="V123" s="680"/>
      <c r="W123" s="681"/>
      <c r="X123" s="674"/>
      <c r="Y123" s="680"/>
      <c r="Z123" s="681"/>
      <c r="AA123" s="674"/>
      <c r="AB123" s="680"/>
      <c r="AC123" s="681"/>
      <c r="AD123" s="674"/>
      <c r="AE123" s="680"/>
      <c r="AF123" s="681"/>
      <c r="AG123" s="674"/>
      <c r="AH123" s="680"/>
      <c r="AI123" s="681"/>
      <c r="AJ123" s="674"/>
      <c r="AK123" s="680"/>
      <c r="AL123" s="681"/>
    </row>
    <row r="124" spans="1:38" x14ac:dyDescent="0.55000000000000004">
      <c r="A124" s="706">
        <v>43578</v>
      </c>
      <c r="B124" s="682">
        <v>19121</v>
      </c>
      <c r="C124" s="684">
        <v>19036166</v>
      </c>
      <c r="D124" s="685" t="s">
        <v>1970</v>
      </c>
      <c r="E124" s="695"/>
      <c r="F124" s="674">
        <v>1</v>
      </c>
      <c r="G124" s="675" t="s">
        <v>600</v>
      </c>
      <c r="H124" s="676" t="s">
        <v>1571</v>
      </c>
      <c r="I124" s="674">
        <v>2</v>
      </c>
      <c r="J124" s="675" t="s">
        <v>650</v>
      </c>
      <c r="K124" s="677" t="s">
        <v>1579</v>
      </c>
      <c r="L124" s="674">
        <v>3</v>
      </c>
      <c r="M124" s="678" t="s">
        <v>1634</v>
      </c>
      <c r="N124" s="677" t="s">
        <v>1578</v>
      </c>
      <c r="O124" s="674">
        <v>4</v>
      </c>
      <c r="P124" s="678" t="s">
        <v>1507</v>
      </c>
      <c r="Q124" s="677" t="s">
        <v>1583</v>
      </c>
      <c r="R124" s="674">
        <v>5</v>
      </c>
      <c r="S124" s="678" t="s">
        <v>1498</v>
      </c>
      <c r="T124" s="677" t="s">
        <v>2450</v>
      </c>
      <c r="U124" s="674"/>
      <c r="V124" s="680"/>
      <c r="W124" s="681"/>
      <c r="X124" s="674"/>
      <c r="Y124" s="680"/>
      <c r="Z124" s="681"/>
      <c r="AA124" s="674"/>
      <c r="AB124" s="680"/>
      <c r="AC124" s="681"/>
      <c r="AD124" s="674"/>
      <c r="AE124" s="680"/>
      <c r="AF124" s="681"/>
      <c r="AG124" s="674"/>
      <c r="AH124" s="680"/>
      <c r="AI124" s="681"/>
      <c r="AJ124" s="674"/>
      <c r="AK124" s="680"/>
      <c r="AL124" s="681"/>
    </row>
    <row r="125" spans="1:38" x14ac:dyDescent="0.55000000000000004">
      <c r="A125" s="706">
        <v>43578</v>
      </c>
      <c r="B125" s="682">
        <v>19122</v>
      </c>
      <c r="C125" s="684">
        <v>19036167</v>
      </c>
      <c r="D125" s="685" t="s">
        <v>1970</v>
      </c>
      <c r="E125" s="695"/>
      <c r="F125" s="674">
        <v>1</v>
      </c>
      <c r="G125" s="675" t="s">
        <v>883</v>
      </c>
      <c r="H125" s="676" t="s">
        <v>1571</v>
      </c>
      <c r="I125" s="674">
        <v>2</v>
      </c>
      <c r="J125" s="675" t="s">
        <v>650</v>
      </c>
      <c r="K125" s="677" t="s">
        <v>1571</v>
      </c>
      <c r="L125" s="674">
        <v>3</v>
      </c>
      <c r="M125" s="678" t="s">
        <v>890</v>
      </c>
      <c r="N125" s="677" t="s">
        <v>1571</v>
      </c>
      <c r="O125" s="674">
        <v>4</v>
      </c>
      <c r="P125" s="678" t="s">
        <v>1634</v>
      </c>
      <c r="Q125" s="677" t="s">
        <v>1574</v>
      </c>
      <c r="R125" s="674">
        <v>5</v>
      </c>
      <c r="S125" s="678" t="s">
        <v>1507</v>
      </c>
      <c r="T125" s="677" t="s">
        <v>1583</v>
      </c>
      <c r="U125" s="674">
        <v>6</v>
      </c>
      <c r="V125" s="678" t="s">
        <v>1498</v>
      </c>
      <c r="W125" s="677" t="s">
        <v>2451</v>
      </c>
      <c r="X125" s="674"/>
      <c r="Y125" s="680"/>
      <c r="Z125" s="681"/>
      <c r="AA125" s="674"/>
      <c r="AB125" s="680"/>
      <c r="AC125" s="681"/>
      <c r="AD125" s="674"/>
      <c r="AE125" s="680"/>
      <c r="AF125" s="681"/>
      <c r="AG125" s="674"/>
      <c r="AH125" s="680"/>
      <c r="AI125" s="681"/>
      <c r="AJ125" s="674"/>
      <c r="AK125" s="680"/>
      <c r="AL125" s="681"/>
    </row>
    <row r="126" spans="1:38" x14ac:dyDescent="0.55000000000000004">
      <c r="A126" s="706">
        <v>43579</v>
      </c>
      <c r="B126" s="682">
        <v>19123</v>
      </c>
      <c r="C126" s="684">
        <v>19046193</v>
      </c>
      <c r="D126" s="685" t="s">
        <v>1548</v>
      </c>
      <c r="E126" s="695"/>
      <c r="F126" s="674">
        <v>1</v>
      </c>
      <c r="G126" s="675" t="s">
        <v>1966</v>
      </c>
      <c r="H126" s="676" t="s">
        <v>1571</v>
      </c>
      <c r="I126" s="674">
        <v>2</v>
      </c>
      <c r="J126" s="675" t="s">
        <v>1511</v>
      </c>
      <c r="K126" s="677" t="s">
        <v>1571</v>
      </c>
      <c r="L126" s="674">
        <v>3</v>
      </c>
      <c r="M126" s="678" t="s">
        <v>1507</v>
      </c>
      <c r="N126" s="677" t="s">
        <v>1575</v>
      </c>
      <c r="O126" s="674">
        <v>4</v>
      </c>
      <c r="P126" s="678" t="s">
        <v>1498</v>
      </c>
      <c r="Q126" s="677" t="s">
        <v>2056</v>
      </c>
      <c r="R126" s="674"/>
      <c r="S126" s="680"/>
      <c r="T126" s="681"/>
      <c r="U126" s="674"/>
      <c r="V126" s="680"/>
      <c r="W126" s="681"/>
      <c r="X126" s="674"/>
      <c r="Y126" s="680"/>
      <c r="Z126" s="681"/>
      <c r="AA126" s="674"/>
      <c r="AB126" s="680"/>
      <c r="AC126" s="681"/>
      <c r="AD126" s="674"/>
      <c r="AE126" s="680"/>
      <c r="AF126" s="681"/>
      <c r="AG126" s="674"/>
      <c r="AH126" s="680"/>
      <c r="AI126" s="681"/>
      <c r="AJ126" s="674"/>
      <c r="AK126" s="680"/>
      <c r="AL126" s="681"/>
    </row>
    <row r="127" spans="1:38" x14ac:dyDescent="0.55000000000000004">
      <c r="A127" s="706">
        <v>43580</v>
      </c>
      <c r="B127" s="682">
        <v>19124</v>
      </c>
      <c r="C127" s="684">
        <v>19036169</v>
      </c>
      <c r="D127" s="685" t="s">
        <v>2053</v>
      </c>
      <c r="E127" s="695"/>
      <c r="F127" s="674">
        <v>1</v>
      </c>
      <c r="G127" s="675" t="s">
        <v>1826</v>
      </c>
      <c r="H127" s="676" t="s">
        <v>1571</v>
      </c>
      <c r="I127" s="674">
        <v>2</v>
      </c>
      <c r="J127" s="675" t="s">
        <v>814</v>
      </c>
      <c r="K127" s="677" t="s">
        <v>1571</v>
      </c>
      <c r="L127" s="674">
        <v>3</v>
      </c>
      <c r="M127" s="678" t="s">
        <v>815</v>
      </c>
      <c r="N127" s="677" t="s">
        <v>1579</v>
      </c>
      <c r="O127" s="674">
        <v>4</v>
      </c>
      <c r="P127" s="678" t="s">
        <v>880</v>
      </c>
      <c r="Q127" s="677" t="s">
        <v>1571</v>
      </c>
      <c r="R127" s="674">
        <v>5</v>
      </c>
      <c r="S127" s="678" t="s">
        <v>883</v>
      </c>
      <c r="T127" s="677" t="s">
        <v>1571</v>
      </c>
      <c r="U127" s="674">
        <v>6</v>
      </c>
      <c r="V127" s="678" t="s">
        <v>1634</v>
      </c>
      <c r="W127" s="677" t="s">
        <v>1578</v>
      </c>
      <c r="X127" s="674">
        <v>7</v>
      </c>
      <c r="Y127" s="678" t="s">
        <v>2057</v>
      </c>
      <c r="Z127" s="677" t="s">
        <v>1633</v>
      </c>
      <c r="AA127" s="674">
        <v>8</v>
      </c>
      <c r="AB127" s="678" t="s">
        <v>1507</v>
      </c>
      <c r="AC127" s="677" t="s">
        <v>1575</v>
      </c>
      <c r="AD127" s="674">
        <v>9</v>
      </c>
      <c r="AE127" s="678" t="s">
        <v>1502</v>
      </c>
      <c r="AF127" s="677" t="s">
        <v>1575</v>
      </c>
      <c r="AG127" s="674">
        <v>10</v>
      </c>
      <c r="AH127" s="678" t="s">
        <v>2058</v>
      </c>
      <c r="AI127" s="677" t="s">
        <v>2059</v>
      </c>
      <c r="AJ127" s="674">
        <v>11</v>
      </c>
      <c r="AK127" s="678" t="s">
        <v>1503</v>
      </c>
      <c r="AL127" s="677" t="s">
        <v>2063</v>
      </c>
    </row>
    <row r="128" spans="1:38" x14ac:dyDescent="0.55000000000000004">
      <c r="A128" s="706">
        <v>43587</v>
      </c>
      <c r="B128" s="682">
        <v>19125</v>
      </c>
      <c r="C128" s="684">
        <v>19046196</v>
      </c>
      <c r="D128" s="685" t="s">
        <v>2054</v>
      </c>
      <c r="E128" s="695"/>
      <c r="F128" s="674">
        <v>1</v>
      </c>
      <c r="G128" s="675" t="s">
        <v>1992</v>
      </c>
      <c r="H128" s="676" t="s">
        <v>1571</v>
      </c>
      <c r="I128" s="674">
        <v>2</v>
      </c>
      <c r="J128" s="675" t="s">
        <v>1631</v>
      </c>
      <c r="K128" s="677" t="s">
        <v>1578</v>
      </c>
      <c r="L128" s="674">
        <v>3</v>
      </c>
      <c r="M128" s="678" t="s">
        <v>1507</v>
      </c>
      <c r="N128" s="677" t="s">
        <v>1575</v>
      </c>
      <c r="O128" s="674">
        <v>4</v>
      </c>
      <c r="P128" s="678" t="s">
        <v>1498</v>
      </c>
      <c r="Q128" s="677" t="s">
        <v>2060</v>
      </c>
      <c r="R128" s="674">
        <v>5</v>
      </c>
      <c r="S128" s="678" t="s">
        <v>2061</v>
      </c>
      <c r="T128" s="677" t="s">
        <v>2062</v>
      </c>
      <c r="U128" s="674">
        <v>6</v>
      </c>
      <c r="V128" s="678" t="s">
        <v>1636</v>
      </c>
      <c r="W128" s="677" t="s">
        <v>1575</v>
      </c>
      <c r="X128" s="674">
        <v>7</v>
      </c>
      <c r="Y128" s="678" t="s">
        <v>1503</v>
      </c>
      <c r="Z128" s="677" t="s">
        <v>1597</v>
      </c>
      <c r="AA128" s="674"/>
      <c r="AB128" s="680"/>
      <c r="AC128" s="681"/>
      <c r="AD128" s="674"/>
      <c r="AE128" s="680"/>
      <c r="AF128" s="681"/>
      <c r="AG128" s="674"/>
      <c r="AH128" s="680"/>
      <c r="AI128" s="681"/>
      <c r="AJ128" s="674"/>
      <c r="AK128" s="680"/>
      <c r="AL128" s="681"/>
    </row>
    <row r="129" spans="1:38" x14ac:dyDescent="0.55000000000000004">
      <c r="A129" s="706">
        <v>43593</v>
      </c>
      <c r="B129" s="682">
        <v>19126</v>
      </c>
      <c r="C129" s="684">
        <v>19046194</v>
      </c>
      <c r="D129" s="685" t="s">
        <v>1970</v>
      </c>
      <c r="E129" s="695"/>
      <c r="F129" s="674">
        <v>1</v>
      </c>
      <c r="G129" s="675" t="s">
        <v>650</v>
      </c>
      <c r="H129" s="676" t="s">
        <v>1581</v>
      </c>
      <c r="I129" s="674">
        <v>2</v>
      </c>
      <c r="J129" s="675" t="s">
        <v>600</v>
      </c>
      <c r="K129" s="677" t="s">
        <v>1571</v>
      </c>
      <c r="L129" s="674">
        <v>3</v>
      </c>
      <c r="M129" s="678" t="s">
        <v>1634</v>
      </c>
      <c r="N129" s="677" t="s">
        <v>1578</v>
      </c>
      <c r="O129" s="674">
        <v>4</v>
      </c>
      <c r="P129" s="678" t="s">
        <v>1507</v>
      </c>
      <c r="Q129" s="677" t="s">
        <v>1582</v>
      </c>
      <c r="R129" s="674">
        <v>5</v>
      </c>
      <c r="S129" s="678" t="s">
        <v>1498</v>
      </c>
      <c r="T129" s="677" t="s">
        <v>2064</v>
      </c>
      <c r="U129" s="674"/>
      <c r="V129" s="680"/>
      <c r="W129" s="681"/>
      <c r="X129" s="674"/>
      <c r="Y129" s="680"/>
      <c r="Z129" s="681"/>
      <c r="AA129" s="674"/>
      <c r="AB129" s="680"/>
      <c r="AC129" s="681"/>
      <c r="AD129" s="674"/>
      <c r="AE129" s="680"/>
      <c r="AF129" s="681"/>
      <c r="AG129" s="674"/>
      <c r="AH129" s="680"/>
      <c r="AI129" s="681"/>
      <c r="AJ129" s="674"/>
      <c r="AK129" s="680"/>
      <c r="AL129" s="681"/>
    </row>
    <row r="130" spans="1:38" x14ac:dyDescent="0.55000000000000004">
      <c r="A130" s="706">
        <v>43595</v>
      </c>
      <c r="B130" s="682">
        <v>19127</v>
      </c>
      <c r="C130" s="684">
        <v>19046192</v>
      </c>
      <c r="D130" s="685" t="s">
        <v>1490</v>
      </c>
      <c r="E130" s="695"/>
      <c r="F130" s="674">
        <v>1</v>
      </c>
      <c r="G130" s="675" t="s">
        <v>2065</v>
      </c>
      <c r="H130" s="676" t="s">
        <v>1571</v>
      </c>
      <c r="I130" s="674">
        <v>2</v>
      </c>
      <c r="J130" s="675" t="s">
        <v>2066</v>
      </c>
      <c r="K130" s="677" t="s">
        <v>1571</v>
      </c>
      <c r="L130" s="674">
        <v>3</v>
      </c>
      <c r="M130" s="678" t="s">
        <v>1511</v>
      </c>
      <c r="N130" s="677" t="s">
        <v>1633</v>
      </c>
      <c r="O130" s="674">
        <v>4</v>
      </c>
      <c r="P130" s="678" t="s">
        <v>1502</v>
      </c>
      <c r="Q130" s="677" t="s">
        <v>1578</v>
      </c>
      <c r="R130" s="674">
        <v>5</v>
      </c>
      <c r="S130" s="678" t="s">
        <v>1503</v>
      </c>
      <c r="T130" s="677" t="s">
        <v>1632</v>
      </c>
      <c r="U130" s="674">
        <v>6</v>
      </c>
      <c r="V130" s="678" t="s">
        <v>1498</v>
      </c>
      <c r="W130" s="677" t="s">
        <v>2062</v>
      </c>
      <c r="X130" s="674"/>
      <c r="Y130" s="680"/>
      <c r="Z130" s="681"/>
      <c r="AA130" s="674"/>
      <c r="AB130" s="680"/>
      <c r="AC130" s="681"/>
      <c r="AD130" s="674"/>
      <c r="AE130" s="680"/>
      <c r="AF130" s="681"/>
      <c r="AG130" s="674"/>
      <c r="AH130" s="680"/>
      <c r="AI130" s="681"/>
      <c r="AJ130" s="674"/>
      <c r="AK130" s="680"/>
      <c r="AL130" s="681"/>
    </row>
    <row r="131" spans="1:38" x14ac:dyDescent="0.55000000000000004">
      <c r="A131" s="706">
        <v>43599</v>
      </c>
      <c r="B131" s="682">
        <v>19128</v>
      </c>
      <c r="C131" s="684">
        <v>19036173</v>
      </c>
      <c r="D131" s="685" t="s">
        <v>1331</v>
      </c>
      <c r="E131" s="695"/>
      <c r="F131" s="674">
        <v>1</v>
      </c>
      <c r="G131" s="675" t="s">
        <v>1887</v>
      </c>
      <c r="H131" s="676" t="s">
        <v>1579</v>
      </c>
      <c r="I131" s="674">
        <v>2</v>
      </c>
      <c r="J131" s="675" t="s">
        <v>1511</v>
      </c>
      <c r="K131" s="677" t="s">
        <v>1633</v>
      </c>
      <c r="L131" s="674">
        <v>3</v>
      </c>
      <c r="M131" s="678" t="s">
        <v>1502</v>
      </c>
      <c r="N131" s="677" t="s">
        <v>1583</v>
      </c>
      <c r="O131" s="674">
        <v>4</v>
      </c>
      <c r="P131" s="678" t="s">
        <v>1498</v>
      </c>
      <c r="Q131" s="677" t="s">
        <v>2067</v>
      </c>
      <c r="R131" s="674">
        <v>5</v>
      </c>
      <c r="S131" s="678" t="s">
        <v>1503</v>
      </c>
      <c r="T131" s="677" t="s">
        <v>1597</v>
      </c>
      <c r="U131" s="674"/>
      <c r="V131" s="680"/>
      <c r="W131" s="681"/>
      <c r="X131" s="674"/>
      <c r="Y131" s="680"/>
      <c r="Z131" s="681"/>
      <c r="AA131" s="674"/>
      <c r="AB131" s="680"/>
      <c r="AC131" s="681"/>
      <c r="AD131" s="674"/>
      <c r="AE131" s="680"/>
      <c r="AF131" s="681"/>
      <c r="AG131" s="674"/>
      <c r="AH131" s="680"/>
      <c r="AI131" s="681"/>
      <c r="AJ131" s="674"/>
      <c r="AK131" s="680"/>
      <c r="AL131" s="681"/>
    </row>
    <row r="132" spans="1:38" x14ac:dyDescent="0.55000000000000004">
      <c r="A132" s="706">
        <v>43599</v>
      </c>
      <c r="B132" s="682">
        <v>19129</v>
      </c>
      <c r="C132" s="684">
        <v>19056206</v>
      </c>
      <c r="D132" s="685" t="s">
        <v>1490</v>
      </c>
      <c r="E132" s="695"/>
      <c r="F132" s="674">
        <v>1</v>
      </c>
      <c r="G132" s="675" t="s">
        <v>2032</v>
      </c>
      <c r="H132" s="676" t="s">
        <v>1571</v>
      </c>
      <c r="I132" s="674"/>
      <c r="J132" s="690"/>
      <c r="K132" s="681"/>
      <c r="L132" s="674"/>
      <c r="M132" s="680"/>
      <c r="N132" s="681"/>
      <c r="O132" s="674"/>
      <c r="P132" s="680"/>
      <c r="Q132" s="681"/>
      <c r="R132" s="674"/>
      <c r="S132" s="680"/>
      <c r="T132" s="681"/>
      <c r="U132" s="674"/>
      <c r="V132" s="680"/>
      <c r="W132" s="681"/>
      <c r="X132" s="674"/>
      <c r="Y132" s="680"/>
      <c r="Z132" s="681"/>
      <c r="AA132" s="674"/>
      <c r="AB132" s="680"/>
      <c r="AC132" s="681"/>
      <c r="AD132" s="674"/>
      <c r="AE132" s="680"/>
      <c r="AF132" s="681"/>
      <c r="AG132" s="674"/>
      <c r="AH132" s="680"/>
      <c r="AI132" s="681"/>
      <c r="AJ132" s="674"/>
      <c r="AK132" s="680"/>
      <c r="AL132" s="681"/>
    </row>
    <row r="133" spans="1:38" x14ac:dyDescent="0.55000000000000004">
      <c r="A133" s="706">
        <v>43600</v>
      </c>
      <c r="B133" s="682">
        <v>19130</v>
      </c>
      <c r="C133" s="684">
        <v>18116029</v>
      </c>
      <c r="D133" s="685" t="s">
        <v>1624</v>
      </c>
      <c r="E133" s="695"/>
      <c r="F133" s="674">
        <v>1</v>
      </c>
      <c r="G133" s="675" t="s">
        <v>1133</v>
      </c>
      <c r="H133" s="676" t="s">
        <v>1571</v>
      </c>
      <c r="I133" s="674">
        <v>2</v>
      </c>
      <c r="J133" s="675" t="s">
        <v>1511</v>
      </c>
      <c r="K133" s="677" t="s">
        <v>1574</v>
      </c>
      <c r="L133" s="674">
        <v>3</v>
      </c>
      <c r="M133" s="678" t="s">
        <v>1502</v>
      </c>
      <c r="N133" s="677" t="s">
        <v>1575</v>
      </c>
      <c r="O133" s="674">
        <v>4</v>
      </c>
      <c r="P133" s="678" t="s">
        <v>1498</v>
      </c>
      <c r="Q133" s="677" t="s">
        <v>1629</v>
      </c>
      <c r="R133" s="674"/>
      <c r="S133" s="680"/>
      <c r="T133" s="681"/>
      <c r="U133" s="674"/>
      <c r="V133" s="680"/>
      <c r="W133" s="681"/>
      <c r="X133" s="674"/>
      <c r="Y133" s="680"/>
      <c r="Z133" s="681"/>
      <c r="AA133" s="674"/>
      <c r="AB133" s="680"/>
      <c r="AC133" s="681"/>
      <c r="AD133" s="674"/>
      <c r="AE133" s="680"/>
      <c r="AF133" s="681"/>
      <c r="AG133" s="674"/>
      <c r="AH133" s="680"/>
      <c r="AI133" s="681"/>
      <c r="AJ133" s="674"/>
      <c r="AK133" s="680"/>
      <c r="AL133" s="681"/>
    </row>
    <row r="134" spans="1:38" x14ac:dyDescent="0.55000000000000004">
      <c r="A134" s="706">
        <v>43601</v>
      </c>
      <c r="B134" s="682">
        <v>19131</v>
      </c>
      <c r="C134" s="684">
        <v>19056209</v>
      </c>
      <c r="D134" s="685" t="s">
        <v>1548</v>
      </c>
      <c r="E134" s="695"/>
      <c r="F134" s="674">
        <v>1</v>
      </c>
      <c r="G134" s="675" t="s">
        <v>2028</v>
      </c>
      <c r="H134" s="676" t="s">
        <v>1571</v>
      </c>
      <c r="I134" s="674">
        <v>2</v>
      </c>
      <c r="J134" s="675" t="s">
        <v>2029</v>
      </c>
      <c r="K134" s="677" t="s">
        <v>1571</v>
      </c>
      <c r="L134" s="674">
        <v>3</v>
      </c>
      <c r="M134" s="678" t="s">
        <v>2030</v>
      </c>
      <c r="N134" s="677" t="s">
        <v>1571</v>
      </c>
      <c r="O134" s="674">
        <v>4</v>
      </c>
      <c r="P134" s="678" t="s">
        <v>1511</v>
      </c>
      <c r="Q134" s="677" t="s">
        <v>1578</v>
      </c>
      <c r="R134" s="674">
        <v>5</v>
      </c>
      <c r="S134" s="678" t="s">
        <v>1507</v>
      </c>
      <c r="T134" s="677" t="s">
        <v>1633</v>
      </c>
      <c r="U134" s="674">
        <v>6</v>
      </c>
      <c r="V134" s="678" t="s">
        <v>1498</v>
      </c>
      <c r="W134" s="677" t="s">
        <v>2068</v>
      </c>
      <c r="X134" s="674"/>
      <c r="Y134" s="680"/>
      <c r="Z134" s="681"/>
      <c r="AA134" s="674"/>
      <c r="AB134" s="680"/>
      <c r="AC134" s="681"/>
      <c r="AD134" s="674"/>
      <c r="AE134" s="680"/>
      <c r="AF134" s="681"/>
      <c r="AG134" s="674"/>
      <c r="AH134" s="680"/>
      <c r="AI134" s="681"/>
      <c r="AJ134" s="674"/>
      <c r="AK134" s="680"/>
      <c r="AL134" s="681"/>
    </row>
    <row r="135" spans="1:38" x14ac:dyDescent="0.55000000000000004">
      <c r="A135" s="706">
        <v>43602</v>
      </c>
      <c r="B135" s="682">
        <v>19132</v>
      </c>
      <c r="C135" s="745"/>
      <c r="D135" s="685" t="s">
        <v>2142</v>
      </c>
      <c r="E135" s="709"/>
      <c r="F135" s="674">
        <v>1</v>
      </c>
      <c r="G135" s="675" t="s">
        <v>2069</v>
      </c>
      <c r="H135" s="676" t="s">
        <v>2070</v>
      </c>
      <c r="I135" s="674"/>
      <c r="J135" s="690"/>
      <c r="K135" s="681"/>
      <c r="L135" s="674"/>
      <c r="M135" s="680"/>
      <c r="N135" s="681"/>
      <c r="O135" s="674"/>
      <c r="P135" s="680"/>
      <c r="Q135" s="681"/>
      <c r="R135" s="674"/>
      <c r="S135" s="680"/>
      <c r="T135" s="681"/>
      <c r="U135" s="674"/>
      <c r="V135" s="680"/>
      <c r="W135" s="681"/>
      <c r="X135" s="674"/>
      <c r="Y135" s="680"/>
      <c r="Z135" s="681"/>
      <c r="AA135" s="674"/>
      <c r="AB135" s="680"/>
      <c r="AC135" s="681"/>
      <c r="AD135" s="674"/>
      <c r="AE135" s="680"/>
      <c r="AF135" s="681"/>
      <c r="AG135" s="674"/>
      <c r="AH135" s="680"/>
      <c r="AI135" s="681"/>
      <c r="AJ135" s="674"/>
      <c r="AK135" s="680"/>
      <c r="AL135" s="681"/>
    </row>
    <row r="136" spans="1:38" x14ac:dyDescent="0.55000000000000004">
      <c r="A136" s="706">
        <v>43605</v>
      </c>
      <c r="B136" s="682">
        <v>19133</v>
      </c>
      <c r="C136" s="684">
        <v>19036150</v>
      </c>
      <c r="D136" s="685" t="s">
        <v>2055</v>
      </c>
      <c r="E136" s="695"/>
      <c r="F136" s="674">
        <v>1</v>
      </c>
      <c r="G136" s="675" t="s">
        <v>829</v>
      </c>
      <c r="H136" s="676" t="s">
        <v>1571</v>
      </c>
      <c r="I136" s="674">
        <v>2</v>
      </c>
      <c r="J136" s="675" t="s">
        <v>660</v>
      </c>
      <c r="K136" s="677" t="s">
        <v>1571</v>
      </c>
      <c r="L136" s="674">
        <v>3</v>
      </c>
      <c r="M136" s="678" t="s">
        <v>600</v>
      </c>
      <c r="N136" s="677" t="s">
        <v>1571</v>
      </c>
      <c r="O136" s="674">
        <v>4</v>
      </c>
      <c r="P136" s="678" t="s">
        <v>1929</v>
      </c>
      <c r="Q136" s="677" t="s">
        <v>1583</v>
      </c>
      <c r="R136" s="674">
        <v>5</v>
      </c>
      <c r="S136" s="678" t="s">
        <v>1507</v>
      </c>
      <c r="T136" s="677" t="s">
        <v>1575</v>
      </c>
      <c r="U136" s="674">
        <v>6</v>
      </c>
      <c r="V136" s="678" t="s">
        <v>1502</v>
      </c>
      <c r="W136" s="677" t="s">
        <v>1575</v>
      </c>
      <c r="X136" s="674">
        <v>7</v>
      </c>
      <c r="Y136" s="678" t="s">
        <v>1498</v>
      </c>
      <c r="Z136" s="677" t="s">
        <v>1637</v>
      </c>
      <c r="AA136" s="674"/>
      <c r="AB136" s="680"/>
      <c r="AC136" s="681"/>
      <c r="AD136" s="674"/>
      <c r="AE136" s="680"/>
      <c r="AF136" s="681"/>
      <c r="AG136" s="674"/>
      <c r="AH136" s="680"/>
      <c r="AI136" s="681"/>
      <c r="AJ136" s="674"/>
      <c r="AK136" s="680"/>
      <c r="AL136" s="681"/>
    </row>
    <row r="137" spans="1:38" x14ac:dyDescent="0.55000000000000004">
      <c r="A137" s="706">
        <v>43608</v>
      </c>
      <c r="B137" s="682">
        <v>19134</v>
      </c>
      <c r="C137" s="684">
        <v>19046181</v>
      </c>
      <c r="D137" s="685" t="s">
        <v>543</v>
      </c>
      <c r="E137" s="695"/>
      <c r="F137" s="674">
        <v>1</v>
      </c>
      <c r="G137" s="675" t="s">
        <v>1910</v>
      </c>
      <c r="H137" s="676" t="s">
        <v>1571</v>
      </c>
      <c r="I137" s="674">
        <v>2</v>
      </c>
      <c r="J137" s="675" t="s">
        <v>1511</v>
      </c>
      <c r="K137" s="677" t="s">
        <v>1583</v>
      </c>
      <c r="L137" s="674">
        <v>3</v>
      </c>
      <c r="M137" s="678" t="s">
        <v>1515</v>
      </c>
      <c r="N137" s="677" t="s">
        <v>1586</v>
      </c>
      <c r="O137" s="674">
        <v>4</v>
      </c>
      <c r="P137" s="678" t="s">
        <v>2091</v>
      </c>
      <c r="Q137" s="677" t="s">
        <v>1575</v>
      </c>
      <c r="R137" s="674">
        <v>5</v>
      </c>
      <c r="S137" s="678" t="s">
        <v>1900</v>
      </c>
      <c r="T137" s="677" t="s">
        <v>1587</v>
      </c>
      <c r="U137" s="674">
        <v>6</v>
      </c>
      <c r="V137" s="678" t="s">
        <v>2092</v>
      </c>
      <c r="W137" s="677" t="s">
        <v>1574</v>
      </c>
      <c r="X137" s="674">
        <v>7</v>
      </c>
      <c r="Y137" s="678" t="s">
        <v>1882</v>
      </c>
      <c r="Z137" s="677" t="s">
        <v>2093</v>
      </c>
      <c r="AA137" s="674">
        <v>8</v>
      </c>
      <c r="AB137" s="678" t="s">
        <v>1503</v>
      </c>
      <c r="AC137" s="677" t="s">
        <v>1584</v>
      </c>
      <c r="AD137" s="674"/>
      <c r="AE137" s="680"/>
      <c r="AF137" s="681"/>
      <c r="AG137" s="674"/>
      <c r="AH137" s="680"/>
      <c r="AI137" s="681"/>
      <c r="AJ137" s="674"/>
      <c r="AK137" s="680"/>
      <c r="AL137" s="681"/>
    </row>
    <row r="138" spans="1:38" x14ac:dyDescent="0.55000000000000004">
      <c r="A138" s="707">
        <v>43608</v>
      </c>
      <c r="B138" s="698">
        <v>19135</v>
      </c>
      <c r="C138" s="672">
        <v>19036178</v>
      </c>
      <c r="D138" s="693" t="s">
        <v>2094</v>
      </c>
      <c r="E138" s="702"/>
      <c r="F138" s="674">
        <v>1</v>
      </c>
      <c r="G138" s="675" t="s">
        <v>2095</v>
      </c>
      <c r="H138" s="676" t="s">
        <v>1571</v>
      </c>
      <c r="I138" s="674"/>
      <c r="J138" s="690"/>
      <c r="K138" s="681"/>
      <c r="L138" s="674"/>
      <c r="M138" s="680"/>
      <c r="N138" s="681"/>
      <c r="O138" s="674"/>
      <c r="P138" s="680"/>
      <c r="Q138" s="681"/>
      <c r="R138" s="674"/>
      <c r="S138" s="680"/>
      <c r="T138" s="681"/>
      <c r="U138" s="674"/>
      <c r="V138" s="680"/>
      <c r="W138" s="681"/>
      <c r="X138" s="674"/>
      <c r="Y138" s="680"/>
      <c r="Z138" s="681"/>
      <c r="AA138" s="674"/>
      <c r="AB138" s="680"/>
      <c r="AC138" s="681"/>
      <c r="AD138" s="674"/>
      <c r="AE138" s="680"/>
      <c r="AF138" s="681"/>
      <c r="AG138" s="674"/>
      <c r="AH138" s="680"/>
      <c r="AI138" s="681"/>
      <c r="AJ138" s="674"/>
      <c r="AK138" s="680"/>
      <c r="AL138" s="681"/>
    </row>
    <row r="139" spans="1:38" x14ac:dyDescent="0.55000000000000004">
      <c r="A139" s="707"/>
      <c r="B139" s="856">
        <v>19136</v>
      </c>
      <c r="C139" s="700"/>
      <c r="D139" s="704"/>
      <c r="E139" s="726"/>
      <c r="F139" s="674">
        <v>1</v>
      </c>
      <c r="G139" s="675" t="s">
        <v>2096</v>
      </c>
      <c r="H139" s="676" t="s">
        <v>1571</v>
      </c>
      <c r="I139" s="674">
        <v>2</v>
      </c>
      <c r="J139" s="675" t="s">
        <v>2097</v>
      </c>
      <c r="K139" s="677" t="s">
        <v>1571</v>
      </c>
      <c r="L139" s="674">
        <v>3</v>
      </c>
      <c r="M139" s="678" t="s">
        <v>1511</v>
      </c>
      <c r="N139" s="677" t="s">
        <v>1583</v>
      </c>
      <c r="O139" s="674">
        <v>4</v>
      </c>
      <c r="P139" s="678" t="s">
        <v>1507</v>
      </c>
      <c r="Q139" s="677" t="s">
        <v>1586</v>
      </c>
      <c r="R139" s="674">
        <v>5</v>
      </c>
      <c r="S139" s="678" t="s">
        <v>1882</v>
      </c>
      <c r="T139" s="677" t="s">
        <v>1583</v>
      </c>
      <c r="U139" s="674">
        <v>6</v>
      </c>
      <c r="V139" s="678" t="s">
        <v>2098</v>
      </c>
      <c r="W139" s="677" t="s">
        <v>1586</v>
      </c>
      <c r="X139" s="674">
        <v>7</v>
      </c>
      <c r="Y139" s="678" t="s">
        <v>2099</v>
      </c>
      <c r="Z139" s="677" t="s">
        <v>1586</v>
      </c>
      <c r="AA139" s="674">
        <v>8</v>
      </c>
      <c r="AB139" s="678" t="s">
        <v>2100</v>
      </c>
      <c r="AC139" s="677" t="s">
        <v>1586</v>
      </c>
      <c r="AD139" s="674">
        <v>9</v>
      </c>
      <c r="AE139" s="678" t="s">
        <v>1503</v>
      </c>
      <c r="AF139" s="677" t="s">
        <v>1597</v>
      </c>
      <c r="AG139" s="674"/>
      <c r="AH139" s="680"/>
      <c r="AI139" s="681"/>
      <c r="AJ139" s="674"/>
      <c r="AK139" s="680"/>
      <c r="AL139" s="681"/>
    </row>
    <row r="140" spans="1:38" x14ac:dyDescent="0.55000000000000004">
      <c r="A140" s="682"/>
      <c r="B140" s="683">
        <v>19137</v>
      </c>
      <c r="C140" s="684"/>
      <c r="D140" s="685"/>
      <c r="E140" s="708"/>
      <c r="F140" s="674">
        <v>1</v>
      </c>
      <c r="G140" s="675" t="s">
        <v>2101</v>
      </c>
      <c r="H140" s="676" t="s">
        <v>1571</v>
      </c>
      <c r="I140" s="674">
        <v>2</v>
      </c>
      <c r="J140" s="675" t="s">
        <v>2102</v>
      </c>
      <c r="K140" s="677" t="s">
        <v>1571</v>
      </c>
      <c r="L140" s="674">
        <v>3</v>
      </c>
      <c r="M140" s="678" t="s">
        <v>2103</v>
      </c>
      <c r="N140" s="677" t="s">
        <v>1571</v>
      </c>
      <c r="O140" s="674"/>
      <c r="P140" s="680"/>
      <c r="Q140" s="681"/>
      <c r="R140" s="674"/>
      <c r="S140" s="680"/>
      <c r="T140" s="681"/>
      <c r="U140" s="674"/>
      <c r="V140" s="680"/>
      <c r="W140" s="681"/>
      <c r="X140" s="674"/>
      <c r="Y140" s="680"/>
      <c r="Z140" s="681"/>
      <c r="AA140" s="674"/>
      <c r="AB140" s="680"/>
      <c r="AC140" s="681"/>
      <c r="AD140" s="674"/>
      <c r="AE140" s="680"/>
      <c r="AF140" s="681"/>
      <c r="AG140" s="674"/>
      <c r="AH140" s="680"/>
      <c r="AI140" s="681"/>
      <c r="AJ140" s="674"/>
      <c r="AK140" s="680"/>
      <c r="AL140" s="681"/>
    </row>
    <row r="141" spans="1:38" x14ac:dyDescent="0.55000000000000004">
      <c r="A141" s="706">
        <v>43609</v>
      </c>
      <c r="B141" s="682">
        <v>19138</v>
      </c>
      <c r="C141" s="684">
        <v>19016104</v>
      </c>
      <c r="D141" s="685" t="s">
        <v>1349</v>
      </c>
      <c r="E141" s="695"/>
      <c r="F141" s="674">
        <v>1</v>
      </c>
      <c r="G141" s="675" t="s">
        <v>2104</v>
      </c>
      <c r="H141" s="676" t="s">
        <v>1931</v>
      </c>
      <c r="I141" s="674">
        <v>2</v>
      </c>
      <c r="J141" s="675" t="s">
        <v>2105</v>
      </c>
      <c r="K141" s="677" t="s">
        <v>1583</v>
      </c>
      <c r="L141" s="674">
        <v>3</v>
      </c>
      <c r="M141" s="678" t="s">
        <v>2106</v>
      </c>
      <c r="N141" s="677" t="s">
        <v>1574</v>
      </c>
      <c r="O141" s="674">
        <v>4</v>
      </c>
      <c r="P141" s="678" t="s">
        <v>2107</v>
      </c>
      <c r="Q141" s="677" t="s">
        <v>1574</v>
      </c>
      <c r="R141" s="674"/>
      <c r="S141" s="680"/>
      <c r="T141" s="681"/>
      <c r="U141" s="674"/>
      <c r="V141" s="680"/>
      <c r="W141" s="681"/>
      <c r="X141" s="674"/>
      <c r="Y141" s="680"/>
      <c r="Z141" s="681"/>
      <c r="AA141" s="674"/>
      <c r="AB141" s="680"/>
      <c r="AC141" s="681"/>
      <c r="AD141" s="674"/>
      <c r="AE141" s="680"/>
      <c r="AF141" s="681"/>
      <c r="AG141" s="674"/>
      <c r="AH141" s="680"/>
      <c r="AI141" s="681"/>
      <c r="AJ141" s="674"/>
      <c r="AK141" s="680"/>
      <c r="AL141" s="681"/>
    </row>
    <row r="142" spans="1:38" x14ac:dyDescent="0.55000000000000004">
      <c r="A142" s="706">
        <v>43609</v>
      </c>
      <c r="B142" s="682">
        <v>19139</v>
      </c>
      <c r="C142" s="684">
        <v>19036170</v>
      </c>
      <c r="D142" s="685" t="s">
        <v>1349</v>
      </c>
      <c r="E142" s="695"/>
      <c r="F142" s="674">
        <v>1</v>
      </c>
      <c r="G142" s="675" t="s">
        <v>2245</v>
      </c>
      <c r="H142" s="676" t="s">
        <v>1931</v>
      </c>
      <c r="I142" s="674"/>
      <c r="J142" s="690"/>
      <c r="K142" s="681"/>
      <c r="L142" s="674"/>
      <c r="M142" s="680"/>
      <c r="N142" s="681"/>
      <c r="O142" s="674"/>
      <c r="P142" s="680"/>
      <c r="Q142" s="681"/>
      <c r="R142" s="674"/>
      <c r="S142" s="680"/>
      <c r="T142" s="681"/>
      <c r="U142" s="674"/>
      <c r="V142" s="680"/>
      <c r="W142" s="681"/>
      <c r="X142" s="674"/>
      <c r="Y142" s="680"/>
      <c r="Z142" s="681"/>
      <c r="AA142" s="674"/>
      <c r="AB142" s="680"/>
      <c r="AC142" s="681"/>
      <c r="AD142" s="674"/>
      <c r="AE142" s="680"/>
      <c r="AF142" s="681"/>
      <c r="AG142" s="674"/>
      <c r="AH142" s="680"/>
      <c r="AI142" s="681"/>
      <c r="AJ142" s="674"/>
      <c r="AK142" s="680"/>
      <c r="AL142" s="681"/>
    </row>
    <row r="143" spans="1:38" x14ac:dyDescent="0.55000000000000004">
      <c r="A143" s="706">
        <v>43612</v>
      </c>
      <c r="B143" s="682">
        <v>19140</v>
      </c>
      <c r="C143" s="684">
        <v>19056212</v>
      </c>
      <c r="D143" s="685" t="s">
        <v>1624</v>
      </c>
      <c r="E143" s="695"/>
      <c r="F143" s="674">
        <v>1</v>
      </c>
      <c r="G143" s="675" t="s">
        <v>2015</v>
      </c>
      <c r="H143" s="676" t="s">
        <v>1571</v>
      </c>
      <c r="I143" s="674">
        <v>2</v>
      </c>
      <c r="J143" s="675" t="s">
        <v>2016</v>
      </c>
      <c r="K143" s="677" t="s">
        <v>1571</v>
      </c>
      <c r="L143" s="674">
        <v>3</v>
      </c>
      <c r="M143" s="678" t="s">
        <v>1511</v>
      </c>
      <c r="N143" s="677" t="s">
        <v>2445</v>
      </c>
      <c r="O143" s="674">
        <v>4</v>
      </c>
      <c r="P143" s="678" t="s">
        <v>1502</v>
      </c>
      <c r="Q143" s="677" t="s">
        <v>1575</v>
      </c>
      <c r="R143" s="674">
        <v>5</v>
      </c>
      <c r="S143" s="678" t="s">
        <v>1498</v>
      </c>
      <c r="T143" s="677" t="s">
        <v>1629</v>
      </c>
      <c r="U143" s="674"/>
      <c r="V143" s="680"/>
      <c r="W143" s="681"/>
      <c r="X143" s="674"/>
      <c r="Y143" s="680"/>
      <c r="Z143" s="681"/>
      <c r="AA143" s="674"/>
      <c r="AB143" s="680"/>
      <c r="AC143" s="681"/>
      <c r="AD143" s="674"/>
      <c r="AE143" s="680"/>
      <c r="AF143" s="681"/>
      <c r="AG143" s="674"/>
      <c r="AH143" s="680"/>
      <c r="AI143" s="681"/>
      <c r="AJ143" s="674"/>
      <c r="AK143" s="680"/>
      <c r="AL143" s="681"/>
    </row>
    <row r="144" spans="1:38" x14ac:dyDescent="0.55000000000000004">
      <c r="A144" s="706">
        <v>43613</v>
      </c>
      <c r="B144" s="682">
        <v>19141</v>
      </c>
      <c r="C144" s="684">
        <v>19056213</v>
      </c>
      <c r="D144" s="685" t="s">
        <v>1452</v>
      </c>
      <c r="E144" s="695"/>
      <c r="F144" s="674">
        <v>1</v>
      </c>
      <c r="G144" s="675" t="s">
        <v>2019</v>
      </c>
      <c r="H144" s="676" t="s">
        <v>1581</v>
      </c>
      <c r="I144" s="674">
        <v>2</v>
      </c>
      <c r="J144" s="675" t="s">
        <v>1511</v>
      </c>
      <c r="K144" s="677" t="s">
        <v>1582</v>
      </c>
      <c r="L144" s="674">
        <v>3</v>
      </c>
      <c r="M144" s="678" t="s">
        <v>1503</v>
      </c>
      <c r="N144" s="677" t="s">
        <v>1938</v>
      </c>
      <c r="O144" s="674"/>
      <c r="P144" s="680"/>
      <c r="Q144" s="681"/>
      <c r="R144" s="674"/>
      <c r="S144" s="680"/>
      <c r="T144" s="681"/>
      <c r="U144" s="674"/>
      <c r="V144" s="680"/>
      <c r="W144" s="681"/>
      <c r="X144" s="674"/>
      <c r="Y144" s="680"/>
      <c r="Z144" s="681"/>
      <c r="AA144" s="674"/>
      <c r="AB144" s="680"/>
      <c r="AC144" s="681"/>
      <c r="AD144" s="674"/>
      <c r="AE144" s="680"/>
      <c r="AF144" s="681"/>
      <c r="AG144" s="674"/>
      <c r="AH144" s="680"/>
      <c r="AI144" s="681"/>
      <c r="AJ144" s="674"/>
      <c r="AK144" s="680"/>
      <c r="AL144" s="681"/>
    </row>
    <row r="145" spans="1:38" s="882" customFormat="1" x14ac:dyDescent="0.55000000000000004">
      <c r="A145" s="736">
        <v>43613</v>
      </c>
      <c r="B145" s="737">
        <v>19142</v>
      </c>
      <c r="C145" s="738">
        <v>19056225</v>
      </c>
      <c r="D145" s="739" t="s">
        <v>1735</v>
      </c>
      <c r="E145" s="880"/>
      <c r="F145" s="740">
        <v>1</v>
      </c>
      <c r="G145" s="741" t="s">
        <v>801</v>
      </c>
      <c r="H145" s="742" t="s">
        <v>1571</v>
      </c>
      <c r="I145" s="740">
        <v>2</v>
      </c>
      <c r="J145" s="741" t="s">
        <v>1506</v>
      </c>
      <c r="K145" s="743" t="s">
        <v>1586</v>
      </c>
      <c r="L145" s="740">
        <v>3</v>
      </c>
      <c r="M145" s="881" t="s">
        <v>1507</v>
      </c>
      <c r="N145" s="743" t="s">
        <v>1575</v>
      </c>
      <c r="O145" s="740">
        <v>4</v>
      </c>
      <c r="P145" s="881" t="s">
        <v>1498</v>
      </c>
      <c r="Q145" s="743" t="s">
        <v>1795</v>
      </c>
      <c r="R145" s="740"/>
      <c r="S145" s="885"/>
      <c r="T145" s="886"/>
      <c r="U145" s="740"/>
      <c r="V145" s="885"/>
      <c r="W145" s="886"/>
      <c r="X145" s="740"/>
      <c r="Y145" s="885"/>
      <c r="Z145" s="886"/>
      <c r="AA145" s="740"/>
      <c r="AB145" s="885"/>
      <c r="AC145" s="886"/>
      <c r="AD145" s="740"/>
      <c r="AE145" s="885"/>
      <c r="AF145" s="886"/>
      <c r="AG145" s="740"/>
      <c r="AH145" s="885"/>
      <c r="AI145" s="886"/>
      <c r="AJ145" s="740"/>
      <c r="AK145" s="885"/>
      <c r="AL145" s="886"/>
    </row>
    <row r="146" spans="1:38" x14ac:dyDescent="0.55000000000000004">
      <c r="A146" s="706">
        <v>43619</v>
      </c>
      <c r="B146" s="682">
        <v>19143</v>
      </c>
      <c r="C146" s="684" t="s">
        <v>2114</v>
      </c>
      <c r="D146" s="685" t="s">
        <v>2141</v>
      </c>
      <c r="E146" s="695"/>
      <c r="F146" s="674"/>
      <c r="G146" s="675" t="s">
        <v>728</v>
      </c>
      <c r="H146" s="676" t="s">
        <v>1571</v>
      </c>
      <c r="I146" s="674"/>
      <c r="J146" s="690"/>
      <c r="K146" s="681"/>
      <c r="L146" s="674"/>
      <c r="M146" s="680"/>
      <c r="N146" s="681"/>
      <c r="O146" s="674"/>
      <c r="P146" s="680"/>
      <c r="Q146" s="681"/>
      <c r="R146" s="674"/>
      <c r="S146" s="680"/>
      <c r="T146" s="681"/>
      <c r="U146" s="674"/>
      <c r="V146" s="680"/>
      <c r="W146" s="681"/>
      <c r="X146" s="674"/>
      <c r="Y146" s="680"/>
      <c r="Z146" s="681"/>
      <c r="AA146" s="674"/>
      <c r="AB146" s="680"/>
      <c r="AC146" s="681"/>
      <c r="AD146" s="674"/>
      <c r="AE146" s="680"/>
      <c r="AF146" s="681"/>
      <c r="AG146" s="674"/>
      <c r="AH146" s="680"/>
      <c r="AI146" s="681"/>
      <c r="AJ146" s="674"/>
      <c r="AK146" s="680"/>
      <c r="AL146" s="681"/>
    </row>
    <row r="147" spans="1:38" x14ac:dyDescent="0.55000000000000004">
      <c r="A147" s="670">
        <v>43620</v>
      </c>
      <c r="B147" s="692">
        <v>19144</v>
      </c>
      <c r="C147" s="700">
        <v>19056223</v>
      </c>
      <c r="D147" s="701" t="s">
        <v>2146</v>
      </c>
      <c r="E147" s="702"/>
      <c r="F147" s="674">
        <v>1</v>
      </c>
      <c r="G147" s="675" t="s">
        <v>593</v>
      </c>
      <c r="H147" s="676" t="s">
        <v>1579</v>
      </c>
      <c r="I147" s="674">
        <v>2</v>
      </c>
      <c r="J147" s="675" t="s">
        <v>1506</v>
      </c>
      <c r="K147" s="677" t="s">
        <v>1583</v>
      </c>
      <c r="L147" s="674">
        <v>3</v>
      </c>
      <c r="M147" s="678" t="s">
        <v>1507</v>
      </c>
      <c r="N147" s="677" t="s">
        <v>1582</v>
      </c>
      <c r="O147" s="674">
        <v>4</v>
      </c>
      <c r="P147" s="678" t="s">
        <v>1508</v>
      </c>
      <c r="Q147" s="677" t="s">
        <v>1927</v>
      </c>
      <c r="R147" s="674"/>
      <c r="S147" s="680"/>
      <c r="T147" s="681"/>
      <c r="U147" s="674"/>
      <c r="V147" s="680"/>
      <c r="W147" s="681"/>
      <c r="X147" s="674"/>
      <c r="Y147" s="680"/>
      <c r="Z147" s="681"/>
      <c r="AA147" s="674"/>
      <c r="AB147" s="680"/>
      <c r="AC147" s="681"/>
      <c r="AD147" s="674"/>
      <c r="AE147" s="680"/>
      <c r="AF147" s="681"/>
      <c r="AG147" s="674"/>
      <c r="AH147" s="680"/>
      <c r="AI147" s="681"/>
      <c r="AJ147" s="674"/>
      <c r="AK147" s="680"/>
      <c r="AL147" s="681"/>
    </row>
    <row r="148" spans="1:38" x14ac:dyDescent="0.55000000000000004">
      <c r="A148" s="682"/>
      <c r="B148" s="682">
        <v>19145</v>
      </c>
      <c r="C148" s="684"/>
      <c r="D148" s="705"/>
      <c r="E148" s="708"/>
      <c r="F148" s="674">
        <v>1</v>
      </c>
      <c r="G148" s="675" t="s">
        <v>593</v>
      </c>
      <c r="H148" s="676" t="s">
        <v>1579</v>
      </c>
      <c r="I148" s="674">
        <v>2</v>
      </c>
      <c r="J148" s="675" t="s">
        <v>1506</v>
      </c>
      <c r="K148" s="677" t="s">
        <v>1583</v>
      </c>
      <c r="L148" s="674">
        <v>3</v>
      </c>
      <c r="M148" s="678" t="s">
        <v>1507</v>
      </c>
      <c r="N148" s="677" t="s">
        <v>1582</v>
      </c>
      <c r="O148" s="674">
        <v>4</v>
      </c>
      <c r="P148" s="678" t="s">
        <v>1508</v>
      </c>
      <c r="Q148" s="677" t="s">
        <v>1927</v>
      </c>
      <c r="R148" s="674"/>
      <c r="S148" s="680"/>
      <c r="T148" s="681"/>
      <c r="U148" s="674"/>
      <c r="V148" s="680"/>
      <c r="W148" s="681"/>
      <c r="X148" s="674"/>
      <c r="Y148" s="680"/>
      <c r="Z148" s="681"/>
      <c r="AA148" s="674"/>
      <c r="AB148" s="680"/>
      <c r="AC148" s="681"/>
      <c r="AD148" s="674"/>
      <c r="AE148" s="680"/>
      <c r="AF148" s="681"/>
      <c r="AG148" s="674"/>
      <c r="AH148" s="680"/>
      <c r="AI148" s="681"/>
      <c r="AJ148" s="674"/>
      <c r="AK148" s="680"/>
      <c r="AL148" s="681"/>
    </row>
    <row r="149" spans="1:38" x14ac:dyDescent="0.55000000000000004">
      <c r="A149" s="670">
        <v>43620</v>
      </c>
      <c r="B149" s="692">
        <v>19146</v>
      </c>
      <c r="C149" s="672">
        <v>19056222</v>
      </c>
      <c r="D149" s="673" t="s">
        <v>2146</v>
      </c>
      <c r="E149" s="725"/>
      <c r="F149" s="674">
        <v>1</v>
      </c>
      <c r="G149" s="675" t="s">
        <v>593</v>
      </c>
      <c r="H149" s="676" t="s">
        <v>1579</v>
      </c>
      <c r="I149" s="674">
        <v>2</v>
      </c>
      <c r="J149" s="675" t="s">
        <v>1506</v>
      </c>
      <c r="K149" s="677" t="s">
        <v>1583</v>
      </c>
      <c r="L149" s="674">
        <v>3</v>
      </c>
      <c r="M149" s="678" t="s">
        <v>1507</v>
      </c>
      <c r="N149" s="677" t="s">
        <v>1582</v>
      </c>
      <c r="O149" s="674">
        <v>4</v>
      </c>
      <c r="P149" s="678" t="s">
        <v>1508</v>
      </c>
      <c r="Q149" s="677" t="s">
        <v>1927</v>
      </c>
      <c r="R149" s="674"/>
      <c r="S149" s="680"/>
      <c r="T149" s="681"/>
      <c r="U149" s="674"/>
      <c r="V149" s="680"/>
      <c r="W149" s="681"/>
      <c r="X149" s="674"/>
      <c r="Y149" s="680"/>
      <c r="Z149" s="681"/>
      <c r="AA149" s="674"/>
      <c r="AB149" s="680"/>
      <c r="AC149" s="681"/>
      <c r="AD149" s="674"/>
      <c r="AE149" s="680"/>
      <c r="AF149" s="681"/>
      <c r="AG149" s="674"/>
      <c r="AH149" s="680"/>
      <c r="AI149" s="681"/>
      <c r="AJ149" s="674"/>
      <c r="AK149" s="680"/>
      <c r="AL149" s="681"/>
    </row>
    <row r="150" spans="1:38" x14ac:dyDescent="0.55000000000000004">
      <c r="A150" s="682"/>
      <c r="B150" s="682">
        <v>19147</v>
      </c>
      <c r="C150" s="684"/>
      <c r="D150" s="685"/>
      <c r="E150" s="695"/>
      <c r="F150" s="674">
        <v>1</v>
      </c>
      <c r="G150" s="675" t="s">
        <v>593</v>
      </c>
      <c r="H150" s="676" t="s">
        <v>1579</v>
      </c>
      <c r="I150" s="674">
        <v>2</v>
      </c>
      <c r="J150" s="675" t="s">
        <v>1506</v>
      </c>
      <c r="K150" s="677" t="s">
        <v>1583</v>
      </c>
      <c r="L150" s="674">
        <v>3</v>
      </c>
      <c r="M150" s="678" t="s">
        <v>1507</v>
      </c>
      <c r="N150" s="677" t="s">
        <v>1582</v>
      </c>
      <c r="O150" s="674">
        <v>4</v>
      </c>
      <c r="P150" s="678" t="s">
        <v>1508</v>
      </c>
      <c r="Q150" s="677" t="s">
        <v>1927</v>
      </c>
      <c r="R150" s="674"/>
      <c r="S150" s="680"/>
      <c r="T150" s="681"/>
      <c r="U150" s="674"/>
      <c r="V150" s="680"/>
      <c r="W150" s="681"/>
      <c r="X150" s="674"/>
      <c r="Y150" s="680"/>
      <c r="Z150" s="681"/>
      <c r="AA150" s="674"/>
      <c r="AB150" s="680"/>
      <c r="AC150" s="681"/>
      <c r="AD150" s="674"/>
      <c r="AE150" s="680"/>
      <c r="AF150" s="681"/>
      <c r="AG150" s="674"/>
      <c r="AH150" s="680"/>
      <c r="AI150" s="681"/>
      <c r="AJ150" s="674"/>
      <c r="AK150" s="680"/>
      <c r="AL150" s="681"/>
    </row>
    <row r="151" spans="1:38" x14ac:dyDescent="0.55000000000000004">
      <c r="A151" s="670">
        <v>43622</v>
      </c>
      <c r="B151" s="692">
        <v>19148</v>
      </c>
      <c r="C151" s="672">
        <v>19016093</v>
      </c>
      <c r="D151" s="673" t="s">
        <v>2147</v>
      </c>
      <c r="E151" s="725"/>
      <c r="F151" s="674">
        <v>1</v>
      </c>
      <c r="G151" s="675" t="s">
        <v>1532</v>
      </c>
      <c r="H151" s="676" t="s">
        <v>1571</v>
      </c>
      <c r="I151" s="674">
        <v>2</v>
      </c>
      <c r="J151" s="675" t="s">
        <v>1506</v>
      </c>
      <c r="K151" s="677" t="s">
        <v>1574</v>
      </c>
      <c r="L151" s="674">
        <v>3</v>
      </c>
      <c r="M151" s="678" t="s">
        <v>1502</v>
      </c>
      <c r="N151" s="677" t="s">
        <v>1575</v>
      </c>
      <c r="O151" s="674">
        <v>4</v>
      </c>
      <c r="P151" s="678" t="s">
        <v>1784</v>
      </c>
      <c r="Q151" s="677" t="s">
        <v>1575</v>
      </c>
      <c r="R151" s="674">
        <v>5</v>
      </c>
      <c r="S151" s="678" t="s">
        <v>1498</v>
      </c>
      <c r="T151" s="677" t="s">
        <v>2259</v>
      </c>
      <c r="U151" s="674"/>
      <c r="V151" s="680"/>
      <c r="W151" s="681"/>
      <c r="X151" s="674"/>
      <c r="Y151" s="680"/>
      <c r="Z151" s="681"/>
      <c r="AA151" s="674"/>
      <c r="AB151" s="680"/>
      <c r="AC151" s="681"/>
      <c r="AD151" s="674"/>
      <c r="AE151" s="680"/>
      <c r="AF151" s="681"/>
      <c r="AG151" s="674"/>
      <c r="AH151" s="680"/>
      <c r="AI151" s="681"/>
      <c r="AJ151" s="674"/>
      <c r="AK151" s="680"/>
      <c r="AL151" s="681"/>
    </row>
    <row r="152" spans="1:38" x14ac:dyDescent="0.55000000000000004">
      <c r="A152" s="682"/>
      <c r="B152" s="682">
        <v>19149</v>
      </c>
      <c r="C152" s="684"/>
      <c r="D152" s="685"/>
      <c r="E152" s="695"/>
      <c r="F152" s="674">
        <v>1</v>
      </c>
      <c r="G152" s="675" t="s">
        <v>1533</v>
      </c>
      <c r="H152" s="676" t="s">
        <v>1571</v>
      </c>
      <c r="I152" s="674">
        <v>2</v>
      </c>
      <c r="J152" s="675" t="s">
        <v>712</v>
      </c>
      <c r="K152" s="677" t="s">
        <v>1581</v>
      </c>
      <c r="L152" s="674">
        <v>3</v>
      </c>
      <c r="M152" s="678" t="s">
        <v>1506</v>
      </c>
      <c r="N152" s="677" t="s">
        <v>1586</v>
      </c>
      <c r="O152" s="674">
        <v>4</v>
      </c>
      <c r="P152" s="678" t="s">
        <v>1507</v>
      </c>
      <c r="Q152" s="677" t="s">
        <v>1575</v>
      </c>
      <c r="R152" s="674">
        <v>5</v>
      </c>
      <c r="S152" s="678" t="s">
        <v>1498</v>
      </c>
      <c r="T152" s="677" t="s">
        <v>1795</v>
      </c>
      <c r="U152" s="674"/>
      <c r="V152" s="680"/>
      <c r="W152" s="681"/>
      <c r="X152" s="674"/>
      <c r="Y152" s="680"/>
      <c r="Z152" s="681"/>
      <c r="AA152" s="674"/>
      <c r="AB152" s="680"/>
      <c r="AC152" s="681"/>
      <c r="AD152" s="674"/>
      <c r="AE152" s="680"/>
      <c r="AF152" s="681"/>
      <c r="AG152" s="674"/>
      <c r="AH152" s="680"/>
      <c r="AI152" s="681"/>
      <c r="AJ152" s="674"/>
      <c r="AK152" s="680"/>
      <c r="AL152" s="681"/>
    </row>
    <row r="153" spans="1:38" x14ac:dyDescent="0.55000000000000004">
      <c r="A153" s="706">
        <v>43623</v>
      </c>
      <c r="B153" s="682">
        <v>19150</v>
      </c>
      <c r="C153" s="684">
        <v>19056230</v>
      </c>
      <c r="D153" s="685" t="s">
        <v>1331</v>
      </c>
      <c r="E153" s="695"/>
      <c r="F153" s="674">
        <v>1</v>
      </c>
      <c r="G153" s="675" t="s">
        <v>2131</v>
      </c>
      <c r="H153" s="676" t="s">
        <v>1571</v>
      </c>
      <c r="I153" s="674">
        <v>2</v>
      </c>
      <c r="J153" s="675" t="s">
        <v>2444</v>
      </c>
      <c r="K153" s="677" t="s">
        <v>1571</v>
      </c>
      <c r="L153" s="674">
        <v>3</v>
      </c>
      <c r="M153" s="678" t="s">
        <v>1511</v>
      </c>
      <c r="N153" s="677" t="s">
        <v>1583</v>
      </c>
      <c r="O153" s="674">
        <v>4</v>
      </c>
      <c r="P153" s="678" t="s">
        <v>1502</v>
      </c>
      <c r="Q153" s="677" t="s">
        <v>1583</v>
      </c>
      <c r="R153" s="674">
        <v>5</v>
      </c>
      <c r="S153" s="678" t="s">
        <v>1503</v>
      </c>
      <c r="T153" s="677" t="s">
        <v>1597</v>
      </c>
      <c r="U153" s="674"/>
      <c r="V153" s="680"/>
      <c r="W153" s="681"/>
      <c r="X153" s="674"/>
      <c r="Y153" s="680"/>
      <c r="Z153" s="681"/>
      <c r="AA153" s="674"/>
      <c r="AB153" s="680"/>
      <c r="AC153" s="681"/>
      <c r="AD153" s="674"/>
      <c r="AE153" s="680"/>
      <c r="AF153" s="681"/>
      <c r="AG153" s="674"/>
      <c r="AH153" s="680"/>
      <c r="AI153" s="681"/>
      <c r="AJ153" s="674"/>
      <c r="AK153" s="680"/>
      <c r="AL153" s="681"/>
    </row>
    <row r="154" spans="1:38" x14ac:dyDescent="0.55000000000000004">
      <c r="A154" s="686">
        <v>43624</v>
      </c>
      <c r="B154" s="682">
        <v>19151</v>
      </c>
      <c r="C154" s="675">
        <v>19066241</v>
      </c>
      <c r="D154" s="689" t="s">
        <v>1735</v>
      </c>
      <c r="E154" s="691"/>
      <c r="F154" s="674">
        <v>1</v>
      </c>
      <c r="G154" s="675" t="s">
        <v>883</v>
      </c>
      <c r="H154" s="676" t="s">
        <v>1571</v>
      </c>
      <c r="I154" s="674">
        <v>2</v>
      </c>
      <c r="J154" s="675" t="s">
        <v>1511</v>
      </c>
      <c r="K154" s="677" t="s">
        <v>1586</v>
      </c>
      <c r="L154" s="674"/>
      <c r="M154" s="680"/>
      <c r="N154" s="681"/>
      <c r="O154" s="674"/>
      <c r="P154" s="680"/>
      <c r="Q154" s="681"/>
      <c r="R154" s="674"/>
      <c r="S154" s="680"/>
      <c r="T154" s="681"/>
      <c r="U154" s="674"/>
      <c r="V154" s="680"/>
      <c r="W154" s="681"/>
      <c r="X154" s="674"/>
      <c r="Y154" s="680"/>
      <c r="Z154" s="681"/>
      <c r="AA154" s="674"/>
      <c r="AB154" s="680"/>
      <c r="AC154" s="681"/>
      <c r="AD154" s="674"/>
      <c r="AE154" s="680"/>
      <c r="AF154" s="681"/>
      <c r="AG154" s="674"/>
      <c r="AH154" s="680"/>
      <c r="AI154" s="681"/>
      <c r="AJ154" s="674"/>
      <c r="AK154" s="680"/>
      <c r="AL154" s="681"/>
    </row>
    <row r="155" spans="1:38" x14ac:dyDescent="0.55000000000000004">
      <c r="A155" s="686">
        <v>43626</v>
      </c>
      <c r="B155" s="682">
        <v>19152</v>
      </c>
      <c r="C155" s="675">
        <v>19056214</v>
      </c>
      <c r="D155" s="689" t="s">
        <v>2161</v>
      </c>
      <c r="E155" s="691"/>
      <c r="F155" s="674">
        <v>1</v>
      </c>
      <c r="G155" s="675" t="s">
        <v>2022</v>
      </c>
      <c r="H155" s="676" t="s">
        <v>1571</v>
      </c>
      <c r="I155" s="674">
        <v>2</v>
      </c>
      <c r="J155" s="675" t="s">
        <v>1784</v>
      </c>
      <c r="K155" s="677" t="s">
        <v>1575</v>
      </c>
      <c r="L155" s="674"/>
      <c r="M155" s="680"/>
      <c r="N155" s="681"/>
      <c r="O155" s="674"/>
      <c r="P155" s="680"/>
      <c r="Q155" s="681"/>
      <c r="R155" s="674"/>
      <c r="S155" s="680"/>
      <c r="T155" s="681"/>
      <c r="U155" s="674"/>
      <c r="V155" s="680"/>
      <c r="W155" s="681"/>
      <c r="X155" s="674"/>
      <c r="Y155" s="680"/>
      <c r="Z155" s="681"/>
      <c r="AA155" s="674"/>
      <c r="AB155" s="680"/>
      <c r="AC155" s="681"/>
      <c r="AD155" s="674"/>
      <c r="AE155" s="680"/>
      <c r="AF155" s="681"/>
      <c r="AG155" s="674"/>
      <c r="AH155" s="680"/>
      <c r="AI155" s="681"/>
      <c r="AJ155" s="674"/>
      <c r="AK155" s="680"/>
      <c r="AL155" s="681"/>
    </row>
    <row r="156" spans="1:38" x14ac:dyDescent="0.55000000000000004">
      <c r="A156" s="686">
        <v>43627</v>
      </c>
      <c r="B156" s="682">
        <v>19153</v>
      </c>
      <c r="C156" s="675">
        <v>18075909</v>
      </c>
      <c r="D156" s="689" t="s">
        <v>2147</v>
      </c>
      <c r="E156" s="691"/>
      <c r="F156" s="674">
        <v>1</v>
      </c>
      <c r="G156" s="675" t="s">
        <v>728</v>
      </c>
      <c r="H156" s="676" t="s">
        <v>2325</v>
      </c>
      <c r="I156" s="674"/>
      <c r="J156" s="690"/>
      <c r="K156" s="681"/>
      <c r="L156" s="674"/>
      <c r="M156" s="680"/>
      <c r="N156" s="681"/>
      <c r="O156" s="674"/>
      <c r="P156" s="680"/>
      <c r="Q156" s="681"/>
      <c r="R156" s="674"/>
      <c r="S156" s="680"/>
      <c r="T156" s="681"/>
      <c r="U156" s="674"/>
      <c r="V156" s="680"/>
      <c r="W156" s="681"/>
      <c r="X156" s="674"/>
      <c r="Y156" s="680"/>
      <c r="Z156" s="681"/>
      <c r="AA156" s="674"/>
      <c r="AB156" s="680"/>
      <c r="AC156" s="681"/>
      <c r="AD156" s="674"/>
      <c r="AE156" s="680"/>
      <c r="AF156" s="681"/>
      <c r="AG156" s="674"/>
      <c r="AH156" s="680"/>
      <c r="AI156" s="681"/>
      <c r="AJ156" s="674"/>
      <c r="AK156" s="680"/>
      <c r="AL156" s="681"/>
    </row>
    <row r="157" spans="1:38" x14ac:dyDescent="0.55000000000000004">
      <c r="A157" s="686">
        <v>43627</v>
      </c>
      <c r="B157" s="682">
        <v>19154</v>
      </c>
      <c r="C157" s="675">
        <v>19036152</v>
      </c>
      <c r="D157" s="689" t="s">
        <v>1490</v>
      </c>
      <c r="E157" s="691"/>
      <c r="F157" s="674">
        <v>1</v>
      </c>
      <c r="G157" s="675" t="s">
        <v>2442</v>
      </c>
      <c r="H157" s="676" t="s">
        <v>1571</v>
      </c>
      <c r="I157" s="674">
        <v>2</v>
      </c>
      <c r="J157" s="675" t="s">
        <v>2443</v>
      </c>
      <c r="K157" s="677" t="s">
        <v>1571</v>
      </c>
      <c r="L157" s="674">
        <v>3</v>
      </c>
      <c r="M157" s="678" t="s">
        <v>1511</v>
      </c>
      <c r="N157" s="677" t="s">
        <v>1586</v>
      </c>
      <c r="O157" s="674">
        <v>4</v>
      </c>
      <c r="P157" s="678" t="s">
        <v>1502</v>
      </c>
      <c r="Q157" s="677" t="s">
        <v>1583</v>
      </c>
      <c r="R157" s="674">
        <v>5</v>
      </c>
      <c r="S157" s="678" t="s">
        <v>1503</v>
      </c>
      <c r="T157" s="677" t="s">
        <v>1632</v>
      </c>
      <c r="U157" s="674"/>
      <c r="V157" s="680"/>
      <c r="W157" s="681"/>
      <c r="X157" s="674"/>
      <c r="Y157" s="680"/>
      <c r="Z157" s="681"/>
      <c r="AA157" s="674"/>
      <c r="AB157" s="680"/>
      <c r="AC157" s="681"/>
      <c r="AD157" s="674"/>
      <c r="AE157" s="680"/>
      <c r="AF157" s="681"/>
      <c r="AG157" s="674"/>
      <c r="AH157" s="680"/>
      <c r="AI157" s="681"/>
      <c r="AJ157" s="674"/>
      <c r="AK157" s="680"/>
      <c r="AL157" s="681"/>
    </row>
    <row r="158" spans="1:38" x14ac:dyDescent="0.55000000000000004">
      <c r="A158" s="686">
        <v>43629</v>
      </c>
      <c r="B158" s="682">
        <v>19155</v>
      </c>
      <c r="C158" s="675">
        <v>19066239</v>
      </c>
      <c r="D158" s="689" t="s">
        <v>1624</v>
      </c>
      <c r="E158" s="691"/>
      <c r="F158" s="674">
        <v>1</v>
      </c>
      <c r="G158" s="675" t="s">
        <v>2015</v>
      </c>
      <c r="H158" s="676" t="s">
        <v>1571</v>
      </c>
      <c r="I158" s="674"/>
      <c r="J158" s="690"/>
      <c r="K158" s="681"/>
      <c r="L158" s="674"/>
      <c r="M158" s="680"/>
      <c r="N158" s="681"/>
      <c r="O158" s="674"/>
      <c r="P158" s="680"/>
      <c r="Q158" s="681"/>
      <c r="R158" s="674"/>
      <c r="S158" s="680"/>
      <c r="T158" s="681"/>
      <c r="U158" s="674"/>
      <c r="V158" s="680"/>
      <c r="W158" s="681"/>
      <c r="X158" s="674"/>
      <c r="Y158" s="680"/>
      <c r="Z158" s="681"/>
      <c r="AA158" s="674"/>
      <c r="AB158" s="680"/>
      <c r="AC158" s="681"/>
      <c r="AD158" s="674"/>
      <c r="AE158" s="680"/>
      <c r="AF158" s="681"/>
      <c r="AG158" s="674"/>
      <c r="AH158" s="680"/>
      <c r="AI158" s="681"/>
      <c r="AJ158" s="674"/>
      <c r="AK158" s="680"/>
      <c r="AL158" s="681"/>
    </row>
    <row r="159" spans="1:38" x14ac:dyDescent="0.55000000000000004">
      <c r="A159" s="686">
        <v>43630</v>
      </c>
      <c r="B159" s="682">
        <v>19156</v>
      </c>
      <c r="C159" s="675">
        <v>19056210</v>
      </c>
      <c r="D159" s="689" t="s">
        <v>1926</v>
      </c>
      <c r="E159" s="691"/>
      <c r="F159" s="674">
        <v>1</v>
      </c>
      <c r="G159" s="675" t="s">
        <v>2011</v>
      </c>
      <c r="H159" s="676" t="s">
        <v>1581</v>
      </c>
      <c r="I159" s="674">
        <v>2</v>
      </c>
      <c r="J159" s="675" t="s">
        <v>1511</v>
      </c>
      <c r="K159" s="677" t="s">
        <v>1582</v>
      </c>
      <c r="L159" s="674">
        <v>3</v>
      </c>
      <c r="M159" s="678" t="s">
        <v>1503</v>
      </c>
      <c r="N159" s="677" t="s">
        <v>1938</v>
      </c>
      <c r="O159" s="674"/>
      <c r="P159" s="680"/>
      <c r="Q159" s="681"/>
      <c r="R159" s="674"/>
      <c r="S159" s="680"/>
      <c r="T159" s="681"/>
      <c r="U159" s="674"/>
      <c r="V159" s="680"/>
      <c r="W159" s="681"/>
      <c r="X159" s="674"/>
      <c r="Y159" s="680"/>
      <c r="Z159" s="681"/>
      <c r="AA159" s="674"/>
      <c r="AB159" s="680"/>
      <c r="AC159" s="681"/>
      <c r="AD159" s="674"/>
      <c r="AE159" s="680"/>
      <c r="AF159" s="681"/>
      <c r="AG159" s="674"/>
      <c r="AH159" s="680"/>
      <c r="AI159" s="681"/>
      <c r="AJ159" s="674"/>
      <c r="AK159" s="680"/>
      <c r="AL159" s="681"/>
    </row>
    <row r="160" spans="1:38" x14ac:dyDescent="0.55000000000000004">
      <c r="A160" s="686">
        <v>43630</v>
      </c>
      <c r="B160" s="682">
        <v>19157</v>
      </c>
      <c r="C160" s="675">
        <v>19056224</v>
      </c>
      <c r="D160" s="689" t="s">
        <v>1924</v>
      </c>
      <c r="E160" s="691"/>
      <c r="F160" s="674">
        <v>1</v>
      </c>
      <c r="G160" s="675" t="s">
        <v>1230</v>
      </c>
      <c r="H160" s="676" t="s">
        <v>1571</v>
      </c>
      <c r="I160" s="674">
        <v>2</v>
      </c>
      <c r="J160" s="675" t="s">
        <v>2076</v>
      </c>
      <c r="K160" s="677" t="s">
        <v>1571</v>
      </c>
      <c r="L160" s="674">
        <v>3</v>
      </c>
      <c r="M160" s="678" t="s">
        <v>1511</v>
      </c>
      <c r="N160" s="677" t="s">
        <v>1574</v>
      </c>
      <c r="O160" s="674">
        <v>4</v>
      </c>
      <c r="P160" s="678" t="s">
        <v>1507</v>
      </c>
      <c r="Q160" s="677" t="s">
        <v>1575</v>
      </c>
      <c r="R160" s="674">
        <v>5</v>
      </c>
      <c r="S160" s="678" t="s">
        <v>1498</v>
      </c>
      <c r="T160" s="677" t="s">
        <v>1795</v>
      </c>
      <c r="U160" s="674">
        <v>6</v>
      </c>
      <c r="V160" s="678" t="s">
        <v>1503</v>
      </c>
      <c r="W160" s="677" t="s">
        <v>1584</v>
      </c>
      <c r="X160" s="674">
        <v>7</v>
      </c>
      <c r="Y160" s="678" t="s">
        <v>2326</v>
      </c>
      <c r="Z160" s="677" t="s">
        <v>2070</v>
      </c>
      <c r="AA160" s="674"/>
      <c r="AB160" s="680"/>
      <c r="AC160" s="681"/>
      <c r="AD160" s="674"/>
      <c r="AE160" s="680"/>
      <c r="AF160" s="681"/>
      <c r="AG160" s="674"/>
      <c r="AH160" s="680"/>
      <c r="AI160" s="681"/>
      <c r="AJ160" s="674"/>
      <c r="AK160" s="680"/>
      <c r="AL160" s="681"/>
    </row>
    <row r="161" spans="1:38" x14ac:dyDescent="0.55000000000000004">
      <c r="A161" s="686">
        <v>43634</v>
      </c>
      <c r="B161" s="682">
        <v>19158</v>
      </c>
      <c r="C161" s="675">
        <v>19046195</v>
      </c>
      <c r="D161" s="689" t="s">
        <v>2265</v>
      </c>
      <c r="E161" s="691"/>
      <c r="F161" s="674">
        <v>1</v>
      </c>
      <c r="G161" s="675" t="s">
        <v>599</v>
      </c>
      <c r="H161" s="676" t="s">
        <v>1571</v>
      </c>
      <c r="I161" s="674">
        <v>2</v>
      </c>
      <c r="J161" s="675" t="s">
        <v>600</v>
      </c>
      <c r="K161" s="677" t="s">
        <v>1571</v>
      </c>
      <c r="L161" s="674">
        <v>3</v>
      </c>
      <c r="M161" s="678" t="s">
        <v>1511</v>
      </c>
      <c r="N161" s="677" t="s">
        <v>1574</v>
      </c>
      <c r="O161" s="674">
        <v>4</v>
      </c>
      <c r="P161" s="678" t="s">
        <v>1502</v>
      </c>
      <c r="Q161" s="677" t="s">
        <v>1575</v>
      </c>
      <c r="R161" s="674">
        <v>5</v>
      </c>
      <c r="S161" s="678" t="s">
        <v>1498</v>
      </c>
      <c r="T161" s="677" t="s">
        <v>1590</v>
      </c>
      <c r="U161" s="674"/>
      <c r="V161" s="680"/>
      <c r="W161" s="681"/>
      <c r="X161" s="674"/>
      <c r="Y161" s="680"/>
      <c r="Z161" s="681"/>
      <c r="AA161" s="674"/>
      <c r="AB161" s="680"/>
      <c r="AC161" s="681"/>
      <c r="AD161" s="674"/>
      <c r="AE161" s="680"/>
      <c r="AF161" s="681"/>
      <c r="AG161" s="674"/>
      <c r="AH161" s="680"/>
      <c r="AI161" s="681"/>
      <c r="AJ161" s="674"/>
      <c r="AK161" s="680"/>
      <c r="AL161" s="681"/>
    </row>
    <row r="162" spans="1:38" x14ac:dyDescent="0.55000000000000004">
      <c r="A162" s="670">
        <v>43634</v>
      </c>
      <c r="B162" s="671">
        <v>19159</v>
      </c>
      <c r="C162" s="672">
        <v>19056224</v>
      </c>
      <c r="D162" s="673" t="s">
        <v>1924</v>
      </c>
      <c r="E162" s="725"/>
      <c r="F162" s="674">
        <v>1</v>
      </c>
      <c r="G162" s="675" t="s">
        <v>2075</v>
      </c>
      <c r="H162" s="676" t="s">
        <v>1571</v>
      </c>
      <c r="I162" s="674">
        <v>2</v>
      </c>
      <c r="J162" s="675" t="s">
        <v>2057</v>
      </c>
      <c r="K162" s="677" t="s">
        <v>1575</v>
      </c>
      <c r="L162" s="674">
        <v>3</v>
      </c>
      <c r="M162" s="678" t="s">
        <v>1503</v>
      </c>
      <c r="N162" s="677" t="s">
        <v>1632</v>
      </c>
      <c r="O162" s="674"/>
      <c r="P162" s="680"/>
      <c r="Q162" s="681"/>
      <c r="R162" s="674"/>
      <c r="S162" s="680"/>
      <c r="T162" s="681"/>
      <c r="U162" s="674"/>
      <c r="V162" s="680"/>
      <c r="W162" s="681"/>
      <c r="X162" s="674"/>
      <c r="Y162" s="680"/>
      <c r="Z162" s="681"/>
      <c r="AA162" s="674"/>
      <c r="AB162" s="680"/>
      <c r="AC162" s="681"/>
      <c r="AD162" s="674"/>
      <c r="AE162" s="680"/>
      <c r="AF162" s="681"/>
      <c r="AG162" s="674"/>
      <c r="AH162" s="680"/>
      <c r="AI162" s="681"/>
      <c r="AJ162" s="674"/>
      <c r="AK162" s="680"/>
      <c r="AL162" s="681"/>
    </row>
    <row r="163" spans="1:38" x14ac:dyDescent="0.55000000000000004">
      <c r="A163" s="698"/>
      <c r="B163" s="856">
        <v>19160</v>
      </c>
      <c r="C163" s="700"/>
      <c r="D163" s="701"/>
      <c r="E163" s="726"/>
      <c r="F163" s="674">
        <v>1</v>
      </c>
      <c r="G163" s="675" t="s">
        <v>2075</v>
      </c>
      <c r="H163" s="676" t="s">
        <v>1571</v>
      </c>
      <c r="I163" s="674">
        <v>2</v>
      </c>
      <c r="J163" s="675" t="s">
        <v>2057</v>
      </c>
      <c r="K163" s="677" t="s">
        <v>1575</v>
      </c>
      <c r="L163" s="674">
        <v>3</v>
      </c>
      <c r="M163" s="678" t="s">
        <v>1503</v>
      </c>
      <c r="N163" s="677" t="s">
        <v>1632</v>
      </c>
      <c r="O163" s="674"/>
      <c r="P163" s="680"/>
      <c r="Q163" s="681"/>
      <c r="R163" s="674"/>
      <c r="S163" s="680"/>
      <c r="T163" s="681"/>
      <c r="U163" s="674"/>
      <c r="V163" s="680"/>
      <c r="W163" s="681"/>
      <c r="X163" s="674"/>
      <c r="Y163" s="680"/>
      <c r="Z163" s="681"/>
      <c r="AA163" s="674"/>
      <c r="AB163" s="680"/>
      <c r="AC163" s="681"/>
      <c r="AD163" s="674"/>
      <c r="AE163" s="680"/>
      <c r="AF163" s="681"/>
      <c r="AG163" s="674"/>
      <c r="AH163" s="680"/>
      <c r="AI163" s="681"/>
      <c r="AJ163" s="674"/>
      <c r="AK163" s="680"/>
      <c r="AL163" s="681"/>
    </row>
    <row r="164" spans="1:38" x14ac:dyDescent="0.55000000000000004">
      <c r="A164" s="682"/>
      <c r="B164" s="683">
        <v>19161</v>
      </c>
      <c r="C164" s="684"/>
      <c r="D164" s="685"/>
      <c r="E164" s="695"/>
      <c r="F164" s="674">
        <v>1</v>
      </c>
      <c r="G164" s="675" t="s">
        <v>2074</v>
      </c>
      <c r="H164" s="676" t="s">
        <v>1571</v>
      </c>
      <c r="I164" s="674">
        <v>2</v>
      </c>
      <c r="J164" s="675" t="s">
        <v>1634</v>
      </c>
      <c r="K164" s="677" t="s">
        <v>1574</v>
      </c>
      <c r="L164" s="674">
        <v>3</v>
      </c>
      <c r="M164" s="678" t="s">
        <v>1631</v>
      </c>
      <c r="N164" s="677" t="s">
        <v>1583</v>
      </c>
      <c r="O164" s="674">
        <v>4</v>
      </c>
      <c r="P164" s="678" t="s">
        <v>1502</v>
      </c>
      <c r="Q164" s="677" t="s">
        <v>1586</v>
      </c>
      <c r="R164" s="674">
        <v>5</v>
      </c>
      <c r="S164" s="678" t="s">
        <v>2327</v>
      </c>
      <c r="T164" s="677" t="s">
        <v>1575</v>
      </c>
      <c r="U164" s="674">
        <v>6</v>
      </c>
      <c r="V164" s="678" t="s">
        <v>1514</v>
      </c>
      <c r="W164" s="677" t="s">
        <v>1587</v>
      </c>
      <c r="X164" s="674">
        <v>7</v>
      </c>
      <c r="Y164" s="678" t="s">
        <v>2328</v>
      </c>
      <c r="Z164" s="677" t="s">
        <v>2329</v>
      </c>
      <c r="AA164" s="674">
        <v>8</v>
      </c>
      <c r="AB164" s="678" t="s">
        <v>2330</v>
      </c>
      <c r="AC164" s="677" t="s">
        <v>2331</v>
      </c>
      <c r="AD164" s="674">
        <v>9</v>
      </c>
      <c r="AE164" s="678" t="s">
        <v>1503</v>
      </c>
      <c r="AF164" s="677" t="s">
        <v>1632</v>
      </c>
      <c r="AG164" s="674"/>
      <c r="AH164" s="680"/>
      <c r="AI164" s="681"/>
      <c r="AJ164" s="674"/>
      <c r="AK164" s="680"/>
      <c r="AL164" s="681"/>
    </row>
    <row r="165" spans="1:38" x14ac:dyDescent="0.55000000000000004">
      <c r="A165" s="670">
        <v>43635</v>
      </c>
      <c r="B165" s="692">
        <v>19162</v>
      </c>
      <c r="C165" s="672">
        <v>18095987</v>
      </c>
      <c r="D165" s="673" t="s">
        <v>2266</v>
      </c>
      <c r="E165" s="725"/>
      <c r="F165" s="674">
        <v>1</v>
      </c>
      <c r="G165" s="675" t="s">
        <v>593</v>
      </c>
      <c r="H165" s="676" t="s">
        <v>1579</v>
      </c>
      <c r="I165" s="674">
        <v>2</v>
      </c>
      <c r="J165" s="675" t="s">
        <v>1929</v>
      </c>
      <c r="K165" s="677" t="s">
        <v>1583</v>
      </c>
      <c r="L165" s="674">
        <v>3</v>
      </c>
      <c r="M165" s="678" t="s">
        <v>1507</v>
      </c>
      <c r="N165" s="677" t="s">
        <v>1583</v>
      </c>
      <c r="O165" s="674">
        <v>4</v>
      </c>
      <c r="P165" s="678" t="s">
        <v>1508</v>
      </c>
      <c r="Q165" s="677" t="s">
        <v>1927</v>
      </c>
      <c r="R165" s="674"/>
      <c r="S165" s="680"/>
      <c r="T165" s="681"/>
      <c r="U165" s="674"/>
      <c r="V165" s="680"/>
      <c r="W165" s="681"/>
      <c r="X165" s="674"/>
      <c r="Y165" s="680"/>
      <c r="Z165" s="681"/>
      <c r="AA165" s="674"/>
      <c r="AB165" s="680"/>
      <c r="AC165" s="681"/>
      <c r="AD165" s="674"/>
      <c r="AE165" s="680"/>
      <c r="AF165" s="681"/>
      <c r="AG165" s="674"/>
      <c r="AH165" s="680"/>
      <c r="AI165" s="681"/>
      <c r="AJ165" s="674"/>
      <c r="AK165" s="680"/>
      <c r="AL165" s="681"/>
    </row>
    <row r="166" spans="1:38" x14ac:dyDescent="0.55000000000000004">
      <c r="A166" s="698"/>
      <c r="B166" s="703">
        <v>19163</v>
      </c>
      <c r="C166" s="700"/>
      <c r="D166" s="701"/>
      <c r="E166" s="726"/>
      <c r="F166" s="674">
        <v>1</v>
      </c>
      <c r="G166" s="675" t="s">
        <v>593</v>
      </c>
      <c r="H166" s="676" t="s">
        <v>1579</v>
      </c>
      <c r="I166" s="674">
        <v>2</v>
      </c>
      <c r="J166" s="675" t="s">
        <v>1929</v>
      </c>
      <c r="K166" s="677" t="s">
        <v>1583</v>
      </c>
      <c r="L166" s="674">
        <v>3</v>
      </c>
      <c r="M166" s="678" t="s">
        <v>1507</v>
      </c>
      <c r="N166" s="677" t="s">
        <v>1583</v>
      </c>
      <c r="O166" s="674">
        <v>4</v>
      </c>
      <c r="P166" s="678" t="s">
        <v>1508</v>
      </c>
      <c r="Q166" s="677" t="s">
        <v>1927</v>
      </c>
      <c r="R166" s="674"/>
      <c r="S166" s="680"/>
      <c r="T166" s="681"/>
      <c r="U166" s="674"/>
      <c r="V166" s="680"/>
      <c r="W166" s="681"/>
      <c r="X166" s="674"/>
      <c r="Y166" s="680"/>
      <c r="Z166" s="681"/>
      <c r="AA166" s="674"/>
      <c r="AB166" s="680"/>
      <c r="AC166" s="681"/>
      <c r="AD166" s="674"/>
      <c r="AE166" s="680"/>
      <c r="AF166" s="681"/>
      <c r="AG166" s="674"/>
      <c r="AH166" s="680"/>
      <c r="AI166" s="681"/>
      <c r="AJ166" s="674"/>
      <c r="AK166" s="680"/>
      <c r="AL166" s="681"/>
    </row>
    <row r="167" spans="1:38" x14ac:dyDescent="0.55000000000000004">
      <c r="A167" s="698"/>
      <c r="B167" s="703">
        <v>19164</v>
      </c>
      <c r="C167" s="700"/>
      <c r="D167" s="701"/>
      <c r="E167" s="726"/>
      <c r="F167" s="674">
        <v>1</v>
      </c>
      <c r="G167" s="675" t="s">
        <v>593</v>
      </c>
      <c r="H167" s="676" t="s">
        <v>1579</v>
      </c>
      <c r="I167" s="674">
        <v>2</v>
      </c>
      <c r="J167" s="675" t="s">
        <v>1929</v>
      </c>
      <c r="K167" s="677" t="s">
        <v>1583</v>
      </c>
      <c r="L167" s="674">
        <v>3</v>
      </c>
      <c r="M167" s="678" t="s">
        <v>1507</v>
      </c>
      <c r="N167" s="677" t="s">
        <v>1583</v>
      </c>
      <c r="O167" s="674">
        <v>4</v>
      </c>
      <c r="P167" s="678" t="s">
        <v>1508</v>
      </c>
      <c r="Q167" s="677" t="s">
        <v>1927</v>
      </c>
      <c r="R167" s="674"/>
      <c r="S167" s="680"/>
      <c r="T167" s="681"/>
      <c r="U167" s="674"/>
      <c r="V167" s="680"/>
      <c r="W167" s="681"/>
      <c r="X167" s="674"/>
      <c r="Y167" s="680"/>
      <c r="Z167" s="681"/>
      <c r="AA167" s="674"/>
      <c r="AB167" s="680"/>
      <c r="AC167" s="681"/>
      <c r="AD167" s="674"/>
      <c r="AE167" s="680"/>
      <c r="AF167" s="681"/>
      <c r="AG167" s="674"/>
      <c r="AH167" s="680"/>
      <c r="AI167" s="681"/>
      <c r="AJ167" s="674"/>
      <c r="AK167" s="680"/>
      <c r="AL167" s="681"/>
    </row>
    <row r="168" spans="1:38" x14ac:dyDescent="0.55000000000000004">
      <c r="A168" s="682"/>
      <c r="B168" s="682">
        <v>19165</v>
      </c>
      <c r="C168" s="684"/>
      <c r="D168" s="685"/>
      <c r="E168" s="695"/>
      <c r="F168" s="674">
        <v>1</v>
      </c>
      <c r="G168" s="675" t="s">
        <v>593</v>
      </c>
      <c r="H168" s="676" t="s">
        <v>1579</v>
      </c>
      <c r="I168" s="674">
        <v>2</v>
      </c>
      <c r="J168" s="675" t="s">
        <v>1929</v>
      </c>
      <c r="K168" s="677" t="s">
        <v>1583</v>
      </c>
      <c r="L168" s="674">
        <v>3</v>
      </c>
      <c r="M168" s="678" t="s">
        <v>1507</v>
      </c>
      <c r="N168" s="677" t="s">
        <v>1583</v>
      </c>
      <c r="O168" s="674">
        <v>4</v>
      </c>
      <c r="P168" s="678" t="s">
        <v>1508</v>
      </c>
      <c r="Q168" s="677" t="s">
        <v>1927</v>
      </c>
      <c r="R168" s="674"/>
      <c r="S168" s="680"/>
      <c r="T168" s="681"/>
      <c r="U168" s="674"/>
      <c r="V168" s="680"/>
      <c r="W168" s="681"/>
      <c r="X168" s="674"/>
      <c r="Y168" s="680"/>
      <c r="Z168" s="681"/>
      <c r="AA168" s="674"/>
      <c r="AB168" s="680"/>
      <c r="AC168" s="681"/>
      <c r="AD168" s="674"/>
      <c r="AE168" s="680"/>
      <c r="AF168" s="681"/>
      <c r="AG168" s="674"/>
      <c r="AH168" s="680"/>
      <c r="AI168" s="681"/>
      <c r="AJ168" s="674"/>
      <c r="AK168" s="680"/>
      <c r="AL168" s="681"/>
    </row>
    <row r="169" spans="1:38" x14ac:dyDescent="0.55000000000000004">
      <c r="A169" s="670">
        <v>43635</v>
      </c>
      <c r="B169" s="692">
        <v>19166</v>
      </c>
      <c r="C169" s="672">
        <v>19046204</v>
      </c>
      <c r="D169" s="673" t="s">
        <v>2267</v>
      </c>
      <c r="E169" s="725"/>
      <c r="F169" s="674">
        <v>1</v>
      </c>
      <c r="G169" s="675" t="s">
        <v>648</v>
      </c>
      <c r="H169" s="676" t="s">
        <v>1797</v>
      </c>
      <c r="I169" s="674">
        <v>2</v>
      </c>
      <c r="J169" s="675" t="s">
        <v>1929</v>
      </c>
      <c r="K169" s="677" t="s">
        <v>1633</v>
      </c>
      <c r="L169" s="674">
        <v>3</v>
      </c>
      <c r="M169" s="678" t="s">
        <v>1507</v>
      </c>
      <c r="N169" s="677" t="s">
        <v>1633</v>
      </c>
      <c r="O169" s="674">
        <v>4</v>
      </c>
      <c r="P169" s="678" t="s">
        <v>1498</v>
      </c>
      <c r="Q169" s="677" t="s">
        <v>2332</v>
      </c>
      <c r="R169" s="674"/>
      <c r="S169" s="680"/>
      <c r="T169" s="681"/>
      <c r="U169" s="674"/>
      <c r="V169" s="680"/>
      <c r="W169" s="681"/>
      <c r="X169" s="674"/>
      <c r="Y169" s="680"/>
      <c r="Z169" s="681"/>
      <c r="AA169" s="674"/>
      <c r="AB169" s="680"/>
      <c r="AC169" s="681"/>
      <c r="AD169" s="674"/>
      <c r="AE169" s="680"/>
      <c r="AF169" s="681"/>
      <c r="AG169" s="674"/>
      <c r="AH169" s="680"/>
      <c r="AI169" s="681"/>
      <c r="AJ169" s="674"/>
      <c r="AK169" s="680"/>
      <c r="AL169" s="681"/>
    </row>
    <row r="170" spans="1:38" x14ac:dyDescent="0.55000000000000004">
      <c r="A170" s="682"/>
      <c r="B170" s="682">
        <v>19167</v>
      </c>
      <c r="C170" s="684"/>
      <c r="D170" s="685"/>
      <c r="E170" s="695"/>
      <c r="F170" s="674">
        <v>1</v>
      </c>
      <c r="G170" s="675" t="s">
        <v>648</v>
      </c>
      <c r="H170" s="676" t="s">
        <v>1579</v>
      </c>
      <c r="I170" s="674">
        <v>2</v>
      </c>
      <c r="J170" s="675" t="s">
        <v>1929</v>
      </c>
      <c r="K170" s="677" t="s">
        <v>1583</v>
      </c>
      <c r="L170" s="674">
        <v>3</v>
      </c>
      <c r="M170" s="678" t="s">
        <v>1507</v>
      </c>
      <c r="N170" s="677" t="s">
        <v>1583</v>
      </c>
      <c r="O170" s="674">
        <v>4</v>
      </c>
      <c r="P170" s="678" t="s">
        <v>1498</v>
      </c>
      <c r="Q170" s="677" t="s">
        <v>1590</v>
      </c>
      <c r="R170" s="674"/>
      <c r="S170" s="680"/>
      <c r="T170" s="681"/>
      <c r="U170" s="674"/>
      <c r="V170" s="680"/>
      <c r="W170" s="681"/>
      <c r="X170" s="674"/>
      <c r="Y170" s="680"/>
      <c r="Z170" s="681"/>
      <c r="AA170" s="674"/>
      <c r="AB170" s="680"/>
      <c r="AC170" s="681"/>
      <c r="AD170" s="674"/>
      <c r="AE170" s="680"/>
      <c r="AF170" s="681"/>
      <c r="AG170" s="674"/>
      <c r="AH170" s="680"/>
      <c r="AI170" s="681"/>
      <c r="AJ170" s="674"/>
      <c r="AK170" s="680"/>
      <c r="AL170" s="681"/>
    </row>
    <row r="171" spans="1:38" x14ac:dyDescent="0.55000000000000004">
      <c r="A171" s="686">
        <v>43636</v>
      </c>
      <c r="B171" s="682">
        <v>19168</v>
      </c>
      <c r="C171" s="675">
        <v>19066240</v>
      </c>
      <c r="D171" s="689" t="s">
        <v>1624</v>
      </c>
      <c r="E171" s="691"/>
      <c r="F171" s="674">
        <v>1</v>
      </c>
      <c r="G171" s="675" t="s">
        <v>807</v>
      </c>
      <c r="H171" s="676" t="s">
        <v>1571</v>
      </c>
      <c r="I171" s="674">
        <v>2</v>
      </c>
      <c r="J171" s="675" t="s">
        <v>1511</v>
      </c>
      <c r="K171" s="677" t="s">
        <v>1583</v>
      </c>
      <c r="L171" s="674">
        <v>3</v>
      </c>
      <c r="M171" s="678" t="s">
        <v>1502</v>
      </c>
      <c r="N171" s="677" t="s">
        <v>1575</v>
      </c>
      <c r="O171" s="674">
        <v>4</v>
      </c>
      <c r="P171" s="678" t="s">
        <v>1498</v>
      </c>
      <c r="Q171" s="677" t="s">
        <v>2062</v>
      </c>
      <c r="R171" s="674">
        <v>5</v>
      </c>
      <c r="S171" s="678" t="s">
        <v>1503</v>
      </c>
      <c r="T171" s="677" t="s">
        <v>1801</v>
      </c>
      <c r="U171" s="674"/>
      <c r="V171" s="680"/>
      <c r="W171" s="681"/>
      <c r="X171" s="674"/>
      <c r="Y171" s="680"/>
      <c r="Z171" s="681"/>
      <c r="AA171" s="674"/>
      <c r="AB171" s="680"/>
      <c r="AC171" s="681"/>
      <c r="AD171" s="674"/>
      <c r="AE171" s="680"/>
      <c r="AF171" s="681"/>
      <c r="AG171" s="674"/>
      <c r="AH171" s="680"/>
      <c r="AI171" s="681"/>
      <c r="AJ171" s="674"/>
      <c r="AK171" s="680"/>
      <c r="AL171" s="681"/>
    </row>
    <row r="172" spans="1:38" x14ac:dyDescent="0.55000000000000004">
      <c r="A172" s="686">
        <v>43637</v>
      </c>
      <c r="B172" s="682">
        <v>19169</v>
      </c>
      <c r="C172" s="675">
        <v>19056219</v>
      </c>
      <c r="D172" s="689" t="s">
        <v>1490</v>
      </c>
      <c r="E172" s="691"/>
      <c r="F172" s="674">
        <v>1</v>
      </c>
      <c r="G172" s="675" t="s">
        <v>2083</v>
      </c>
      <c r="H172" s="676" t="s">
        <v>1571</v>
      </c>
      <c r="I172" s="674">
        <v>2</v>
      </c>
      <c r="J172" s="675" t="s">
        <v>1511</v>
      </c>
      <c r="K172" s="677" t="s">
        <v>1583</v>
      </c>
      <c r="L172" s="674">
        <v>3</v>
      </c>
      <c r="M172" s="678" t="s">
        <v>1502</v>
      </c>
      <c r="N172" s="677" t="s">
        <v>1575</v>
      </c>
      <c r="O172" s="674">
        <v>4</v>
      </c>
      <c r="P172" s="678" t="s">
        <v>1503</v>
      </c>
      <c r="Q172" s="677" t="s">
        <v>1801</v>
      </c>
      <c r="R172" s="674"/>
      <c r="S172" s="680"/>
      <c r="T172" s="681"/>
      <c r="U172" s="674"/>
      <c r="V172" s="680"/>
      <c r="W172" s="681"/>
      <c r="X172" s="674"/>
      <c r="Y172" s="680"/>
      <c r="Z172" s="681"/>
      <c r="AA172" s="674"/>
      <c r="AB172" s="680"/>
      <c r="AC172" s="681"/>
      <c r="AD172" s="674"/>
      <c r="AE172" s="680"/>
      <c r="AF172" s="681"/>
      <c r="AG172" s="674"/>
      <c r="AH172" s="680"/>
      <c r="AI172" s="681"/>
      <c r="AJ172" s="674"/>
      <c r="AK172" s="680"/>
      <c r="AL172" s="681"/>
    </row>
    <row r="173" spans="1:38" x14ac:dyDescent="0.55000000000000004">
      <c r="A173" s="686">
        <v>43637</v>
      </c>
      <c r="B173" s="682">
        <v>19170</v>
      </c>
      <c r="C173" s="675">
        <v>19066248</v>
      </c>
      <c r="D173" s="689" t="s">
        <v>1490</v>
      </c>
      <c r="E173" s="691"/>
      <c r="F173" s="674">
        <v>1</v>
      </c>
      <c r="G173" s="675" t="s">
        <v>2269</v>
      </c>
      <c r="H173" s="676" t="s">
        <v>1571</v>
      </c>
      <c r="I173" s="674">
        <v>2</v>
      </c>
      <c r="J173" s="675" t="s">
        <v>1511</v>
      </c>
      <c r="K173" s="677" t="s">
        <v>1586</v>
      </c>
      <c r="L173" s="674">
        <v>3</v>
      </c>
      <c r="M173" s="678" t="s">
        <v>1507</v>
      </c>
      <c r="N173" s="677" t="s">
        <v>1575</v>
      </c>
      <c r="O173" s="674"/>
      <c r="P173" s="680"/>
      <c r="Q173" s="681"/>
      <c r="R173" s="674"/>
      <c r="S173" s="680"/>
      <c r="T173" s="681"/>
      <c r="U173" s="674"/>
      <c r="V173" s="680"/>
      <c r="W173" s="681"/>
      <c r="X173" s="674"/>
      <c r="Y173" s="680"/>
      <c r="Z173" s="681"/>
      <c r="AA173" s="674"/>
      <c r="AB173" s="680"/>
      <c r="AC173" s="681"/>
      <c r="AD173" s="674"/>
      <c r="AE173" s="680"/>
      <c r="AF173" s="681"/>
      <c r="AG173" s="674"/>
      <c r="AH173" s="680"/>
      <c r="AI173" s="681"/>
      <c r="AJ173" s="674"/>
      <c r="AK173" s="680"/>
      <c r="AL173" s="681"/>
    </row>
    <row r="174" spans="1:38" x14ac:dyDescent="0.55000000000000004">
      <c r="A174" s="686">
        <v>43642</v>
      </c>
      <c r="B174" s="682">
        <v>19171</v>
      </c>
      <c r="C174" s="675">
        <v>19036171</v>
      </c>
      <c r="D174" s="689" t="s">
        <v>1349</v>
      </c>
      <c r="E174" s="691"/>
      <c r="F174" s="674">
        <v>1</v>
      </c>
      <c r="G174" s="675" t="s">
        <v>2333</v>
      </c>
      <c r="H174" s="676" t="s">
        <v>2335</v>
      </c>
      <c r="I174" s="674">
        <v>2</v>
      </c>
      <c r="J174" s="675" t="s">
        <v>2334</v>
      </c>
      <c r="K174" s="677" t="s">
        <v>2335</v>
      </c>
      <c r="L174" s="674">
        <v>3</v>
      </c>
      <c r="M174" s="678" t="s">
        <v>2336</v>
      </c>
      <c r="N174" s="677" t="s">
        <v>2335</v>
      </c>
      <c r="O174" s="674"/>
      <c r="P174" s="680"/>
      <c r="Q174" s="681"/>
      <c r="R174" s="674"/>
      <c r="S174" s="680"/>
      <c r="T174" s="681"/>
      <c r="U174" s="674"/>
      <c r="V174" s="680"/>
      <c r="W174" s="681"/>
      <c r="X174" s="674"/>
      <c r="Y174" s="680"/>
      <c r="Z174" s="681"/>
      <c r="AA174" s="674"/>
      <c r="AB174" s="680"/>
      <c r="AC174" s="681"/>
      <c r="AD174" s="674"/>
      <c r="AE174" s="680"/>
      <c r="AF174" s="681"/>
      <c r="AG174" s="674"/>
      <c r="AH174" s="680"/>
      <c r="AI174" s="681"/>
      <c r="AJ174" s="674"/>
      <c r="AK174" s="680"/>
      <c r="AL174" s="681"/>
    </row>
    <row r="175" spans="1:38" x14ac:dyDescent="0.55000000000000004">
      <c r="A175" s="686">
        <v>43642</v>
      </c>
      <c r="B175" s="682">
        <v>19172</v>
      </c>
      <c r="C175" s="675">
        <v>19036173</v>
      </c>
      <c r="D175" s="689" t="s">
        <v>1331</v>
      </c>
      <c r="E175" s="691"/>
      <c r="F175" s="674">
        <v>1</v>
      </c>
      <c r="G175" s="675" t="s">
        <v>1887</v>
      </c>
      <c r="H175" s="676" t="s">
        <v>1571</v>
      </c>
      <c r="I175" s="674">
        <v>2</v>
      </c>
      <c r="J175" s="675" t="s">
        <v>2337</v>
      </c>
      <c r="K175" s="677" t="s">
        <v>1571</v>
      </c>
      <c r="L175" s="674">
        <v>3</v>
      </c>
      <c r="M175" s="678" t="s">
        <v>1511</v>
      </c>
      <c r="N175" s="677" t="s">
        <v>1633</v>
      </c>
      <c r="O175" s="674">
        <v>4</v>
      </c>
      <c r="P175" s="678" t="s">
        <v>1502</v>
      </c>
      <c r="Q175" s="677" t="s">
        <v>1583</v>
      </c>
      <c r="R175" s="674">
        <v>5</v>
      </c>
      <c r="S175" s="678" t="s">
        <v>1498</v>
      </c>
      <c r="T175" s="677" t="s">
        <v>2338</v>
      </c>
      <c r="U175" s="674">
        <v>6</v>
      </c>
      <c r="V175" s="678" t="s">
        <v>1503</v>
      </c>
      <c r="W175" s="677" t="s">
        <v>1597</v>
      </c>
      <c r="X175" s="674"/>
      <c r="Y175" s="680"/>
      <c r="Z175" s="681"/>
      <c r="AA175" s="674"/>
      <c r="AB175" s="680"/>
      <c r="AC175" s="681"/>
      <c r="AD175" s="674"/>
      <c r="AE175" s="680"/>
      <c r="AF175" s="681"/>
      <c r="AG175" s="674"/>
      <c r="AH175" s="680"/>
      <c r="AI175" s="681"/>
      <c r="AJ175" s="674"/>
      <c r="AK175" s="680"/>
      <c r="AL175" s="681"/>
    </row>
    <row r="176" spans="1:38" x14ac:dyDescent="0.55000000000000004">
      <c r="A176" s="670">
        <v>43642</v>
      </c>
      <c r="B176" s="692">
        <v>19173</v>
      </c>
      <c r="C176" s="672">
        <v>19056220</v>
      </c>
      <c r="D176" s="673" t="s">
        <v>2146</v>
      </c>
      <c r="E176" s="694"/>
      <c r="F176" s="674">
        <v>1</v>
      </c>
      <c r="G176" s="675" t="s">
        <v>593</v>
      </c>
      <c r="H176" s="676" t="s">
        <v>1579</v>
      </c>
      <c r="I176" s="674">
        <v>2</v>
      </c>
      <c r="J176" s="675" t="s">
        <v>1506</v>
      </c>
      <c r="K176" s="677" t="s">
        <v>1583</v>
      </c>
      <c r="L176" s="674">
        <v>3</v>
      </c>
      <c r="M176" s="678" t="s">
        <v>1507</v>
      </c>
      <c r="N176" s="677" t="s">
        <v>1583</v>
      </c>
      <c r="O176" s="674">
        <v>4</v>
      </c>
      <c r="P176" s="678" t="s">
        <v>1508</v>
      </c>
      <c r="Q176" s="677" t="s">
        <v>1594</v>
      </c>
      <c r="R176" s="674"/>
      <c r="S176" s="680"/>
      <c r="T176" s="681"/>
      <c r="U176" s="674"/>
      <c r="V176" s="680"/>
      <c r="W176" s="681"/>
      <c r="X176" s="674"/>
      <c r="Y176" s="680"/>
      <c r="Z176" s="681"/>
      <c r="AA176" s="674"/>
      <c r="AB176" s="680"/>
      <c r="AC176" s="681"/>
      <c r="AD176" s="674"/>
      <c r="AE176" s="680"/>
      <c r="AF176" s="681"/>
      <c r="AG176" s="674"/>
      <c r="AH176" s="680"/>
      <c r="AI176" s="681"/>
      <c r="AJ176" s="674"/>
      <c r="AK176" s="680"/>
      <c r="AL176" s="681"/>
    </row>
    <row r="177" spans="1:38" x14ac:dyDescent="0.55000000000000004">
      <c r="A177" s="682"/>
      <c r="B177" s="682">
        <v>19174</v>
      </c>
      <c r="C177" s="684"/>
      <c r="D177" s="705"/>
      <c r="E177" s="708"/>
      <c r="F177" s="674">
        <v>1</v>
      </c>
      <c r="G177" s="675" t="s">
        <v>593</v>
      </c>
      <c r="H177" s="676" t="s">
        <v>1579</v>
      </c>
      <c r="I177" s="674">
        <v>2</v>
      </c>
      <c r="J177" s="675" t="s">
        <v>1506</v>
      </c>
      <c r="K177" s="677" t="s">
        <v>1583</v>
      </c>
      <c r="L177" s="674">
        <v>3</v>
      </c>
      <c r="M177" s="678" t="s">
        <v>1507</v>
      </c>
      <c r="N177" s="677" t="s">
        <v>1583</v>
      </c>
      <c r="O177" s="674">
        <v>4</v>
      </c>
      <c r="P177" s="678" t="s">
        <v>1508</v>
      </c>
      <c r="Q177" s="677" t="s">
        <v>1594</v>
      </c>
      <c r="R177" s="674"/>
      <c r="S177" s="680"/>
      <c r="T177" s="681"/>
      <c r="U177" s="674"/>
      <c r="V177" s="680"/>
      <c r="W177" s="681"/>
      <c r="X177" s="674"/>
      <c r="Y177" s="680"/>
      <c r="Z177" s="681"/>
      <c r="AA177" s="674"/>
      <c r="AB177" s="680"/>
      <c r="AC177" s="681"/>
      <c r="AD177" s="674"/>
      <c r="AE177" s="680"/>
      <c r="AF177" s="681"/>
      <c r="AG177" s="674"/>
      <c r="AH177" s="680"/>
      <c r="AI177" s="681"/>
      <c r="AJ177" s="674"/>
      <c r="AK177" s="680"/>
      <c r="AL177" s="681"/>
    </row>
    <row r="178" spans="1:38" x14ac:dyDescent="0.55000000000000004">
      <c r="A178" s="670">
        <v>43643</v>
      </c>
      <c r="B178" s="692">
        <v>19175</v>
      </c>
      <c r="C178" s="672">
        <v>18095987</v>
      </c>
      <c r="D178" s="673" t="s">
        <v>2266</v>
      </c>
      <c r="E178" s="725"/>
      <c r="F178" s="674">
        <v>1</v>
      </c>
      <c r="G178" s="675" t="s">
        <v>607</v>
      </c>
      <c r="H178" s="676" t="s">
        <v>1571</v>
      </c>
      <c r="I178" s="674">
        <v>2</v>
      </c>
      <c r="J178" s="675" t="s">
        <v>1503</v>
      </c>
      <c r="K178" s="677" t="s">
        <v>1597</v>
      </c>
      <c r="L178" s="674"/>
      <c r="M178" s="680"/>
      <c r="N178" s="681"/>
      <c r="O178" s="674"/>
      <c r="P178" s="680"/>
      <c r="Q178" s="681"/>
      <c r="R178" s="674"/>
      <c r="S178" s="680"/>
      <c r="T178" s="681"/>
      <c r="U178" s="674"/>
      <c r="V178" s="680"/>
      <c r="W178" s="681"/>
      <c r="X178" s="674"/>
      <c r="Y178" s="680"/>
      <c r="Z178" s="681"/>
      <c r="AA178" s="674"/>
      <c r="AB178" s="680"/>
      <c r="AC178" s="681"/>
      <c r="AD178" s="674"/>
      <c r="AE178" s="680"/>
      <c r="AF178" s="681"/>
      <c r="AG178" s="674"/>
      <c r="AH178" s="680"/>
      <c r="AI178" s="681"/>
      <c r="AJ178" s="674"/>
      <c r="AK178" s="680"/>
      <c r="AL178" s="681"/>
    </row>
    <row r="179" spans="1:38" x14ac:dyDescent="0.55000000000000004">
      <c r="A179" s="682"/>
      <c r="B179" s="682">
        <v>19176</v>
      </c>
      <c r="C179" s="684"/>
      <c r="D179" s="685"/>
      <c r="E179" s="695"/>
      <c r="F179" s="674">
        <v>1</v>
      </c>
      <c r="G179" s="675" t="s">
        <v>607</v>
      </c>
      <c r="H179" s="676" t="s">
        <v>1571</v>
      </c>
      <c r="I179" s="674">
        <v>2</v>
      </c>
      <c r="J179" s="675" t="s">
        <v>1503</v>
      </c>
      <c r="K179" s="677" t="s">
        <v>1597</v>
      </c>
      <c r="L179" s="674"/>
      <c r="M179" s="680"/>
      <c r="N179" s="681"/>
      <c r="O179" s="674"/>
      <c r="P179" s="680"/>
      <c r="Q179" s="681"/>
      <c r="R179" s="674"/>
      <c r="S179" s="680"/>
      <c r="T179" s="681"/>
      <c r="U179" s="674"/>
      <c r="V179" s="680"/>
      <c r="W179" s="681"/>
      <c r="X179" s="674"/>
      <c r="Y179" s="680"/>
      <c r="Z179" s="681"/>
      <c r="AA179" s="674"/>
      <c r="AB179" s="680"/>
      <c r="AC179" s="681"/>
      <c r="AD179" s="674"/>
      <c r="AE179" s="680"/>
      <c r="AF179" s="681"/>
      <c r="AG179" s="674"/>
      <c r="AH179" s="680"/>
      <c r="AI179" s="681"/>
      <c r="AJ179" s="674"/>
      <c r="AK179" s="680"/>
      <c r="AL179" s="681"/>
    </row>
    <row r="180" spans="1:38" x14ac:dyDescent="0.55000000000000004">
      <c r="A180" s="686">
        <v>43643</v>
      </c>
      <c r="B180" s="682">
        <v>19177</v>
      </c>
      <c r="C180" s="675">
        <v>19066256</v>
      </c>
      <c r="D180" s="689" t="s">
        <v>2146</v>
      </c>
      <c r="E180" s="691"/>
      <c r="F180" s="674">
        <v>1</v>
      </c>
      <c r="G180" s="675" t="s">
        <v>2302</v>
      </c>
      <c r="H180" s="676" t="s">
        <v>1579</v>
      </c>
      <c r="I180" s="674">
        <v>2</v>
      </c>
      <c r="J180" s="675" t="s">
        <v>1634</v>
      </c>
      <c r="K180" s="677" t="s">
        <v>1583</v>
      </c>
      <c r="L180" s="674">
        <v>3</v>
      </c>
      <c r="M180" s="678" t="s">
        <v>1507</v>
      </c>
      <c r="N180" s="677" t="s">
        <v>1583</v>
      </c>
      <c r="O180" s="674">
        <v>4</v>
      </c>
      <c r="P180" s="678" t="s">
        <v>1498</v>
      </c>
      <c r="Q180" s="677" t="s">
        <v>2446</v>
      </c>
      <c r="R180" s="674"/>
      <c r="S180" s="680"/>
      <c r="T180" s="681"/>
      <c r="U180" s="674"/>
      <c r="V180" s="680"/>
      <c r="W180" s="681"/>
      <c r="X180" s="674"/>
      <c r="Y180" s="680"/>
      <c r="Z180" s="681"/>
      <c r="AA180" s="674"/>
      <c r="AB180" s="680"/>
      <c r="AC180" s="681"/>
      <c r="AD180" s="674"/>
      <c r="AE180" s="680"/>
      <c r="AF180" s="681"/>
      <c r="AG180" s="674"/>
      <c r="AH180" s="680"/>
      <c r="AI180" s="681"/>
      <c r="AJ180" s="674"/>
      <c r="AK180" s="680"/>
      <c r="AL180" s="681"/>
    </row>
    <row r="181" spans="1:38" x14ac:dyDescent="0.55000000000000004">
      <c r="A181" s="686">
        <v>43644</v>
      </c>
      <c r="B181" s="682">
        <v>19178</v>
      </c>
      <c r="C181" s="675">
        <v>19026134</v>
      </c>
      <c r="D181" s="689" t="s">
        <v>1924</v>
      </c>
      <c r="E181" s="691"/>
      <c r="F181" s="674">
        <v>1</v>
      </c>
      <c r="G181" s="675" t="s">
        <v>716</v>
      </c>
      <c r="H181" s="676" t="s">
        <v>1571</v>
      </c>
      <c r="I181" s="674"/>
      <c r="J181" s="690"/>
      <c r="K181" s="681"/>
      <c r="L181" s="674"/>
      <c r="M181" s="680"/>
      <c r="N181" s="681"/>
      <c r="O181" s="674"/>
      <c r="P181" s="680"/>
      <c r="Q181" s="681"/>
      <c r="R181" s="674"/>
      <c r="S181" s="680"/>
      <c r="T181" s="681"/>
      <c r="U181" s="674"/>
      <c r="V181" s="680"/>
      <c r="W181" s="681"/>
      <c r="X181" s="674"/>
      <c r="Y181" s="680"/>
      <c r="Z181" s="681"/>
      <c r="AA181" s="674"/>
      <c r="AB181" s="680"/>
      <c r="AC181" s="681"/>
      <c r="AD181" s="674"/>
      <c r="AE181" s="680"/>
      <c r="AF181" s="681"/>
      <c r="AG181" s="674"/>
      <c r="AH181" s="680"/>
      <c r="AI181" s="681"/>
      <c r="AJ181" s="674"/>
      <c r="AK181" s="680"/>
      <c r="AL181" s="681"/>
    </row>
    <row r="182" spans="1:38" x14ac:dyDescent="0.55000000000000004">
      <c r="A182" s="670">
        <v>43644</v>
      </c>
      <c r="B182" s="692">
        <v>19179</v>
      </c>
      <c r="C182" s="672">
        <v>19036165</v>
      </c>
      <c r="D182" s="673" t="s">
        <v>1970</v>
      </c>
      <c r="E182" s="725"/>
      <c r="F182" s="674">
        <v>1</v>
      </c>
      <c r="G182" s="675" t="s">
        <v>720</v>
      </c>
      <c r="H182" s="676" t="s">
        <v>1571</v>
      </c>
      <c r="I182" s="674">
        <v>2</v>
      </c>
      <c r="J182" s="675" t="s">
        <v>1634</v>
      </c>
      <c r="K182" s="677" t="s">
        <v>1575</v>
      </c>
      <c r="L182" s="674">
        <v>3</v>
      </c>
      <c r="M182" s="678" t="s">
        <v>1503</v>
      </c>
      <c r="N182" s="677" t="s">
        <v>1801</v>
      </c>
      <c r="O182" s="674"/>
      <c r="P182" s="680"/>
      <c r="Q182" s="681"/>
      <c r="R182" s="674"/>
      <c r="S182" s="680"/>
      <c r="T182" s="681"/>
      <c r="U182" s="674"/>
      <c r="V182" s="680"/>
      <c r="W182" s="681"/>
      <c r="X182" s="674"/>
      <c r="Y182" s="680"/>
      <c r="Z182" s="681"/>
      <c r="AA182" s="674"/>
      <c r="AB182" s="680"/>
      <c r="AC182" s="681"/>
      <c r="AD182" s="674"/>
      <c r="AE182" s="680"/>
      <c r="AF182" s="681"/>
      <c r="AG182" s="674"/>
      <c r="AH182" s="680"/>
      <c r="AI182" s="681"/>
      <c r="AJ182" s="674"/>
      <c r="AK182" s="680"/>
      <c r="AL182" s="681"/>
    </row>
    <row r="183" spans="1:38" x14ac:dyDescent="0.55000000000000004">
      <c r="A183" s="682"/>
      <c r="B183" s="682">
        <v>19180</v>
      </c>
      <c r="C183" s="684"/>
      <c r="D183" s="685"/>
      <c r="E183" s="695"/>
      <c r="F183" s="674">
        <v>1</v>
      </c>
      <c r="G183" s="675" t="s">
        <v>883</v>
      </c>
      <c r="H183" s="676" t="s">
        <v>1571</v>
      </c>
      <c r="I183" s="674">
        <v>2</v>
      </c>
      <c r="J183" s="675" t="s">
        <v>600</v>
      </c>
      <c r="K183" s="677" t="s">
        <v>1571</v>
      </c>
      <c r="L183" s="674">
        <v>3</v>
      </c>
      <c r="M183" s="678" t="s">
        <v>650</v>
      </c>
      <c r="N183" s="677" t="s">
        <v>1584</v>
      </c>
      <c r="O183" s="674">
        <v>4</v>
      </c>
      <c r="P183" s="678" t="s">
        <v>1634</v>
      </c>
      <c r="Q183" s="677" t="s">
        <v>1583</v>
      </c>
      <c r="R183" s="674">
        <v>5</v>
      </c>
      <c r="S183" s="678" t="s">
        <v>1507</v>
      </c>
      <c r="T183" s="677" t="s">
        <v>1583</v>
      </c>
      <c r="U183" s="674">
        <v>6</v>
      </c>
      <c r="V183" s="678" t="s">
        <v>1498</v>
      </c>
      <c r="W183" s="677" t="s">
        <v>2450</v>
      </c>
      <c r="X183" s="674"/>
      <c r="Y183" s="680"/>
      <c r="Z183" s="681"/>
      <c r="AA183" s="674"/>
      <c r="AB183" s="680"/>
      <c r="AC183" s="681"/>
      <c r="AD183" s="674"/>
      <c r="AE183" s="680"/>
      <c r="AF183" s="681"/>
      <c r="AG183" s="674"/>
      <c r="AH183" s="680"/>
      <c r="AI183" s="681"/>
      <c r="AJ183" s="674"/>
      <c r="AK183" s="680"/>
      <c r="AL183" s="681"/>
    </row>
    <row r="184" spans="1:38" x14ac:dyDescent="0.55000000000000004">
      <c r="A184" s="670">
        <v>43647</v>
      </c>
      <c r="B184" s="692">
        <v>19181</v>
      </c>
      <c r="C184" s="672">
        <v>19056221</v>
      </c>
      <c r="D184" s="673" t="s">
        <v>2146</v>
      </c>
      <c r="E184" s="725"/>
      <c r="F184" s="674">
        <v>1</v>
      </c>
      <c r="G184" s="675" t="s">
        <v>593</v>
      </c>
      <c r="H184" s="676" t="s">
        <v>1579</v>
      </c>
      <c r="I184" s="674">
        <v>2</v>
      </c>
      <c r="J184" s="675" t="s">
        <v>1506</v>
      </c>
      <c r="K184" s="677" t="s">
        <v>1583</v>
      </c>
      <c r="L184" s="674">
        <v>3</v>
      </c>
      <c r="M184" s="678" t="s">
        <v>1507</v>
      </c>
      <c r="N184" s="677" t="s">
        <v>1583</v>
      </c>
      <c r="O184" s="674">
        <v>4</v>
      </c>
      <c r="P184" s="678" t="s">
        <v>1508</v>
      </c>
      <c r="Q184" s="677" t="s">
        <v>1594</v>
      </c>
      <c r="R184" s="674"/>
      <c r="S184" s="680"/>
      <c r="T184" s="681"/>
      <c r="U184" s="674"/>
      <c r="V184" s="680"/>
      <c r="W184" s="681"/>
      <c r="X184" s="674"/>
      <c r="Y184" s="680"/>
      <c r="Z184" s="681"/>
      <c r="AA184" s="674"/>
      <c r="AB184" s="680"/>
      <c r="AC184" s="681"/>
      <c r="AD184" s="674"/>
      <c r="AE184" s="680"/>
      <c r="AF184" s="681"/>
      <c r="AG184" s="674"/>
      <c r="AH184" s="680"/>
      <c r="AI184" s="681"/>
      <c r="AJ184" s="674"/>
      <c r="AK184" s="680"/>
      <c r="AL184" s="681"/>
    </row>
    <row r="185" spans="1:38" x14ac:dyDescent="0.55000000000000004">
      <c r="A185" s="682"/>
      <c r="B185" s="682">
        <v>19182</v>
      </c>
      <c r="C185" s="684"/>
      <c r="D185" s="685"/>
      <c r="E185" s="695"/>
      <c r="F185" s="674">
        <v>1</v>
      </c>
      <c r="G185" s="675" t="s">
        <v>593</v>
      </c>
      <c r="H185" s="676" t="s">
        <v>1579</v>
      </c>
      <c r="I185" s="674">
        <v>2</v>
      </c>
      <c r="J185" s="675" t="s">
        <v>1506</v>
      </c>
      <c r="K185" s="677" t="s">
        <v>1583</v>
      </c>
      <c r="L185" s="674">
        <v>3</v>
      </c>
      <c r="M185" s="678" t="s">
        <v>1507</v>
      </c>
      <c r="N185" s="677" t="s">
        <v>1583</v>
      </c>
      <c r="O185" s="674">
        <v>4</v>
      </c>
      <c r="P185" s="678" t="s">
        <v>1508</v>
      </c>
      <c r="Q185" s="677" t="s">
        <v>1594</v>
      </c>
      <c r="R185" s="674"/>
      <c r="S185" s="680"/>
      <c r="T185" s="681"/>
      <c r="U185" s="674"/>
      <c r="V185" s="680"/>
      <c r="W185" s="681"/>
      <c r="X185" s="674"/>
      <c r="Y185" s="680"/>
      <c r="Z185" s="681"/>
      <c r="AA185" s="674"/>
      <c r="AB185" s="680"/>
      <c r="AC185" s="681"/>
      <c r="AD185" s="674"/>
      <c r="AE185" s="680"/>
      <c r="AF185" s="681"/>
      <c r="AG185" s="674"/>
      <c r="AH185" s="680"/>
      <c r="AI185" s="681"/>
      <c r="AJ185" s="674"/>
      <c r="AK185" s="680"/>
      <c r="AL185" s="681"/>
    </row>
    <row r="186" spans="1:38" x14ac:dyDescent="0.55000000000000004">
      <c r="A186" s="686">
        <v>43649</v>
      </c>
      <c r="B186" s="682">
        <v>19183</v>
      </c>
      <c r="C186" s="675">
        <v>19036173</v>
      </c>
      <c r="D186" s="689" t="s">
        <v>1331</v>
      </c>
      <c r="E186" s="691"/>
      <c r="F186" s="674">
        <v>1</v>
      </c>
      <c r="G186" s="675" t="s">
        <v>2337</v>
      </c>
      <c r="H186" s="676" t="s">
        <v>1571</v>
      </c>
      <c r="I186" s="674">
        <v>2</v>
      </c>
      <c r="J186" s="675" t="s">
        <v>1511</v>
      </c>
      <c r="K186" s="677" t="s">
        <v>1574</v>
      </c>
      <c r="L186" s="674">
        <v>3</v>
      </c>
      <c r="M186" s="678" t="s">
        <v>1502</v>
      </c>
      <c r="N186" s="677" t="s">
        <v>1575</v>
      </c>
      <c r="O186" s="674">
        <v>4</v>
      </c>
      <c r="P186" s="678" t="s">
        <v>1498</v>
      </c>
      <c r="Q186" s="677" t="s">
        <v>2454</v>
      </c>
      <c r="R186" s="674">
        <v>5</v>
      </c>
      <c r="S186" s="678" t="s">
        <v>1503</v>
      </c>
      <c r="T186" s="677" t="s">
        <v>1584</v>
      </c>
      <c r="U186" s="674"/>
      <c r="V186" s="680"/>
      <c r="W186" s="681"/>
      <c r="X186" s="674"/>
      <c r="Y186" s="680"/>
      <c r="Z186" s="681"/>
      <c r="AA186" s="674"/>
      <c r="AB186" s="680"/>
      <c r="AC186" s="681"/>
      <c r="AD186" s="674"/>
      <c r="AE186" s="680"/>
      <c r="AF186" s="681"/>
      <c r="AG186" s="674"/>
      <c r="AH186" s="680"/>
      <c r="AI186" s="681"/>
      <c r="AJ186" s="674"/>
      <c r="AK186" s="680"/>
      <c r="AL186" s="681"/>
    </row>
    <row r="187" spans="1:38" x14ac:dyDescent="0.55000000000000004">
      <c r="A187" s="686">
        <v>43649</v>
      </c>
      <c r="B187" s="682">
        <v>19184</v>
      </c>
      <c r="C187" s="675">
        <v>19076268</v>
      </c>
      <c r="D187" s="689" t="s">
        <v>2402</v>
      </c>
      <c r="E187" s="691"/>
      <c r="F187" s="674">
        <v>1</v>
      </c>
      <c r="G187" s="675" t="s">
        <v>833</v>
      </c>
      <c r="H187" s="676" t="s">
        <v>1579</v>
      </c>
      <c r="I187" s="674">
        <v>2</v>
      </c>
      <c r="J187" s="675" t="s">
        <v>1634</v>
      </c>
      <c r="K187" s="677" t="s">
        <v>1583</v>
      </c>
      <c r="L187" s="674">
        <v>3</v>
      </c>
      <c r="M187" s="678" t="s">
        <v>1502</v>
      </c>
      <c r="N187" s="677" t="s">
        <v>1583</v>
      </c>
      <c r="O187" s="674">
        <v>4</v>
      </c>
      <c r="P187" s="678" t="s">
        <v>1498</v>
      </c>
      <c r="Q187" s="677" t="s">
        <v>1637</v>
      </c>
      <c r="R187" s="674"/>
      <c r="S187" s="680"/>
      <c r="T187" s="681"/>
      <c r="U187" s="674"/>
      <c r="V187" s="680"/>
      <c r="W187" s="681"/>
      <c r="X187" s="674"/>
      <c r="Y187" s="680"/>
      <c r="Z187" s="681"/>
      <c r="AA187" s="674"/>
      <c r="AB187" s="680"/>
      <c r="AC187" s="681"/>
      <c r="AD187" s="674"/>
      <c r="AE187" s="680"/>
      <c r="AF187" s="681"/>
      <c r="AG187" s="674"/>
      <c r="AH187" s="680"/>
      <c r="AI187" s="681"/>
      <c r="AJ187" s="674"/>
      <c r="AK187" s="680"/>
      <c r="AL187" s="681"/>
    </row>
    <row r="188" spans="1:38" x14ac:dyDescent="0.55000000000000004">
      <c r="A188" s="686">
        <v>43649</v>
      </c>
      <c r="B188" s="682">
        <v>19185</v>
      </c>
      <c r="C188" s="675">
        <v>19056217</v>
      </c>
      <c r="D188" s="689" t="s">
        <v>1490</v>
      </c>
      <c r="E188" s="691"/>
      <c r="F188" s="674">
        <v>1</v>
      </c>
      <c r="G188" s="675" t="s">
        <v>2455</v>
      </c>
      <c r="H188" s="676" t="s">
        <v>1571</v>
      </c>
      <c r="I188" s="674">
        <v>2</v>
      </c>
      <c r="J188" s="675" t="s">
        <v>2087</v>
      </c>
      <c r="K188" s="677" t="s">
        <v>1579</v>
      </c>
      <c r="L188" s="674">
        <v>3</v>
      </c>
      <c r="M188" s="678" t="s">
        <v>1511</v>
      </c>
      <c r="N188" s="677" t="s">
        <v>1578</v>
      </c>
      <c r="O188" s="674">
        <v>4</v>
      </c>
      <c r="P188" s="678" t="s">
        <v>1507</v>
      </c>
      <c r="Q188" s="677" t="s">
        <v>1583</v>
      </c>
      <c r="R188" s="674">
        <v>5</v>
      </c>
      <c r="S188" s="678" t="s">
        <v>1498</v>
      </c>
      <c r="T188" s="677" t="s">
        <v>2338</v>
      </c>
      <c r="U188" s="674">
        <v>6</v>
      </c>
      <c r="V188" s="678" t="s">
        <v>1503</v>
      </c>
      <c r="W188" s="677" t="s">
        <v>1801</v>
      </c>
      <c r="X188" s="674"/>
      <c r="Y188" s="680"/>
      <c r="Z188" s="681"/>
      <c r="AA188" s="674"/>
      <c r="AB188" s="680"/>
      <c r="AC188" s="681"/>
      <c r="AD188" s="674"/>
      <c r="AE188" s="680"/>
      <c r="AF188" s="681"/>
      <c r="AG188" s="674"/>
      <c r="AH188" s="680"/>
      <c r="AI188" s="681"/>
      <c r="AJ188" s="674"/>
      <c r="AK188" s="680"/>
      <c r="AL188" s="681"/>
    </row>
    <row r="189" spans="1:38" x14ac:dyDescent="0.55000000000000004">
      <c r="A189" s="686">
        <v>43650</v>
      </c>
      <c r="B189" s="682">
        <v>19186</v>
      </c>
      <c r="C189" s="675">
        <v>19076267</v>
      </c>
      <c r="D189" s="689" t="s">
        <v>1493</v>
      </c>
      <c r="E189" s="691"/>
      <c r="F189" s="674">
        <v>1</v>
      </c>
      <c r="G189" s="675" t="s">
        <v>1249</v>
      </c>
      <c r="H189" s="676" t="s">
        <v>1571</v>
      </c>
      <c r="I189" s="674">
        <v>2</v>
      </c>
      <c r="J189" s="675" t="s">
        <v>1225</v>
      </c>
      <c r="K189" s="677" t="s">
        <v>1571</v>
      </c>
      <c r="L189" s="674">
        <v>3</v>
      </c>
      <c r="M189" s="678" t="s">
        <v>1506</v>
      </c>
      <c r="N189" s="677" t="s">
        <v>1578</v>
      </c>
      <c r="O189" s="674">
        <v>4</v>
      </c>
      <c r="P189" s="678" t="s">
        <v>1507</v>
      </c>
      <c r="Q189" s="677" t="s">
        <v>1575</v>
      </c>
      <c r="R189" s="674">
        <v>5</v>
      </c>
      <c r="S189" s="678" t="s">
        <v>1502</v>
      </c>
      <c r="T189" s="677" t="s">
        <v>1575</v>
      </c>
      <c r="U189" s="674">
        <v>6</v>
      </c>
      <c r="V189" s="678" t="s">
        <v>1498</v>
      </c>
      <c r="W189" s="677" t="s">
        <v>1637</v>
      </c>
      <c r="X189" s="674"/>
      <c r="Y189" s="680"/>
      <c r="Z189" s="681"/>
      <c r="AA189" s="674"/>
      <c r="AB189" s="680"/>
      <c r="AC189" s="681"/>
      <c r="AD189" s="674"/>
      <c r="AE189" s="680"/>
      <c r="AF189" s="681"/>
      <c r="AG189" s="674"/>
      <c r="AH189" s="680"/>
      <c r="AI189" s="681"/>
      <c r="AJ189" s="674"/>
      <c r="AK189" s="680"/>
      <c r="AL189" s="681"/>
    </row>
    <row r="190" spans="1:38" x14ac:dyDescent="0.55000000000000004">
      <c r="A190" s="670">
        <v>43651</v>
      </c>
      <c r="B190" s="692">
        <v>19187</v>
      </c>
      <c r="C190" s="672">
        <v>18106016</v>
      </c>
      <c r="D190" s="673" t="s">
        <v>1626</v>
      </c>
      <c r="E190" s="694"/>
      <c r="F190" s="674">
        <v>1</v>
      </c>
      <c r="G190" s="675" t="s">
        <v>784</v>
      </c>
      <c r="H190" s="676" t="s">
        <v>1797</v>
      </c>
      <c r="I190" s="674">
        <v>2</v>
      </c>
      <c r="J190" s="675" t="s">
        <v>1634</v>
      </c>
      <c r="K190" s="677" t="s">
        <v>1633</v>
      </c>
      <c r="L190" s="674">
        <v>3</v>
      </c>
      <c r="M190" s="678" t="s">
        <v>1507</v>
      </c>
      <c r="N190" s="677" t="s">
        <v>1633</v>
      </c>
      <c r="O190" s="674">
        <v>4</v>
      </c>
      <c r="P190" s="678" t="s">
        <v>1498</v>
      </c>
      <c r="Q190" s="677" t="s">
        <v>2456</v>
      </c>
      <c r="R190" s="674"/>
      <c r="S190" s="680"/>
      <c r="T190" s="681"/>
      <c r="U190" s="674"/>
      <c r="V190" s="680"/>
      <c r="W190" s="681"/>
      <c r="X190" s="674"/>
      <c r="Y190" s="680"/>
      <c r="Z190" s="681"/>
      <c r="AA190" s="674"/>
      <c r="AB190" s="680"/>
      <c r="AC190" s="681"/>
      <c r="AD190" s="674"/>
      <c r="AE190" s="680"/>
      <c r="AF190" s="681"/>
      <c r="AG190" s="674"/>
      <c r="AH190" s="680"/>
      <c r="AI190" s="681"/>
      <c r="AJ190" s="674"/>
      <c r="AK190" s="680"/>
      <c r="AL190" s="681"/>
    </row>
    <row r="191" spans="1:38" x14ac:dyDescent="0.55000000000000004">
      <c r="A191" s="698"/>
      <c r="B191" s="699">
        <v>19188</v>
      </c>
      <c r="C191" s="700"/>
      <c r="D191" s="704"/>
      <c r="E191" s="726"/>
      <c r="F191" s="674">
        <v>1</v>
      </c>
      <c r="G191" s="675" t="s">
        <v>784</v>
      </c>
      <c r="H191" s="676" t="s">
        <v>1797</v>
      </c>
      <c r="I191" s="674">
        <v>2</v>
      </c>
      <c r="J191" s="675" t="s">
        <v>1634</v>
      </c>
      <c r="K191" s="677" t="s">
        <v>1633</v>
      </c>
      <c r="L191" s="674">
        <v>3</v>
      </c>
      <c r="M191" s="678" t="s">
        <v>1507</v>
      </c>
      <c r="N191" s="677" t="s">
        <v>1633</v>
      </c>
      <c r="O191" s="674">
        <v>4</v>
      </c>
      <c r="P191" s="678" t="s">
        <v>1498</v>
      </c>
      <c r="Q191" s="677" t="s">
        <v>2456</v>
      </c>
      <c r="R191" s="674"/>
      <c r="S191" s="680"/>
      <c r="T191" s="681"/>
      <c r="U191" s="674"/>
      <c r="V191" s="680"/>
      <c r="W191" s="681"/>
      <c r="X191" s="674"/>
      <c r="Y191" s="680"/>
      <c r="Z191" s="681"/>
      <c r="AA191" s="674"/>
      <c r="AB191" s="680"/>
      <c r="AC191" s="681"/>
      <c r="AD191" s="674"/>
      <c r="AE191" s="680"/>
      <c r="AF191" s="681"/>
      <c r="AG191" s="674"/>
      <c r="AH191" s="680"/>
      <c r="AI191" s="681"/>
      <c r="AJ191" s="674"/>
      <c r="AK191" s="680"/>
      <c r="AL191" s="681"/>
    </row>
    <row r="192" spans="1:38" x14ac:dyDescent="0.55000000000000004">
      <c r="A192" s="682"/>
      <c r="B192" s="682">
        <v>19189</v>
      </c>
      <c r="C192" s="684"/>
      <c r="D192" s="705"/>
      <c r="E192" s="695"/>
      <c r="F192" s="674">
        <v>1</v>
      </c>
      <c r="G192" s="675" t="s">
        <v>784</v>
      </c>
      <c r="H192" s="676" t="s">
        <v>1797</v>
      </c>
      <c r="I192" s="674">
        <v>2</v>
      </c>
      <c r="J192" s="675" t="s">
        <v>1634</v>
      </c>
      <c r="K192" s="677" t="s">
        <v>1633</v>
      </c>
      <c r="L192" s="674">
        <v>3</v>
      </c>
      <c r="M192" s="678" t="s">
        <v>1507</v>
      </c>
      <c r="N192" s="677" t="s">
        <v>1633</v>
      </c>
      <c r="O192" s="674">
        <v>4</v>
      </c>
      <c r="P192" s="678" t="s">
        <v>1498</v>
      </c>
      <c r="Q192" s="677" t="s">
        <v>2456</v>
      </c>
      <c r="R192" s="674"/>
      <c r="S192" s="680"/>
      <c r="T192" s="681"/>
      <c r="U192" s="674"/>
      <c r="V192" s="680"/>
      <c r="W192" s="681"/>
      <c r="X192" s="674"/>
      <c r="Y192" s="680"/>
      <c r="Z192" s="681"/>
      <c r="AA192" s="674"/>
      <c r="AB192" s="680"/>
      <c r="AC192" s="681"/>
      <c r="AD192" s="674"/>
      <c r="AE192" s="680"/>
      <c r="AF192" s="681"/>
      <c r="AG192" s="674"/>
      <c r="AH192" s="680"/>
      <c r="AI192" s="681"/>
      <c r="AJ192" s="674"/>
      <c r="AK192" s="680"/>
      <c r="AL192" s="681"/>
    </row>
    <row r="193" spans="1:38" x14ac:dyDescent="0.55000000000000004">
      <c r="A193" s="686">
        <v>43654</v>
      </c>
      <c r="B193" s="682">
        <v>19190</v>
      </c>
      <c r="C193" s="675">
        <v>19066243</v>
      </c>
      <c r="D193" s="689" t="s">
        <v>2403</v>
      </c>
      <c r="E193" s="691"/>
      <c r="F193" s="674">
        <v>1</v>
      </c>
      <c r="G193" s="675" t="s">
        <v>2257</v>
      </c>
      <c r="H193" s="676" t="s">
        <v>1571</v>
      </c>
      <c r="I193" s="674">
        <v>2</v>
      </c>
      <c r="J193" s="675" t="s">
        <v>1511</v>
      </c>
      <c r="K193" s="677" t="s">
        <v>1583</v>
      </c>
      <c r="L193" s="674">
        <v>3</v>
      </c>
      <c r="M193" s="678" t="s">
        <v>1502</v>
      </c>
      <c r="N193" s="677" t="s">
        <v>1575</v>
      </c>
      <c r="O193" s="674">
        <v>4</v>
      </c>
      <c r="P193" s="678" t="s">
        <v>1503</v>
      </c>
      <c r="Q193" s="677" t="s">
        <v>1801</v>
      </c>
      <c r="R193" s="674"/>
      <c r="S193" s="680"/>
      <c r="T193" s="681"/>
      <c r="U193" s="674"/>
      <c r="V193" s="680"/>
      <c r="W193" s="681"/>
      <c r="X193" s="674"/>
      <c r="Y193" s="680"/>
      <c r="Z193" s="681"/>
      <c r="AA193" s="674"/>
      <c r="AB193" s="680"/>
      <c r="AC193" s="681"/>
      <c r="AD193" s="674"/>
      <c r="AE193" s="680"/>
      <c r="AF193" s="681"/>
      <c r="AG193" s="674"/>
      <c r="AH193" s="680"/>
      <c r="AI193" s="681"/>
      <c r="AJ193" s="674"/>
      <c r="AK193" s="680"/>
      <c r="AL193" s="681"/>
    </row>
    <row r="194" spans="1:38" x14ac:dyDescent="0.55000000000000004">
      <c r="A194" s="686">
        <v>43654</v>
      </c>
      <c r="B194" s="682">
        <v>19191</v>
      </c>
      <c r="C194" s="675">
        <v>19066257</v>
      </c>
      <c r="D194" s="689" t="s">
        <v>2404</v>
      </c>
      <c r="E194" s="691"/>
      <c r="F194" s="674">
        <v>1</v>
      </c>
      <c r="G194" s="675" t="s">
        <v>653</v>
      </c>
      <c r="H194" s="676" t="s">
        <v>1797</v>
      </c>
      <c r="I194" s="674"/>
      <c r="J194" s="690"/>
      <c r="K194" s="681"/>
      <c r="L194" s="674"/>
      <c r="M194" s="680"/>
      <c r="N194" s="681"/>
      <c r="O194" s="674"/>
      <c r="P194" s="680"/>
      <c r="Q194" s="681"/>
      <c r="R194" s="674"/>
      <c r="S194" s="680"/>
      <c r="T194" s="681"/>
      <c r="U194" s="674"/>
      <c r="V194" s="680"/>
      <c r="W194" s="681"/>
      <c r="X194" s="674"/>
      <c r="Y194" s="680"/>
      <c r="Z194" s="681"/>
      <c r="AA194" s="674"/>
      <c r="AB194" s="680"/>
      <c r="AC194" s="681"/>
      <c r="AD194" s="674"/>
      <c r="AE194" s="680"/>
      <c r="AF194" s="681"/>
      <c r="AG194" s="674"/>
      <c r="AH194" s="680"/>
      <c r="AI194" s="681"/>
      <c r="AJ194" s="674"/>
      <c r="AK194" s="680"/>
      <c r="AL194" s="681"/>
    </row>
    <row r="195" spans="1:38" x14ac:dyDescent="0.55000000000000004">
      <c r="A195" s="686">
        <v>43655</v>
      </c>
      <c r="B195" s="682">
        <v>19192</v>
      </c>
      <c r="C195" s="675">
        <v>19056224</v>
      </c>
      <c r="D195" s="689" t="s">
        <v>1924</v>
      </c>
      <c r="E195" s="691"/>
      <c r="F195" s="674">
        <v>1</v>
      </c>
      <c r="G195" s="675" t="s">
        <v>2457</v>
      </c>
      <c r="H195" s="676" t="s">
        <v>1787</v>
      </c>
      <c r="I195" s="674"/>
      <c r="J195" s="690"/>
      <c r="K195" s="681"/>
      <c r="L195" s="674"/>
      <c r="M195" s="680"/>
      <c r="N195" s="681"/>
      <c r="O195" s="674"/>
      <c r="P195" s="680"/>
      <c r="Q195" s="681"/>
      <c r="R195" s="674"/>
      <c r="S195" s="680"/>
      <c r="T195" s="681"/>
      <c r="U195" s="674"/>
      <c r="V195" s="680"/>
      <c r="W195" s="681"/>
      <c r="X195" s="674"/>
      <c r="Y195" s="680"/>
      <c r="Z195" s="681"/>
      <c r="AA195" s="674"/>
      <c r="AB195" s="680"/>
      <c r="AC195" s="681"/>
      <c r="AD195" s="674"/>
      <c r="AE195" s="680"/>
      <c r="AF195" s="681"/>
      <c r="AG195" s="674"/>
      <c r="AH195" s="680"/>
      <c r="AI195" s="681"/>
      <c r="AJ195" s="674"/>
      <c r="AK195" s="680"/>
      <c r="AL195" s="681"/>
    </row>
    <row r="196" spans="1:38" x14ac:dyDescent="0.55000000000000004">
      <c r="A196" s="686">
        <v>43656</v>
      </c>
      <c r="B196" s="682">
        <v>19193</v>
      </c>
      <c r="C196" s="675">
        <v>19066253</v>
      </c>
      <c r="D196" s="689" t="s">
        <v>2405</v>
      </c>
      <c r="E196" s="691"/>
      <c r="F196" s="674">
        <v>1</v>
      </c>
      <c r="G196" s="675" t="s">
        <v>2277</v>
      </c>
      <c r="H196" s="676" t="s">
        <v>1571</v>
      </c>
      <c r="I196" s="674">
        <v>2</v>
      </c>
      <c r="J196" s="675" t="s">
        <v>1634</v>
      </c>
      <c r="K196" s="677" t="s">
        <v>1574</v>
      </c>
      <c r="L196" s="674">
        <v>3</v>
      </c>
      <c r="M196" s="678" t="s">
        <v>1631</v>
      </c>
      <c r="N196" s="677" t="s">
        <v>1574</v>
      </c>
      <c r="O196" s="674">
        <v>4</v>
      </c>
      <c r="P196" s="678" t="s">
        <v>2458</v>
      </c>
      <c r="Q196" s="677" t="s">
        <v>1575</v>
      </c>
      <c r="R196" s="674">
        <v>5</v>
      </c>
      <c r="S196" s="678" t="s">
        <v>2459</v>
      </c>
      <c r="T196" s="677" t="s">
        <v>1586</v>
      </c>
      <c r="U196" s="674">
        <v>6</v>
      </c>
      <c r="V196" s="678" t="s">
        <v>2328</v>
      </c>
      <c r="W196" s="677" t="s">
        <v>1798</v>
      </c>
      <c r="X196" s="674">
        <v>7</v>
      </c>
      <c r="Y196" s="678" t="s">
        <v>1513</v>
      </c>
      <c r="Z196" s="677" t="s">
        <v>1575</v>
      </c>
      <c r="AA196" s="674">
        <v>8</v>
      </c>
      <c r="AB196" s="678" t="s">
        <v>1514</v>
      </c>
      <c r="AC196" s="677" t="s">
        <v>1587</v>
      </c>
      <c r="AD196" s="674">
        <v>9</v>
      </c>
      <c r="AE196" s="678" t="s">
        <v>2460</v>
      </c>
      <c r="AF196" s="677" t="s">
        <v>1583</v>
      </c>
      <c r="AG196" s="674">
        <v>10</v>
      </c>
      <c r="AH196" s="678" t="s">
        <v>1515</v>
      </c>
      <c r="AI196" s="677" t="s">
        <v>1586</v>
      </c>
      <c r="AJ196" s="674">
        <v>11</v>
      </c>
      <c r="AK196" s="678" t="s">
        <v>1503</v>
      </c>
      <c r="AL196" s="677" t="s">
        <v>1801</v>
      </c>
    </row>
    <row r="197" spans="1:38" x14ac:dyDescent="0.55000000000000004">
      <c r="A197" s="686">
        <v>43656</v>
      </c>
      <c r="B197" s="682">
        <v>19194</v>
      </c>
      <c r="C197" s="675">
        <v>19026138</v>
      </c>
      <c r="D197" s="689" t="s">
        <v>1490</v>
      </c>
      <c r="E197" s="691"/>
      <c r="F197" s="674">
        <v>1</v>
      </c>
      <c r="G197" s="675" t="s">
        <v>1703</v>
      </c>
      <c r="H197" s="676" t="s">
        <v>1581</v>
      </c>
      <c r="I197" s="674">
        <v>2</v>
      </c>
      <c r="J197" s="675" t="s">
        <v>1511</v>
      </c>
      <c r="K197" s="677" t="s">
        <v>1583</v>
      </c>
      <c r="L197" s="674"/>
      <c r="M197" s="680"/>
      <c r="N197" s="681"/>
      <c r="O197" s="674"/>
      <c r="P197" s="680"/>
      <c r="Q197" s="681"/>
      <c r="R197" s="674"/>
      <c r="S197" s="680"/>
      <c r="T197" s="681"/>
      <c r="U197" s="674"/>
      <c r="V197" s="680"/>
      <c r="W197" s="681"/>
      <c r="X197" s="674"/>
      <c r="Y197" s="680"/>
      <c r="Z197" s="681"/>
      <c r="AA197" s="674"/>
      <c r="AB197" s="680"/>
      <c r="AC197" s="681"/>
      <c r="AD197" s="674"/>
      <c r="AE197" s="680"/>
      <c r="AF197" s="681"/>
      <c r="AG197" s="674"/>
      <c r="AH197" s="680"/>
      <c r="AI197" s="681"/>
      <c r="AJ197" s="674"/>
      <c r="AK197" s="680"/>
      <c r="AL197" s="681"/>
    </row>
    <row r="198" spans="1:38" x14ac:dyDescent="0.55000000000000004">
      <c r="A198" s="686">
        <v>43657</v>
      </c>
      <c r="B198" s="682">
        <v>19195</v>
      </c>
      <c r="C198" s="675">
        <v>19066262</v>
      </c>
      <c r="D198" s="689" t="s">
        <v>1926</v>
      </c>
      <c r="E198" s="691"/>
      <c r="F198" s="674">
        <v>1</v>
      </c>
      <c r="G198" s="675" t="s">
        <v>2019</v>
      </c>
      <c r="H198" s="676" t="s">
        <v>1571</v>
      </c>
      <c r="I198" s="674">
        <v>2</v>
      </c>
      <c r="J198" s="675" t="s">
        <v>1511</v>
      </c>
      <c r="K198" s="677" t="s">
        <v>1586</v>
      </c>
      <c r="L198" s="674"/>
      <c r="M198" s="680"/>
      <c r="N198" s="681"/>
      <c r="O198" s="674"/>
      <c r="P198" s="680"/>
      <c r="Q198" s="681"/>
      <c r="R198" s="674"/>
      <c r="S198" s="680"/>
      <c r="T198" s="681"/>
      <c r="U198" s="674"/>
      <c r="V198" s="680"/>
      <c r="W198" s="681"/>
      <c r="X198" s="674"/>
      <c r="Y198" s="680"/>
      <c r="Z198" s="681"/>
      <c r="AA198" s="674"/>
      <c r="AB198" s="680"/>
      <c r="AC198" s="681"/>
      <c r="AD198" s="674"/>
      <c r="AE198" s="680"/>
      <c r="AF198" s="681"/>
      <c r="AG198" s="674"/>
      <c r="AH198" s="680"/>
      <c r="AI198" s="681"/>
      <c r="AJ198" s="674"/>
      <c r="AK198" s="680"/>
      <c r="AL198" s="681"/>
    </row>
    <row r="199" spans="1:38" x14ac:dyDescent="0.55000000000000004">
      <c r="A199" s="686">
        <v>43657</v>
      </c>
      <c r="B199" s="682">
        <v>19196</v>
      </c>
      <c r="C199" s="675">
        <v>19066247</v>
      </c>
      <c r="D199" s="689" t="s">
        <v>1331</v>
      </c>
      <c r="E199" s="691"/>
      <c r="F199" s="674">
        <v>1</v>
      </c>
      <c r="G199" s="675" t="s">
        <v>2271</v>
      </c>
      <c r="H199" s="676" t="s">
        <v>1571</v>
      </c>
      <c r="I199" s="674">
        <v>2</v>
      </c>
      <c r="J199" s="675" t="s">
        <v>1511</v>
      </c>
      <c r="K199" s="677" t="s">
        <v>1574</v>
      </c>
      <c r="L199" s="674">
        <v>3</v>
      </c>
      <c r="M199" s="678" t="s">
        <v>1502</v>
      </c>
      <c r="N199" s="677" t="s">
        <v>1575</v>
      </c>
      <c r="O199" s="674">
        <v>4</v>
      </c>
      <c r="P199" s="678" t="s">
        <v>1498</v>
      </c>
      <c r="Q199" s="677" t="s">
        <v>2461</v>
      </c>
      <c r="R199" s="674">
        <v>5</v>
      </c>
      <c r="S199" s="678" t="s">
        <v>1503</v>
      </c>
      <c r="T199" s="677" t="s">
        <v>1585</v>
      </c>
      <c r="U199" s="674"/>
      <c r="V199" s="680"/>
      <c r="W199" s="681"/>
      <c r="X199" s="674"/>
      <c r="Y199" s="680"/>
      <c r="Z199" s="681"/>
      <c r="AA199" s="674"/>
      <c r="AB199" s="680"/>
      <c r="AC199" s="681"/>
      <c r="AD199" s="674"/>
      <c r="AE199" s="680"/>
      <c r="AF199" s="681"/>
      <c r="AG199" s="674"/>
      <c r="AH199" s="680"/>
      <c r="AI199" s="681"/>
      <c r="AJ199" s="674"/>
      <c r="AK199" s="680"/>
      <c r="AL199" s="681"/>
    </row>
    <row r="200" spans="1:38" x14ac:dyDescent="0.55000000000000004">
      <c r="A200" s="686">
        <v>43657</v>
      </c>
      <c r="B200" s="682">
        <v>19197</v>
      </c>
      <c r="C200" s="675">
        <v>19076279</v>
      </c>
      <c r="D200" s="689" t="s">
        <v>1349</v>
      </c>
      <c r="E200" s="691"/>
      <c r="F200" s="674">
        <v>1</v>
      </c>
      <c r="G200" s="675" t="s">
        <v>2462</v>
      </c>
      <c r="H200" s="676" t="s">
        <v>1790</v>
      </c>
      <c r="I200" s="674">
        <v>2</v>
      </c>
      <c r="J200" s="675" t="s">
        <v>2104</v>
      </c>
      <c r="K200" s="677" t="s">
        <v>1790</v>
      </c>
      <c r="L200" s="674">
        <v>3</v>
      </c>
      <c r="M200" s="678" t="s">
        <v>2463</v>
      </c>
      <c r="N200" s="677" t="s">
        <v>2464</v>
      </c>
      <c r="O200" s="674">
        <v>4</v>
      </c>
      <c r="P200" s="678" t="s">
        <v>2465</v>
      </c>
      <c r="Q200" s="677" t="s">
        <v>2464</v>
      </c>
      <c r="R200" s="674"/>
      <c r="S200" s="680"/>
      <c r="T200" s="681"/>
      <c r="U200" s="674"/>
      <c r="V200" s="680"/>
      <c r="W200" s="681"/>
      <c r="X200" s="674"/>
      <c r="Y200" s="680"/>
      <c r="Z200" s="681"/>
      <c r="AA200" s="674"/>
      <c r="AB200" s="680"/>
      <c r="AC200" s="681"/>
      <c r="AD200" s="674"/>
      <c r="AE200" s="680"/>
      <c r="AF200" s="681"/>
      <c r="AG200" s="674"/>
      <c r="AH200" s="680"/>
      <c r="AI200" s="681"/>
      <c r="AJ200" s="674"/>
      <c r="AK200" s="680"/>
      <c r="AL200" s="681"/>
    </row>
    <row r="201" spans="1:38" x14ac:dyDescent="0.55000000000000004">
      <c r="A201" s="686">
        <v>43661</v>
      </c>
      <c r="B201" s="682">
        <v>19198</v>
      </c>
      <c r="C201" s="675">
        <v>19066242</v>
      </c>
      <c r="D201" s="689" t="s">
        <v>2406</v>
      </c>
      <c r="E201" s="691"/>
      <c r="F201" s="674">
        <v>1</v>
      </c>
      <c r="G201" s="675" t="s">
        <v>2252</v>
      </c>
      <c r="H201" s="676" t="s">
        <v>1571</v>
      </c>
      <c r="I201" s="674">
        <v>2</v>
      </c>
      <c r="J201" s="675" t="s">
        <v>1634</v>
      </c>
      <c r="K201" s="677" t="s">
        <v>1574</v>
      </c>
      <c r="L201" s="674">
        <v>3</v>
      </c>
      <c r="M201" s="678" t="s">
        <v>1507</v>
      </c>
      <c r="N201" s="677" t="s">
        <v>1574</v>
      </c>
      <c r="O201" s="674">
        <v>4</v>
      </c>
      <c r="P201" s="678" t="s">
        <v>1498</v>
      </c>
      <c r="Q201" s="677" t="s">
        <v>2466</v>
      </c>
      <c r="R201" s="674">
        <v>5</v>
      </c>
      <c r="S201" s="678" t="s">
        <v>2467</v>
      </c>
      <c r="T201" s="677" t="s">
        <v>1586</v>
      </c>
      <c r="U201" s="674"/>
      <c r="V201" s="680"/>
      <c r="W201" s="681"/>
      <c r="X201" s="674"/>
      <c r="Y201" s="680"/>
      <c r="Z201" s="681"/>
      <c r="AA201" s="674"/>
      <c r="AB201" s="680"/>
      <c r="AC201" s="681"/>
      <c r="AD201" s="674"/>
      <c r="AE201" s="680"/>
      <c r="AF201" s="681"/>
      <c r="AG201" s="674"/>
      <c r="AH201" s="680"/>
      <c r="AI201" s="681"/>
      <c r="AJ201" s="674"/>
      <c r="AK201" s="680"/>
      <c r="AL201" s="681"/>
    </row>
    <row r="202" spans="1:38" x14ac:dyDescent="0.55000000000000004">
      <c r="A202" s="686">
        <v>43664</v>
      </c>
      <c r="B202" s="682">
        <v>19199</v>
      </c>
      <c r="C202" s="675">
        <v>19076283</v>
      </c>
      <c r="D202" s="689" t="s">
        <v>1490</v>
      </c>
      <c r="E202" s="691"/>
      <c r="F202" s="674">
        <v>1</v>
      </c>
      <c r="G202" s="675" t="s">
        <v>2468</v>
      </c>
      <c r="H202" s="676" t="s">
        <v>1579</v>
      </c>
      <c r="I202" s="674">
        <v>2</v>
      </c>
      <c r="J202" s="675" t="s">
        <v>1511</v>
      </c>
      <c r="K202" s="677" t="s">
        <v>1575</v>
      </c>
      <c r="L202" s="674">
        <v>3</v>
      </c>
      <c r="M202" s="678" t="s">
        <v>1507</v>
      </c>
      <c r="N202" s="677" t="s">
        <v>1583</v>
      </c>
      <c r="O202" s="674"/>
      <c r="P202" s="680"/>
      <c r="Q202" s="681"/>
      <c r="R202" s="674"/>
      <c r="S202" s="680"/>
      <c r="T202" s="681"/>
      <c r="U202" s="674"/>
      <c r="V202" s="680"/>
      <c r="W202" s="681"/>
      <c r="X202" s="674"/>
      <c r="Y202" s="680"/>
      <c r="Z202" s="681"/>
      <c r="AA202" s="674"/>
      <c r="AB202" s="680"/>
      <c r="AC202" s="681"/>
      <c r="AD202" s="674"/>
      <c r="AE202" s="680"/>
      <c r="AF202" s="681"/>
      <c r="AG202" s="674"/>
      <c r="AH202" s="680"/>
      <c r="AI202" s="681"/>
      <c r="AJ202" s="674"/>
      <c r="AK202" s="680"/>
      <c r="AL202" s="681"/>
    </row>
    <row r="203" spans="1:38" x14ac:dyDescent="0.55000000000000004">
      <c r="A203" s="670">
        <v>43664</v>
      </c>
      <c r="B203" s="692">
        <v>19200</v>
      </c>
      <c r="C203" s="672">
        <v>18106019</v>
      </c>
      <c r="D203" s="693" t="s">
        <v>1626</v>
      </c>
      <c r="E203" s="694"/>
      <c r="F203" s="674">
        <v>1</v>
      </c>
      <c r="G203" s="675" t="s">
        <v>2469</v>
      </c>
      <c r="H203" s="676" t="s">
        <v>1797</v>
      </c>
      <c r="I203" s="674">
        <v>2</v>
      </c>
      <c r="J203" s="675" t="s">
        <v>1634</v>
      </c>
      <c r="K203" s="677" t="s">
        <v>1633</v>
      </c>
      <c r="L203" s="674">
        <v>3</v>
      </c>
      <c r="M203" s="678" t="s">
        <v>1507</v>
      </c>
      <c r="N203" s="677" t="s">
        <v>1633</v>
      </c>
      <c r="O203" s="674">
        <v>4</v>
      </c>
      <c r="P203" s="678" t="s">
        <v>1498</v>
      </c>
      <c r="Q203" s="677" t="s">
        <v>2456</v>
      </c>
      <c r="R203" s="674"/>
      <c r="S203" s="680"/>
      <c r="T203" s="681"/>
      <c r="U203" s="674"/>
      <c r="V203" s="680"/>
      <c r="W203" s="681"/>
      <c r="X203" s="674"/>
      <c r="Y203" s="680"/>
      <c r="Z203" s="681"/>
      <c r="AA203" s="674"/>
      <c r="AB203" s="680"/>
      <c r="AC203" s="681"/>
      <c r="AD203" s="674"/>
      <c r="AE203" s="680"/>
      <c r="AF203" s="681"/>
      <c r="AG203" s="674"/>
      <c r="AH203" s="680"/>
      <c r="AI203" s="681"/>
      <c r="AJ203" s="674"/>
      <c r="AK203" s="680"/>
      <c r="AL203" s="681"/>
    </row>
    <row r="204" spans="1:38" x14ac:dyDescent="0.55000000000000004">
      <c r="A204" s="698"/>
      <c r="B204" s="703">
        <v>19201</v>
      </c>
      <c r="C204" s="700"/>
      <c r="D204" s="704"/>
      <c r="E204" s="726"/>
      <c r="F204" s="674">
        <v>1</v>
      </c>
      <c r="G204" s="675" t="s">
        <v>784</v>
      </c>
      <c r="H204" s="676" t="s">
        <v>1797</v>
      </c>
      <c r="I204" s="674">
        <v>2</v>
      </c>
      <c r="J204" s="675" t="s">
        <v>1634</v>
      </c>
      <c r="K204" s="677" t="s">
        <v>1633</v>
      </c>
      <c r="L204" s="674">
        <v>3</v>
      </c>
      <c r="M204" s="678" t="s">
        <v>1507</v>
      </c>
      <c r="N204" s="677" t="s">
        <v>1633</v>
      </c>
      <c r="O204" s="674">
        <v>4</v>
      </c>
      <c r="P204" s="678" t="s">
        <v>1498</v>
      </c>
      <c r="Q204" s="677" t="s">
        <v>2456</v>
      </c>
      <c r="R204" s="674"/>
      <c r="S204" s="680"/>
      <c r="T204" s="681"/>
      <c r="U204" s="674"/>
      <c r="V204" s="680"/>
      <c r="W204" s="681"/>
      <c r="X204" s="674"/>
      <c r="Y204" s="680"/>
      <c r="Z204" s="681"/>
      <c r="AA204" s="674"/>
      <c r="AB204" s="680"/>
      <c r="AC204" s="681"/>
      <c r="AD204" s="674"/>
      <c r="AE204" s="680"/>
      <c r="AF204" s="681"/>
      <c r="AG204" s="674"/>
      <c r="AH204" s="680"/>
      <c r="AI204" s="681"/>
      <c r="AJ204" s="674"/>
      <c r="AK204" s="680"/>
      <c r="AL204" s="681"/>
    </row>
    <row r="205" spans="1:38" x14ac:dyDescent="0.55000000000000004">
      <c r="A205" s="682"/>
      <c r="B205" s="682">
        <v>19202</v>
      </c>
      <c r="C205" s="684"/>
      <c r="D205" s="705"/>
      <c r="E205" s="708"/>
      <c r="F205" s="674">
        <v>1</v>
      </c>
      <c r="G205" s="675" t="s">
        <v>784</v>
      </c>
      <c r="H205" s="676" t="s">
        <v>1579</v>
      </c>
      <c r="I205" s="674">
        <v>2</v>
      </c>
      <c r="J205" s="675" t="s">
        <v>1634</v>
      </c>
      <c r="K205" s="677" t="s">
        <v>1583</v>
      </c>
      <c r="L205" s="674">
        <v>3</v>
      </c>
      <c r="M205" s="678" t="s">
        <v>1507</v>
      </c>
      <c r="N205" s="677" t="s">
        <v>1583</v>
      </c>
      <c r="O205" s="674">
        <v>4</v>
      </c>
      <c r="P205" s="678" t="s">
        <v>1498</v>
      </c>
      <c r="Q205" s="677" t="s">
        <v>1629</v>
      </c>
      <c r="R205" s="674"/>
      <c r="S205" s="680"/>
      <c r="T205" s="681"/>
      <c r="U205" s="674"/>
      <c r="V205" s="680"/>
      <c r="W205" s="681"/>
      <c r="X205" s="674"/>
      <c r="Y205" s="680"/>
      <c r="Z205" s="681"/>
      <c r="AA205" s="674"/>
      <c r="AB205" s="680"/>
      <c r="AC205" s="681"/>
      <c r="AD205" s="674"/>
      <c r="AE205" s="680"/>
      <c r="AF205" s="681"/>
      <c r="AG205" s="674"/>
      <c r="AH205" s="680"/>
      <c r="AI205" s="681"/>
      <c r="AJ205" s="674"/>
      <c r="AK205" s="680"/>
      <c r="AL205" s="681"/>
    </row>
    <row r="206" spans="1:38" x14ac:dyDescent="0.55000000000000004">
      <c r="A206" s="686">
        <v>43665</v>
      </c>
      <c r="B206" s="682">
        <v>19203</v>
      </c>
      <c r="C206" s="675">
        <v>18025723</v>
      </c>
      <c r="D206" s="689" t="s">
        <v>1737</v>
      </c>
      <c r="E206" s="691"/>
      <c r="F206" s="674">
        <v>1</v>
      </c>
      <c r="G206" s="675" t="s">
        <v>713</v>
      </c>
      <c r="H206" s="676" t="s">
        <v>1571</v>
      </c>
      <c r="I206" s="674">
        <v>2</v>
      </c>
      <c r="J206" s="675" t="s">
        <v>1503</v>
      </c>
      <c r="K206" s="677" t="s">
        <v>1584</v>
      </c>
      <c r="L206" s="674"/>
      <c r="M206" s="680"/>
      <c r="N206" s="681"/>
      <c r="O206" s="674"/>
      <c r="P206" s="680"/>
      <c r="Q206" s="681"/>
      <c r="R206" s="674"/>
      <c r="S206" s="680"/>
      <c r="T206" s="681"/>
      <c r="U206" s="674"/>
      <c r="V206" s="680"/>
      <c r="W206" s="681"/>
      <c r="X206" s="674"/>
      <c r="Y206" s="680"/>
      <c r="Z206" s="681"/>
      <c r="AA206" s="674"/>
      <c r="AB206" s="680"/>
      <c r="AC206" s="681"/>
      <c r="AD206" s="674"/>
      <c r="AE206" s="680"/>
      <c r="AF206" s="681"/>
      <c r="AG206" s="674"/>
      <c r="AH206" s="680"/>
      <c r="AI206" s="681"/>
      <c r="AJ206" s="674"/>
      <c r="AK206" s="680"/>
      <c r="AL206" s="681"/>
    </row>
    <row r="207" spans="1:38" x14ac:dyDescent="0.55000000000000004">
      <c r="A207" s="670">
        <v>43666</v>
      </c>
      <c r="B207" s="692">
        <v>19204</v>
      </c>
      <c r="C207" s="672">
        <v>19076273</v>
      </c>
      <c r="D207" s="673" t="s">
        <v>2266</v>
      </c>
      <c r="E207" s="725"/>
      <c r="F207" s="674">
        <v>1</v>
      </c>
      <c r="G207" s="675" t="s">
        <v>1151</v>
      </c>
      <c r="H207" s="676" t="s">
        <v>1797</v>
      </c>
      <c r="I207" s="674"/>
      <c r="J207" s="690"/>
      <c r="K207" s="681"/>
      <c r="L207" s="674"/>
      <c r="M207" s="680"/>
      <c r="N207" s="681"/>
      <c r="O207" s="674"/>
      <c r="P207" s="680"/>
      <c r="Q207" s="681"/>
      <c r="R207" s="674"/>
      <c r="S207" s="680"/>
      <c r="T207" s="681"/>
      <c r="U207" s="674"/>
      <c r="V207" s="680"/>
      <c r="W207" s="681"/>
      <c r="X207" s="674"/>
      <c r="Y207" s="680"/>
      <c r="Z207" s="681"/>
      <c r="AA207" s="674"/>
      <c r="AB207" s="680"/>
      <c r="AC207" s="681"/>
      <c r="AD207" s="674"/>
      <c r="AE207" s="680"/>
      <c r="AF207" s="681"/>
      <c r="AG207" s="674"/>
      <c r="AH207" s="680"/>
      <c r="AI207" s="681"/>
      <c r="AJ207" s="674"/>
      <c r="AK207" s="680"/>
      <c r="AL207" s="681"/>
    </row>
    <row r="208" spans="1:38" x14ac:dyDescent="0.55000000000000004">
      <c r="A208" s="682"/>
      <c r="B208" s="682">
        <v>19205</v>
      </c>
      <c r="C208" s="684"/>
      <c r="D208" s="685"/>
      <c r="E208" s="695"/>
      <c r="F208" s="674">
        <v>1</v>
      </c>
      <c r="G208" s="675" t="s">
        <v>1151</v>
      </c>
      <c r="H208" s="676" t="s">
        <v>1797</v>
      </c>
      <c r="I208" s="674"/>
      <c r="J208" s="690"/>
      <c r="K208" s="681"/>
      <c r="L208" s="674"/>
      <c r="M208" s="680"/>
      <c r="N208" s="681"/>
      <c r="O208" s="674"/>
      <c r="P208" s="680"/>
      <c r="Q208" s="681"/>
      <c r="R208" s="674"/>
      <c r="S208" s="680"/>
      <c r="T208" s="681"/>
      <c r="U208" s="674"/>
      <c r="V208" s="680"/>
      <c r="W208" s="681"/>
      <c r="X208" s="674"/>
      <c r="Y208" s="680"/>
      <c r="Z208" s="681"/>
      <c r="AA208" s="674"/>
      <c r="AB208" s="680"/>
      <c r="AC208" s="681"/>
      <c r="AD208" s="674"/>
      <c r="AE208" s="680"/>
      <c r="AF208" s="681"/>
      <c r="AG208" s="674"/>
      <c r="AH208" s="680"/>
      <c r="AI208" s="681"/>
      <c r="AJ208" s="674"/>
      <c r="AK208" s="680"/>
      <c r="AL208" s="681"/>
    </row>
    <row r="209" spans="1:38" x14ac:dyDescent="0.55000000000000004">
      <c r="A209" s="686">
        <v>43668</v>
      </c>
      <c r="B209" s="682">
        <v>19206</v>
      </c>
      <c r="C209" s="675">
        <v>19056215</v>
      </c>
      <c r="D209" s="689" t="s">
        <v>2441</v>
      </c>
      <c r="E209" s="691"/>
      <c r="F209" s="674">
        <v>1</v>
      </c>
      <c r="G209" s="675" t="s">
        <v>594</v>
      </c>
      <c r="H209" s="676" t="s">
        <v>1579</v>
      </c>
      <c r="I209" s="674">
        <v>2</v>
      </c>
      <c r="J209" s="675" t="s">
        <v>2025</v>
      </c>
      <c r="K209" s="677" t="s">
        <v>1571</v>
      </c>
      <c r="L209" s="674">
        <v>3</v>
      </c>
      <c r="M209" s="678" t="s">
        <v>2026</v>
      </c>
      <c r="N209" s="677" t="s">
        <v>1571</v>
      </c>
      <c r="O209" s="674">
        <v>4</v>
      </c>
      <c r="P209" s="678" t="s">
        <v>1506</v>
      </c>
      <c r="Q209" s="677" t="s">
        <v>1931</v>
      </c>
      <c r="R209" s="674">
        <v>5</v>
      </c>
      <c r="S209" s="678" t="s">
        <v>1507</v>
      </c>
      <c r="T209" s="677" t="s">
        <v>1583</v>
      </c>
      <c r="U209" s="674">
        <v>6</v>
      </c>
      <c r="V209" s="678" t="s">
        <v>1502</v>
      </c>
      <c r="W209" s="677" t="s">
        <v>1583</v>
      </c>
      <c r="X209" s="674">
        <v>7</v>
      </c>
      <c r="Y209" s="678" t="s">
        <v>1498</v>
      </c>
      <c r="Z209" s="677" t="s">
        <v>2470</v>
      </c>
      <c r="AA209" s="674"/>
      <c r="AB209" s="680"/>
      <c r="AC209" s="681"/>
      <c r="AD209" s="674"/>
      <c r="AE209" s="680"/>
      <c r="AF209" s="681"/>
      <c r="AG209" s="674"/>
      <c r="AH209" s="680"/>
      <c r="AI209" s="681"/>
      <c r="AJ209" s="674"/>
      <c r="AK209" s="680"/>
      <c r="AL209" s="681"/>
    </row>
    <row r="210" spans="1:38" x14ac:dyDescent="0.55000000000000004">
      <c r="A210" s="686">
        <v>43668</v>
      </c>
      <c r="B210" s="682">
        <v>19207</v>
      </c>
      <c r="C210" s="675">
        <v>19076277</v>
      </c>
      <c r="D210" s="689" t="s">
        <v>1738</v>
      </c>
      <c r="E210" s="691"/>
      <c r="F210" s="674">
        <v>1</v>
      </c>
      <c r="G210" s="675" t="s">
        <v>658</v>
      </c>
      <c r="H210" s="676" t="s">
        <v>1571</v>
      </c>
      <c r="I210" s="674">
        <v>2</v>
      </c>
      <c r="J210" s="675" t="s">
        <v>657</v>
      </c>
      <c r="K210" s="677" t="s">
        <v>1571</v>
      </c>
      <c r="L210" s="674">
        <v>3</v>
      </c>
      <c r="M210" s="678" t="s">
        <v>1929</v>
      </c>
      <c r="N210" s="677" t="s">
        <v>1578</v>
      </c>
      <c r="O210" s="674">
        <v>4</v>
      </c>
      <c r="P210" s="678" t="s">
        <v>1502</v>
      </c>
      <c r="Q210" s="677" t="s">
        <v>1583</v>
      </c>
      <c r="R210" s="674">
        <v>5</v>
      </c>
      <c r="S210" s="678" t="s">
        <v>1498</v>
      </c>
      <c r="T210" s="677" t="s">
        <v>1635</v>
      </c>
      <c r="U210" s="674"/>
      <c r="V210" s="680"/>
      <c r="W210" s="681"/>
      <c r="X210" s="674"/>
      <c r="Y210" s="680"/>
      <c r="Z210" s="681"/>
      <c r="AA210" s="674"/>
      <c r="AB210" s="680"/>
      <c r="AC210" s="681"/>
      <c r="AD210" s="674"/>
      <c r="AE210" s="680"/>
      <c r="AF210" s="681"/>
      <c r="AG210" s="674"/>
      <c r="AH210" s="680"/>
      <c r="AI210" s="681"/>
      <c r="AJ210" s="674"/>
      <c r="AK210" s="680"/>
      <c r="AL210" s="681"/>
    </row>
    <row r="211" spans="1:38" x14ac:dyDescent="0.55000000000000004">
      <c r="A211" s="670">
        <v>43670</v>
      </c>
      <c r="B211" s="692">
        <v>19208</v>
      </c>
      <c r="C211" s="672">
        <v>18095986</v>
      </c>
      <c r="D211" s="673" t="s">
        <v>2266</v>
      </c>
      <c r="E211" s="725"/>
      <c r="F211" s="674">
        <v>1</v>
      </c>
      <c r="G211" s="675" t="s">
        <v>593</v>
      </c>
      <c r="H211" s="676" t="s">
        <v>1579</v>
      </c>
      <c r="I211" s="674">
        <v>2</v>
      </c>
      <c r="J211" s="675" t="s">
        <v>1929</v>
      </c>
      <c r="K211" s="677" t="s">
        <v>1583</v>
      </c>
      <c r="L211" s="674">
        <v>3</v>
      </c>
      <c r="M211" s="678" t="s">
        <v>1507</v>
      </c>
      <c r="N211" s="677" t="s">
        <v>1583</v>
      </c>
      <c r="O211" s="674">
        <v>4</v>
      </c>
      <c r="P211" s="678" t="s">
        <v>1508</v>
      </c>
      <c r="Q211" s="677" t="s">
        <v>2471</v>
      </c>
      <c r="R211" s="674"/>
      <c r="S211" s="680"/>
      <c r="T211" s="681"/>
      <c r="U211" s="674"/>
      <c r="V211" s="680"/>
      <c r="W211" s="681"/>
      <c r="X211" s="674"/>
      <c r="Y211" s="680"/>
      <c r="Z211" s="681"/>
      <c r="AA211" s="674"/>
      <c r="AB211" s="680"/>
      <c r="AC211" s="681"/>
      <c r="AD211" s="674"/>
      <c r="AE211" s="680"/>
      <c r="AF211" s="681"/>
      <c r="AG211" s="674"/>
      <c r="AH211" s="680"/>
      <c r="AI211" s="681"/>
      <c r="AJ211" s="674"/>
      <c r="AK211" s="680"/>
      <c r="AL211" s="681"/>
    </row>
    <row r="212" spans="1:38" x14ac:dyDescent="0.55000000000000004">
      <c r="A212" s="698"/>
      <c r="B212" s="703">
        <v>19209</v>
      </c>
      <c r="C212" s="700"/>
      <c r="D212" s="701"/>
      <c r="E212" s="726"/>
      <c r="F212" s="674">
        <v>1</v>
      </c>
      <c r="G212" s="675" t="s">
        <v>593</v>
      </c>
      <c r="H212" s="676" t="s">
        <v>1579</v>
      </c>
      <c r="I212" s="674">
        <v>2</v>
      </c>
      <c r="J212" s="675" t="s">
        <v>1929</v>
      </c>
      <c r="K212" s="677" t="s">
        <v>1583</v>
      </c>
      <c r="L212" s="674">
        <v>3</v>
      </c>
      <c r="M212" s="678" t="s">
        <v>1507</v>
      </c>
      <c r="N212" s="677" t="s">
        <v>1583</v>
      </c>
      <c r="O212" s="674">
        <v>4</v>
      </c>
      <c r="P212" s="678" t="s">
        <v>1508</v>
      </c>
      <c r="Q212" s="677" t="s">
        <v>2471</v>
      </c>
      <c r="R212" s="674"/>
      <c r="S212" s="680"/>
      <c r="T212" s="681"/>
      <c r="U212" s="674"/>
      <c r="V212" s="680"/>
      <c r="W212" s="681"/>
      <c r="X212" s="674"/>
      <c r="Y212" s="680"/>
      <c r="Z212" s="681"/>
      <c r="AA212" s="674"/>
      <c r="AB212" s="680"/>
      <c r="AC212" s="681"/>
      <c r="AD212" s="674"/>
      <c r="AE212" s="680"/>
      <c r="AF212" s="681"/>
      <c r="AG212" s="674"/>
      <c r="AH212" s="680"/>
      <c r="AI212" s="681"/>
      <c r="AJ212" s="674"/>
      <c r="AK212" s="680"/>
      <c r="AL212" s="681"/>
    </row>
    <row r="213" spans="1:38" x14ac:dyDescent="0.55000000000000004">
      <c r="A213" s="698"/>
      <c r="B213" s="703">
        <v>19210</v>
      </c>
      <c r="C213" s="700"/>
      <c r="D213" s="701"/>
      <c r="E213" s="726"/>
      <c r="F213" s="674">
        <v>1</v>
      </c>
      <c r="G213" s="675" t="s">
        <v>593</v>
      </c>
      <c r="H213" s="676" t="s">
        <v>1579</v>
      </c>
      <c r="I213" s="674">
        <v>2</v>
      </c>
      <c r="J213" s="675" t="s">
        <v>1929</v>
      </c>
      <c r="K213" s="677" t="s">
        <v>1583</v>
      </c>
      <c r="L213" s="674">
        <v>3</v>
      </c>
      <c r="M213" s="678" t="s">
        <v>1507</v>
      </c>
      <c r="N213" s="677" t="s">
        <v>1583</v>
      </c>
      <c r="O213" s="674">
        <v>4</v>
      </c>
      <c r="P213" s="678" t="s">
        <v>1508</v>
      </c>
      <c r="Q213" s="677" t="s">
        <v>2471</v>
      </c>
      <c r="R213" s="674"/>
      <c r="S213" s="680"/>
      <c r="T213" s="681"/>
      <c r="U213" s="674"/>
      <c r="V213" s="680"/>
      <c r="W213" s="681"/>
      <c r="X213" s="674"/>
      <c r="Y213" s="680"/>
      <c r="Z213" s="681"/>
      <c r="AA213" s="674"/>
      <c r="AB213" s="680"/>
      <c r="AC213" s="681"/>
      <c r="AD213" s="674"/>
      <c r="AE213" s="680"/>
      <c r="AF213" s="681"/>
      <c r="AG213" s="674"/>
      <c r="AH213" s="680"/>
      <c r="AI213" s="681"/>
      <c r="AJ213" s="674"/>
      <c r="AK213" s="680"/>
      <c r="AL213" s="681"/>
    </row>
    <row r="214" spans="1:38" x14ac:dyDescent="0.55000000000000004">
      <c r="A214" s="682"/>
      <c r="B214" s="682">
        <v>19211</v>
      </c>
      <c r="C214" s="684"/>
      <c r="D214" s="685"/>
      <c r="E214" s="695"/>
      <c r="F214" s="674">
        <v>1</v>
      </c>
      <c r="G214" s="675" t="s">
        <v>593</v>
      </c>
      <c r="H214" s="676" t="s">
        <v>1579</v>
      </c>
      <c r="I214" s="674">
        <v>2</v>
      </c>
      <c r="J214" s="675" t="s">
        <v>1929</v>
      </c>
      <c r="K214" s="677" t="s">
        <v>1583</v>
      </c>
      <c r="L214" s="674">
        <v>3</v>
      </c>
      <c r="M214" s="678" t="s">
        <v>1507</v>
      </c>
      <c r="N214" s="677" t="s">
        <v>1583</v>
      </c>
      <c r="O214" s="674">
        <v>4</v>
      </c>
      <c r="P214" s="678" t="s">
        <v>1508</v>
      </c>
      <c r="Q214" s="677" t="s">
        <v>2471</v>
      </c>
      <c r="R214" s="674"/>
      <c r="S214" s="680"/>
      <c r="T214" s="681"/>
      <c r="U214" s="674"/>
      <c r="V214" s="680"/>
      <c r="W214" s="681"/>
      <c r="X214" s="674"/>
      <c r="Y214" s="680"/>
      <c r="Z214" s="681"/>
      <c r="AA214" s="674"/>
      <c r="AB214" s="680"/>
      <c r="AC214" s="681"/>
      <c r="AD214" s="674"/>
      <c r="AE214" s="680"/>
      <c r="AF214" s="681"/>
      <c r="AG214" s="674"/>
      <c r="AH214" s="680"/>
      <c r="AI214" s="681"/>
      <c r="AJ214" s="674"/>
      <c r="AK214" s="680"/>
      <c r="AL214" s="681"/>
    </row>
    <row r="215" spans="1:38" x14ac:dyDescent="0.55000000000000004">
      <c r="A215" s="686">
        <v>43670</v>
      </c>
      <c r="B215" s="682">
        <v>19212</v>
      </c>
      <c r="C215" s="675">
        <v>19036176</v>
      </c>
      <c r="D215" s="689" t="s">
        <v>543</v>
      </c>
      <c r="E215" s="691"/>
      <c r="F215" s="674">
        <v>1</v>
      </c>
      <c r="G215" s="675" t="s">
        <v>818</v>
      </c>
      <c r="H215" s="676" t="s">
        <v>1571</v>
      </c>
      <c r="I215" s="674">
        <v>2</v>
      </c>
      <c r="J215" s="675" t="s">
        <v>2472</v>
      </c>
      <c r="K215" s="677" t="s">
        <v>1575</v>
      </c>
      <c r="L215" s="674">
        <v>3</v>
      </c>
      <c r="M215" s="678" t="s">
        <v>1515</v>
      </c>
      <c r="N215" s="677" t="s">
        <v>1586</v>
      </c>
      <c r="O215" s="674">
        <v>4</v>
      </c>
      <c r="P215" s="678" t="s">
        <v>2092</v>
      </c>
      <c r="Q215" s="677" t="s">
        <v>1574</v>
      </c>
      <c r="R215" s="674"/>
      <c r="S215" s="680"/>
      <c r="T215" s="681"/>
      <c r="U215" s="674"/>
      <c r="V215" s="680"/>
      <c r="W215" s="681"/>
      <c r="X215" s="674"/>
      <c r="Y215" s="680"/>
      <c r="Z215" s="681"/>
      <c r="AA215" s="674"/>
      <c r="AB215" s="680"/>
      <c r="AC215" s="681"/>
      <c r="AD215" s="674"/>
      <c r="AE215" s="680"/>
      <c r="AF215" s="681"/>
      <c r="AG215" s="674"/>
      <c r="AH215" s="680"/>
      <c r="AI215" s="681"/>
      <c r="AJ215" s="674"/>
      <c r="AK215" s="680"/>
      <c r="AL215" s="681"/>
    </row>
    <row r="216" spans="1:38" x14ac:dyDescent="0.55000000000000004">
      <c r="A216" s="686">
        <v>43670</v>
      </c>
      <c r="B216" s="682">
        <v>19213</v>
      </c>
      <c r="C216" s="675">
        <v>18106019</v>
      </c>
      <c r="D216" s="689" t="s">
        <v>1626</v>
      </c>
      <c r="E216" s="691"/>
      <c r="F216" s="674">
        <v>1</v>
      </c>
      <c r="G216" s="675" t="s">
        <v>784</v>
      </c>
      <c r="H216" s="676" t="s">
        <v>1571</v>
      </c>
      <c r="I216" s="674">
        <v>2</v>
      </c>
      <c r="J216" s="675" t="s">
        <v>1511</v>
      </c>
      <c r="K216" s="677" t="s">
        <v>1575</v>
      </c>
      <c r="L216" s="674">
        <v>3</v>
      </c>
      <c r="M216" s="678" t="s">
        <v>1507</v>
      </c>
      <c r="N216" s="677" t="s">
        <v>1575</v>
      </c>
      <c r="O216" s="674">
        <v>4</v>
      </c>
      <c r="P216" s="678" t="s">
        <v>1498</v>
      </c>
      <c r="Q216" s="677" t="s">
        <v>2446</v>
      </c>
      <c r="R216" s="674"/>
      <c r="S216" s="680"/>
      <c r="T216" s="681"/>
      <c r="U216" s="674"/>
      <c r="V216" s="680"/>
      <c r="W216" s="681"/>
      <c r="X216" s="674"/>
      <c r="Y216" s="680"/>
      <c r="Z216" s="681"/>
      <c r="AA216" s="674"/>
      <c r="AB216" s="680"/>
      <c r="AC216" s="681"/>
      <c r="AD216" s="674"/>
      <c r="AE216" s="680"/>
      <c r="AF216" s="681"/>
      <c r="AG216" s="674"/>
      <c r="AH216" s="680"/>
      <c r="AI216" s="681"/>
      <c r="AJ216" s="674"/>
      <c r="AK216" s="680"/>
      <c r="AL216" s="681"/>
    </row>
    <row r="217" spans="1:38" x14ac:dyDescent="0.55000000000000004">
      <c r="A217" s="686">
        <v>43676</v>
      </c>
      <c r="B217" s="682">
        <v>19214</v>
      </c>
      <c r="C217" s="675">
        <v>19076282</v>
      </c>
      <c r="D217" s="689" t="s">
        <v>1452</v>
      </c>
      <c r="E217" s="1115" t="s">
        <v>3121</v>
      </c>
      <c r="F217" s="674">
        <v>1</v>
      </c>
      <c r="G217" s="675" t="s">
        <v>2410</v>
      </c>
      <c r="H217" s="676" t="s">
        <v>1571</v>
      </c>
      <c r="I217" s="674">
        <v>2</v>
      </c>
      <c r="J217" s="675" t="s">
        <v>1511</v>
      </c>
      <c r="K217" s="677" t="s">
        <v>1575</v>
      </c>
      <c r="L217" s="674">
        <v>3</v>
      </c>
      <c r="M217" s="678" t="s">
        <v>1502</v>
      </c>
      <c r="N217" s="677" t="s">
        <v>1575</v>
      </c>
      <c r="O217" s="674">
        <v>4</v>
      </c>
      <c r="P217" s="678" t="s">
        <v>1503</v>
      </c>
      <c r="Q217" s="677" t="s">
        <v>1801</v>
      </c>
      <c r="R217" s="674"/>
      <c r="S217" s="680"/>
      <c r="T217" s="681"/>
      <c r="U217" s="674"/>
      <c r="V217" s="680"/>
      <c r="W217" s="681"/>
      <c r="X217" s="674"/>
      <c r="Y217" s="680"/>
      <c r="Z217" s="681"/>
      <c r="AA217" s="674"/>
      <c r="AB217" s="680"/>
      <c r="AC217" s="681"/>
      <c r="AD217" s="674"/>
      <c r="AE217" s="680"/>
      <c r="AF217" s="681"/>
      <c r="AG217" s="674"/>
      <c r="AH217" s="680"/>
      <c r="AI217" s="681"/>
      <c r="AJ217" s="674"/>
      <c r="AK217" s="680"/>
      <c r="AL217" s="681"/>
    </row>
    <row r="218" spans="1:38" x14ac:dyDescent="0.55000000000000004">
      <c r="A218" s="686">
        <v>43678</v>
      </c>
      <c r="B218" s="682">
        <v>19215</v>
      </c>
      <c r="C218" s="675">
        <v>19066261</v>
      </c>
      <c r="D218" s="689" t="s">
        <v>2550</v>
      </c>
      <c r="E218" s="691"/>
      <c r="F218" s="674"/>
      <c r="G218" s="675"/>
      <c r="H218" s="676"/>
      <c r="I218" s="674"/>
      <c r="J218" s="675"/>
      <c r="K218" s="677"/>
      <c r="L218" s="674"/>
      <c r="M218" s="678"/>
      <c r="N218" s="677"/>
      <c r="O218" s="674"/>
      <c r="P218" s="678"/>
      <c r="Q218" s="677"/>
      <c r="R218" s="674"/>
      <c r="S218" s="678"/>
      <c r="T218" s="677"/>
      <c r="U218" s="674"/>
      <c r="V218" s="678"/>
      <c r="W218" s="677"/>
      <c r="X218" s="674"/>
      <c r="Y218" s="678"/>
      <c r="Z218" s="677"/>
      <c r="AA218" s="674"/>
      <c r="AB218" s="678"/>
      <c r="AC218" s="677"/>
      <c r="AD218" s="674"/>
      <c r="AE218" s="678"/>
      <c r="AF218" s="677"/>
      <c r="AG218" s="674"/>
      <c r="AH218" s="678"/>
      <c r="AI218" s="677"/>
      <c r="AJ218" s="674"/>
      <c r="AK218" s="678"/>
      <c r="AL218" s="677"/>
    </row>
    <row r="219" spans="1:38" x14ac:dyDescent="0.55000000000000004">
      <c r="A219" s="670">
        <v>43679</v>
      </c>
      <c r="B219" s="692">
        <v>19216</v>
      </c>
      <c r="C219" s="672">
        <v>19066249</v>
      </c>
      <c r="D219" s="673" t="s">
        <v>2551</v>
      </c>
      <c r="E219" s="694"/>
      <c r="F219" s="996"/>
      <c r="G219" s="672"/>
      <c r="H219" s="997"/>
      <c r="I219" s="996"/>
      <c r="J219" s="672"/>
      <c r="K219" s="998"/>
      <c r="L219" s="996"/>
      <c r="M219" s="693"/>
      <c r="N219" s="998"/>
      <c r="O219" s="996"/>
      <c r="P219" s="693"/>
      <c r="Q219" s="998"/>
      <c r="R219" s="996"/>
      <c r="S219" s="693"/>
      <c r="T219" s="998"/>
      <c r="U219" s="996"/>
      <c r="V219" s="693"/>
      <c r="W219" s="998"/>
      <c r="X219" s="996"/>
      <c r="Y219" s="693"/>
      <c r="Z219" s="998"/>
      <c r="AA219" s="996"/>
      <c r="AB219" s="693"/>
      <c r="AC219" s="998"/>
      <c r="AD219" s="996"/>
      <c r="AE219" s="693"/>
      <c r="AF219" s="998"/>
      <c r="AG219" s="996"/>
      <c r="AH219" s="693"/>
      <c r="AI219" s="998"/>
      <c r="AJ219" s="996"/>
      <c r="AK219" s="693"/>
      <c r="AL219" s="998"/>
    </row>
    <row r="220" spans="1:38" x14ac:dyDescent="0.55000000000000004">
      <c r="A220" s="698"/>
      <c r="B220" s="703">
        <v>19217</v>
      </c>
      <c r="C220" s="700"/>
      <c r="D220" s="701"/>
      <c r="E220" s="702"/>
      <c r="F220" s="999"/>
      <c r="G220" s="700"/>
      <c r="H220" s="1000"/>
      <c r="I220" s="999"/>
      <c r="J220" s="700"/>
      <c r="K220" s="1001"/>
      <c r="L220" s="999"/>
      <c r="M220" s="704"/>
      <c r="N220" s="1001"/>
      <c r="O220" s="999"/>
      <c r="P220" s="704"/>
      <c r="Q220" s="1001"/>
      <c r="R220" s="999"/>
      <c r="S220" s="704"/>
      <c r="T220" s="1001"/>
      <c r="U220" s="999"/>
      <c r="V220" s="704"/>
      <c r="W220" s="1001"/>
      <c r="X220" s="999"/>
      <c r="Y220" s="704"/>
      <c r="Z220" s="1001"/>
      <c r="AA220" s="999"/>
      <c r="AB220" s="704"/>
      <c r="AC220" s="1001"/>
      <c r="AD220" s="999"/>
      <c r="AE220" s="704"/>
      <c r="AF220" s="1001"/>
      <c r="AG220" s="999"/>
      <c r="AH220" s="704"/>
      <c r="AI220" s="1001"/>
      <c r="AJ220" s="999"/>
      <c r="AK220" s="704"/>
      <c r="AL220" s="1001"/>
    </row>
    <row r="221" spans="1:38" x14ac:dyDescent="0.55000000000000004">
      <c r="A221" s="698"/>
      <c r="B221" s="703">
        <v>19218</v>
      </c>
      <c r="C221" s="700"/>
      <c r="D221" s="701"/>
      <c r="E221" s="702"/>
      <c r="F221" s="999"/>
      <c r="G221" s="700"/>
      <c r="H221" s="1000"/>
      <c r="I221" s="999"/>
      <c r="J221" s="700"/>
      <c r="K221" s="1001"/>
      <c r="L221" s="999"/>
      <c r="M221" s="704"/>
      <c r="N221" s="1001"/>
      <c r="O221" s="999"/>
      <c r="P221" s="704"/>
      <c r="Q221" s="1001"/>
      <c r="R221" s="999"/>
      <c r="S221" s="704"/>
      <c r="T221" s="1001"/>
      <c r="U221" s="999"/>
      <c r="V221" s="704"/>
      <c r="W221" s="1001"/>
      <c r="X221" s="999"/>
      <c r="Y221" s="704"/>
      <c r="Z221" s="1001"/>
      <c r="AA221" s="999"/>
      <c r="AB221" s="704"/>
      <c r="AC221" s="1001"/>
      <c r="AD221" s="999"/>
      <c r="AE221" s="704"/>
      <c r="AF221" s="1001"/>
      <c r="AG221" s="999"/>
      <c r="AH221" s="704"/>
      <c r="AI221" s="1001"/>
      <c r="AJ221" s="999"/>
      <c r="AK221" s="704"/>
      <c r="AL221" s="1001"/>
    </row>
    <row r="222" spans="1:38" x14ac:dyDescent="0.55000000000000004">
      <c r="A222" s="698"/>
      <c r="B222" s="703">
        <v>19219</v>
      </c>
      <c r="C222" s="700"/>
      <c r="D222" s="701"/>
      <c r="E222" s="702"/>
      <c r="F222" s="999"/>
      <c r="G222" s="700"/>
      <c r="H222" s="1000"/>
      <c r="I222" s="999"/>
      <c r="J222" s="700"/>
      <c r="K222" s="1001"/>
      <c r="L222" s="999"/>
      <c r="M222" s="704"/>
      <c r="N222" s="1001"/>
      <c r="O222" s="999"/>
      <c r="P222" s="704"/>
      <c r="Q222" s="1001"/>
      <c r="R222" s="999"/>
      <c r="S222" s="704"/>
      <c r="T222" s="1001"/>
      <c r="U222" s="999"/>
      <c r="V222" s="704"/>
      <c r="W222" s="1001"/>
      <c r="X222" s="999"/>
      <c r="Y222" s="704"/>
      <c r="Z222" s="1001"/>
      <c r="AA222" s="999"/>
      <c r="AB222" s="704"/>
      <c r="AC222" s="1001"/>
      <c r="AD222" s="999"/>
      <c r="AE222" s="704"/>
      <c r="AF222" s="1001"/>
      <c r="AG222" s="999"/>
      <c r="AH222" s="704"/>
      <c r="AI222" s="1001"/>
      <c r="AJ222" s="999"/>
      <c r="AK222" s="704"/>
      <c r="AL222" s="1001"/>
    </row>
    <row r="223" spans="1:38" x14ac:dyDescent="0.55000000000000004">
      <c r="A223" s="698"/>
      <c r="B223" s="703">
        <v>19220</v>
      </c>
      <c r="C223" s="700"/>
      <c r="D223" s="701"/>
      <c r="E223" s="702"/>
      <c r="F223" s="999"/>
      <c r="G223" s="700"/>
      <c r="H223" s="1000"/>
      <c r="I223" s="999"/>
      <c r="J223" s="700"/>
      <c r="K223" s="1001"/>
      <c r="L223" s="999"/>
      <c r="M223" s="704"/>
      <c r="N223" s="1001"/>
      <c r="O223" s="999"/>
      <c r="P223" s="704"/>
      <c r="Q223" s="1001"/>
      <c r="R223" s="999"/>
      <c r="S223" s="704"/>
      <c r="T223" s="1001"/>
      <c r="U223" s="999"/>
      <c r="V223" s="704"/>
      <c r="W223" s="1001"/>
      <c r="X223" s="999"/>
      <c r="Y223" s="704"/>
      <c r="Z223" s="1001"/>
      <c r="AA223" s="999"/>
      <c r="AB223" s="704"/>
      <c r="AC223" s="1001"/>
      <c r="AD223" s="999"/>
      <c r="AE223" s="704"/>
      <c r="AF223" s="1001"/>
      <c r="AG223" s="999"/>
      <c r="AH223" s="704"/>
      <c r="AI223" s="1001"/>
      <c r="AJ223" s="999"/>
      <c r="AK223" s="704"/>
      <c r="AL223" s="1001"/>
    </row>
    <row r="224" spans="1:38" x14ac:dyDescent="0.55000000000000004">
      <c r="A224" s="682"/>
      <c r="B224" s="682">
        <v>19221</v>
      </c>
      <c r="C224" s="684"/>
      <c r="D224" s="685"/>
      <c r="E224" s="695"/>
      <c r="F224" s="993"/>
      <c r="G224" s="684"/>
      <c r="H224" s="994"/>
      <c r="I224" s="993"/>
      <c r="J224" s="684"/>
      <c r="K224" s="995"/>
      <c r="L224" s="993"/>
      <c r="M224" s="705"/>
      <c r="N224" s="995"/>
      <c r="O224" s="993"/>
      <c r="P224" s="705"/>
      <c r="Q224" s="995"/>
      <c r="R224" s="993"/>
      <c r="S224" s="705"/>
      <c r="T224" s="995"/>
      <c r="U224" s="993"/>
      <c r="V224" s="705"/>
      <c r="W224" s="995"/>
      <c r="X224" s="993"/>
      <c r="Y224" s="705"/>
      <c r="Z224" s="995"/>
      <c r="AA224" s="993"/>
      <c r="AB224" s="705"/>
      <c r="AC224" s="995"/>
      <c r="AD224" s="993"/>
      <c r="AE224" s="705"/>
      <c r="AF224" s="995"/>
      <c r="AG224" s="993"/>
      <c r="AH224" s="705"/>
      <c r="AI224" s="995"/>
      <c r="AJ224" s="993"/>
      <c r="AK224" s="705"/>
      <c r="AL224" s="995"/>
    </row>
    <row r="225" spans="1:38" x14ac:dyDescent="0.55000000000000004">
      <c r="A225" s="686">
        <v>43682</v>
      </c>
      <c r="B225" s="682">
        <v>19222</v>
      </c>
      <c r="C225" s="675">
        <v>19046205</v>
      </c>
      <c r="D225" s="689" t="s">
        <v>2552</v>
      </c>
      <c r="E225" s="691"/>
      <c r="F225" s="674"/>
      <c r="G225" s="675"/>
      <c r="H225" s="676"/>
      <c r="I225" s="674"/>
      <c r="J225" s="675"/>
      <c r="K225" s="677"/>
      <c r="L225" s="674"/>
      <c r="M225" s="678"/>
      <c r="N225" s="677"/>
      <c r="O225" s="674"/>
      <c r="P225" s="678"/>
      <c r="Q225" s="677"/>
      <c r="R225" s="674"/>
      <c r="S225" s="678"/>
      <c r="T225" s="677"/>
      <c r="U225" s="674"/>
      <c r="V225" s="678"/>
      <c r="W225" s="677"/>
      <c r="X225" s="674"/>
      <c r="Y225" s="678"/>
      <c r="Z225" s="677"/>
      <c r="AA225" s="674"/>
      <c r="AB225" s="678"/>
      <c r="AC225" s="677"/>
      <c r="AD225" s="674"/>
      <c r="AE225" s="678"/>
      <c r="AF225" s="677"/>
      <c r="AG225" s="674"/>
      <c r="AH225" s="678"/>
      <c r="AI225" s="677"/>
      <c r="AJ225" s="674"/>
      <c r="AK225" s="678"/>
      <c r="AL225" s="677"/>
    </row>
    <row r="226" spans="1:38" x14ac:dyDescent="0.55000000000000004">
      <c r="A226" s="686">
        <v>43682</v>
      </c>
      <c r="B226" s="682">
        <v>19223</v>
      </c>
      <c r="C226" s="688"/>
      <c r="D226" s="689" t="s">
        <v>2553</v>
      </c>
      <c r="E226" s="691" t="s">
        <v>1329</v>
      </c>
      <c r="F226" s="674"/>
      <c r="G226" s="675"/>
      <c r="H226" s="676"/>
      <c r="I226" s="674"/>
      <c r="J226" s="675"/>
      <c r="K226" s="677"/>
      <c r="L226" s="674"/>
      <c r="M226" s="678"/>
      <c r="N226" s="677"/>
      <c r="O226" s="674"/>
      <c r="P226" s="678"/>
      <c r="Q226" s="677"/>
      <c r="R226" s="674"/>
      <c r="S226" s="678"/>
      <c r="T226" s="677"/>
      <c r="U226" s="674"/>
      <c r="V226" s="678"/>
      <c r="W226" s="677"/>
      <c r="X226" s="674"/>
      <c r="Y226" s="678"/>
      <c r="Z226" s="677"/>
      <c r="AA226" s="674"/>
      <c r="AB226" s="678"/>
      <c r="AC226" s="677"/>
      <c r="AD226" s="674"/>
      <c r="AE226" s="678"/>
      <c r="AF226" s="677"/>
      <c r="AG226" s="674"/>
      <c r="AH226" s="678"/>
      <c r="AI226" s="677"/>
      <c r="AJ226" s="674"/>
      <c r="AK226" s="678"/>
      <c r="AL226" s="677"/>
    </row>
    <row r="227" spans="1:38" x14ac:dyDescent="0.55000000000000004">
      <c r="A227" s="670">
        <v>43683</v>
      </c>
      <c r="B227" s="692">
        <v>19224</v>
      </c>
      <c r="C227" s="672">
        <v>19066242</v>
      </c>
      <c r="D227" s="673" t="s">
        <v>2406</v>
      </c>
      <c r="E227" s="725"/>
      <c r="F227" s="674"/>
      <c r="G227" s="675"/>
      <c r="H227" s="676"/>
      <c r="I227" s="674"/>
      <c r="J227" s="675"/>
      <c r="K227" s="677"/>
      <c r="L227" s="674"/>
      <c r="M227" s="678"/>
      <c r="N227" s="677"/>
      <c r="O227" s="674"/>
      <c r="P227" s="678"/>
      <c r="Q227" s="677"/>
      <c r="R227" s="674"/>
      <c r="S227" s="678"/>
      <c r="T227" s="677"/>
      <c r="U227" s="674"/>
      <c r="V227" s="678"/>
      <c r="W227" s="677"/>
      <c r="X227" s="674"/>
      <c r="Y227" s="678"/>
      <c r="Z227" s="677"/>
      <c r="AA227" s="674"/>
      <c r="AB227" s="678"/>
      <c r="AC227" s="677"/>
      <c r="AD227" s="674"/>
      <c r="AE227" s="678"/>
      <c r="AF227" s="677"/>
      <c r="AG227" s="674"/>
      <c r="AH227" s="678"/>
      <c r="AI227" s="677"/>
      <c r="AJ227" s="674"/>
      <c r="AK227" s="678"/>
      <c r="AL227" s="677"/>
    </row>
    <row r="228" spans="1:38" x14ac:dyDescent="0.55000000000000004">
      <c r="A228" s="682"/>
      <c r="B228" s="682">
        <v>19225</v>
      </c>
      <c r="C228" s="684"/>
      <c r="D228" s="685"/>
      <c r="E228" s="695"/>
      <c r="F228" s="674"/>
      <c r="G228" s="675"/>
      <c r="H228" s="676"/>
      <c r="I228" s="674"/>
      <c r="J228" s="675"/>
      <c r="K228" s="677"/>
      <c r="L228" s="674"/>
      <c r="M228" s="678"/>
      <c r="N228" s="677"/>
      <c r="O228" s="674"/>
      <c r="P228" s="678"/>
      <c r="Q228" s="677"/>
      <c r="R228" s="674"/>
      <c r="S228" s="678"/>
      <c r="T228" s="677"/>
      <c r="U228" s="674"/>
      <c r="V228" s="678"/>
      <c r="W228" s="677"/>
      <c r="X228" s="674"/>
      <c r="Y228" s="678"/>
      <c r="Z228" s="677"/>
      <c r="AA228" s="674"/>
      <c r="AB228" s="678"/>
      <c r="AC228" s="677"/>
      <c r="AD228" s="674"/>
      <c r="AE228" s="678"/>
      <c r="AF228" s="677"/>
      <c r="AG228" s="674"/>
      <c r="AH228" s="678"/>
      <c r="AI228" s="677"/>
      <c r="AJ228" s="674"/>
      <c r="AK228" s="678"/>
      <c r="AL228" s="677"/>
    </row>
    <row r="229" spans="1:38" x14ac:dyDescent="0.55000000000000004">
      <c r="A229" s="670">
        <v>43684</v>
      </c>
      <c r="B229" s="692">
        <v>19226</v>
      </c>
      <c r="C229" s="672">
        <v>19046197</v>
      </c>
      <c r="D229" s="673" t="s">
        <v>1496</v>
      </c>
      <c r="E229" s="725"/>
      <c r="F229" s="674"/>
      <c r="G229" s="675"/>
      <c r="H229" s="676"/>
      <c r="I229" s="674"/>
      <c r="J229" s="675"/>
      <c r="K229" s="677"/>
      <c r="L229" s="674"/>
      <c r="M229" s="678"/>
      <c r="N229" s="677"/>
      <c r="O229" s="674"/>
      <c r="P229" s="678"/>
      <c r="Q229" s="677"/>
      <c r="R229" s="674"/>
      <c r="S229" s="678"/>
      <c r="T229" s="677"/>
      <c r="U229" s="674"/>
      <c r="V229" s="678"/>
      <c r="W229" s="677"/>
      <c r="X229" s="674"/>
      <c r="Y229" s="678"/>
      <c r="Z229" s="677"/>
      <c r="AA229" s="674"/>
      <c r="AB229" s="678"/>
      <c r="AC229" s="677"/>
      <c r="AD229" s="674"/>
      <c r="AE229" s="678"/>
      <c r="AF229" s="677"/>
      <c r="AG229" s="674"/>
      <c r="AH229" s="678"/>
      <c r="AI229" s="677"/>
      <c r="AJ229" s="674"/>
      <c r="AK229" s="678"/>
      <c r="AL229" s="677"/>
    </row>
    <row r="230" spans="1:38" x14ac:dyDescent="0.55000000000000004">
      <c r="A230" s="682"/>
      <c r="B230" s="682">
        <v>19227</v>
      </c>
      <c r="C230" s="684"/>
      <c r="D230" s="685"/>
      <c r="E230" s="695"/>
      <c r="F230" s="674"/>
      <c r="G230" s="675"/>
      <c r="H230" s="676"/>
      <c r="I230" s="674"/>
      <c r="J230" s="675"/>
      <c r="K230" s="677"/>
      <c r="L230" s="674"/>
      <c r="M230" s="678"/>
      <c r="N230" s="677"/>
      <c r="O230" s="674"/>
      <c r="P230" s="678"/>
      <c r="Q230" s="677"/>
      <c r="R230" s="674"/>
      <c r="S230" s="678"/>
      <c r="T230" s="677"/>
      <c r="U230" s="674"/>
      <c r="V230" s="678"/>
      <c r="W230" s="677"/>
      <c r="X230" s="674"/>
      <c r="Y230" s="678"/>
      <c r="Z230" s="677"/>
      <c r="AA230" s="674"/>
      <c r="AB230" s="678"/>
      <c r="AC230" s="677"/>
      <c r="AD230" s="674"/>
      <c r="AE230" s="678"/>
      <c r="AF230" s="677"/>
      <c r="AG230" s="674"/>
      <c r="AH230" s="678"/>
      <c r="AI230" s="677"/>
      <c r="AJ230" s="674"/>
      <c r="AK230" s="678"/>
      <c r="AL230" s="677"/>
    </row>
    <row r="231" spans="1:38" x14ac:dyDescent="0.55000000000000004">
      <c r="A231" s="670">
        <v>43684</v>
      </c>
      <c r="B231" s="692">
        <v>19228</v>
      </c>
      <c r="C231" s="672">
        <v>18095986</v>
      </c>
      <c r="D231" s="673" t="s">
        <v>2266</v>
      </c>
      <c r="E231" s="725"/>
      <c r="F231" s="674"/>
      <c r="G231" s="675"/>
      <c r="H231" s="676"/>
      <c r="I231" s="674"/>
      <c r="J231" s="675"/>
      <c r="K231" s="677"/>
      <c r="L231" s="674"/>
      <c r="M231" s="678"/>
      <c r="N231" s="677"/>
      <c r="O231" s="674"/>
      <c r="P231" s="678"/>
      <c r="Q231" s="677"/>
      <c r="R231" s="674"/>
      <c r="S231" s="678"/>
      <c r="T231" s="677"/>
      <c r="U231" s="674"/>
      <c r="V231" s="678"/>
      <c r="W231" s="677"/>
      <c r="X231" s="674"/>
      <c r="Y231" s="678"/>
      <c r="Z231" s="677"/>
      <c r="AA231" s="674"/>
      <c r="AB231" s="678"/>
      <c r="AC231" s="677"/>
      <c r="AD231" s="674"/>
      <c r="AE231" s="678"/>
      <c r="AF231" s="677"/>
      <c r="AG231" s="674"/>
      <c r="AH231" s="678"/>
      <c r="AI231" s="677"/>
      <c r="AJ231" s="674"/>
      <c r="AK231" s="678"/>
      <c r="AL231" s="677"/>
    </row>
    <row r="232" spans="1:38" x14ac:dyDescent="0.55000000000000004">
      <c r="A232" s="682"/>
      <c r="B232" s="682">
        <v>19229</v>
      </c>
      <c r="C232" s="684"/>
      <c r="D232" s="685"/>
      <c r="E232" s="695"/>
      <c r="F232" s="674"/>
      <c r="G232" s="675"/>
      <c r="H232" s="676"/>
      <c r="I232" s="674"/>
      <c r="J232" s="675"/>
      <c r="K232" s="677"/>
      <c r="L232" s="674"/>
      <c r="M232" s="678"/>
      <c r="N232" s="677"/>
      <c r="O232" s="674"/>
      <c r="P232" s="678"/>
      <c r="Q232" s="677"/>
      <c r="R232" s="674"/>
      <c r="S232" s="678"/>
      <c r="T232" s="677"/>
      <c r="U232" s="674"/>
      <c r="V232" s="678"/>
      <c r="W232" s="677"/>
      <c r="X232" s="674"/>
      <c r="Y232" s="678"/>
      <c r="Z232" s="677"/>
      <c r="AA232" s="674"/>
      <c r="AB232" s="678"/>
      <c r="AC232" s="677"/>
      <c r="AD232" s="674"/>
      <c r="AE232" s="678"/>
      <c r="AF232" s="677"/>
      <c r="AG232" s="674"/>
      <c r="AH232" s="678"/>
      <c r="AI232" s="677"/>
      <c r="AJ232" s="674"/>
      <c r="AK232" s="678"/>
      <c r="AL232" s="677"/>
    </row>
    <row r="233" spans="1:38" x14ac:dyDescent="0.55000000000000004">
      <c r="A233" s="670">
        <v>43686</v>
      </c>
      <c r="B233" s="692">
        <v>19230</v>
      </c>
      <c r="C233" s="672">
        <v>19076272</v>
      </c>
      <c r="D233" s="673" t="s">
        <v>2266</v>
      </c>
      <c r="E233" s="725"/>
      <c r="F233" s="674"/>
      <c r="G233" s="675"/>
      <c r="H233" s="676"/>
      <c r="I233" s="674"/>
      <c r="J233" s="675"/>
      <c r="K233" s="677"/>
      <c r="L233" s="674"/>
      <c r="M233" s="678"/>
      <c r="N233" s="677"/>
      <c r="O233" s="674"/>
      <c r="P233" s="678"/>
      <c r="Q233" s="677"/>
      <c r="R233" s="674"/>
      <c r="S233" s="678"/>
      <c r="T233" s="677"/>
      <c r="U233" s="674"/>
      <c r="V233" s="678"/>
      <c r="W233" s="677"/>
      <c r="X233" s="674"/>
      <c r="Y233" s="678"/>
      <c r="Z233" s="677"/>
      <c r="AA233" s="674"/>
      <c r="AB233" s="678"/>
      <c r="AC233" s="677"/>
      <c r="AD233" s="674"/>
      <c r="AE233" s="678"/>
      <c r="AF233" s="677"/>
      <c r="AG233" s="674"/>
      <c r="AH233" s="678"/>
      <c r="AI233" s="677"/>
      <c r="AJ233" s="674"/>
      <c r="AK233" s="678"/>
      <c r="AL233" s="677"/>
    </row>
    <row r="234" spans="1:38" x14ac:dyDescent="0.55000000000000004">
      <c r="A234" s="682"/>
      <c r="B234" s="682">
        <v>19231</v>
      </c>
      <c r="C234" s="684"/>
      <c r="D234" s="685"/>
      <c r="E234" s="695"/>
      <c r="F234" s="674"/>
      <c r="G234" s="675"/>
      <c r="H234" s="676"/>
      <c r="I234" s="674"/>
      <c r="J234" s="675"/>
      <c r="K234" s="677"/>
      <c r="L234" s="674"/>
      <c r="M234" s="678"/>
      <c r="N234" s="677"/>
      <c r="O234" s="674"/>
      <c r="P234" s="678"/>
      <c r="Q234" s="677"/>
      <c r="R234" s="674"/>
      <c r="S234" s="678"/>
      <c r="T234" s="677"/>
      <c r="U234" s="674"/>
      <c r="V234" s="678"/>
      <c r="W234" s="677"/>
      <c r="X234" s="674"/>
      <c r="Y234" s="678"/>
      <c r="Z234" s="677"/>
      <c r="AA234" s="674"/>
      <c r="AB234" s="678"/>
      <c r="AC234" s="677"/>
      <c r="AD234" s="674"/>
      <c r="AE234" s="678"/>
      <c r="AF234" s="677"/>
      <c r="AG234" s="674"/>
      <c r="AH234" s="678"/>
      <c r="AI234" s="677"/>
      <c r="AJ234" s="674"/>
      <c r="AK234" s="678"/>
      <c r="AL234" s="677"/>
    </row>
    <row r="235" spans="1:38" x14ac:dyDescent="0.55000000000000004">
      <c r="A235" s="686">
        <v>43687</v>
      </c>
      <c r="B235" s="682">
        <v>19232</v>
      </c>
      <c r="C235" s="675">
        <v>19076299</v>
      </c>
      <c r="D235" s="689" t="s">
        <v>1624</v>
      </c>
      <c r="E235" s="691"/>
      <c r="F235" s="674">
        <v>1</v>
      </c>
      <c r="G235" s="675" t="s">
        <v>2487</v>
      </c>
      <c r="H235" s="676" t="s">
        <v>1571</v>
      </c>
      <c r="I235" s="674">
        <v>2</v>
      </c>
      <c r="J235" s="675" t="s">
        <v>1511</v>
      </c>
      <c r="K235" s="677" t="s">
        <v>1574</v>
      </c>
      <c r="L235" s="674">
        <v>3</v>
      </c>
      <c r="M235" s="678" t="s">
        <v>1502</v>
      </c>
      <c r="N235" s="677" t="s">
        <v>1575</v>
      </c>
      <c r="O235" s="674">
        <v>4</v>
      </c>
      <c r="P235" s="678" t="s">
        <v>1498</v>
      </c>
      <c r="Q235" s="677" t="s">
        <v>1590</v>
      </c>
      <c r="R235" s="674"/>
      <c r="S235" s="680"/>
      <c r="T235" s="681"/>
      <c r="U235" s="674"/>
      <c r="V235" s="680"/>
      <c r="W235" s="681"/>
      <c r="X235" s="674"/>
      <c r="Y235" s="680"/>
      <c r="Z235" s="681"/>
      <c r="AA235" s="674"/>
      <c r="AB235" s="680"/>
      <c r="AC235" s="681"/>
      <c r="AD235" s="674"/>
      <c r="AE235" s="680"/>
      <c r="AF235" s="681"/>
      <c r="AG235" s="674"/>
      <c r="AH235" s="680"/>
      <c r="AI235" s="681"/>
      <c r="AJ235" s="674"/>
      <c r="AK235" s="680"/>
      <c r="AL235" s="681"/>
    </row>
    <row r="236" spans="1:38" x14ac:dyDescent="0.55000000000000004">
      <c r="A236" s="686">
        <v>43690</v>
      </c>
      <c r="B236" s="682">
        <v>19233</v>
      </c>
      <c r="C236" s="688"/>
      <c r="D236" s="689" t="s">
        <v>2667</v>
      </c>
      <c r="E236" s="691" t="s">
        <v>1329</v>
      </c>
      <c r="F236" s="674"/>
      <c r="G236" s="675"/>
      <c r="H236" s="676"/>
      <c r="I236" s="674"/>
      <c r="J236" s="675"/>
      <c r="K236" s="677"/>
      <c r="L236" s="674"/>
      <c r="M236" s="678"/>
      <c r="N236" s="677"/>
      <c r="O236" s="674"/>
      <c r="P236" s="678"/>
      <c r="Q236" s="677"/>
      <c r="R236" s="674"/>
      <c r="S236" s="678"/>
      <c r="T236" s="677"/>
      <c r="U236" s="674"/>
      <c r="V236" s="678"/>
      <c r="W236" s="677"/>
      <c r="X236" s="674"/>
      <c r="Y236" s="678"/>
      <c r="Z236" s="677"/>
      <c r="AA236" s="674"/>
      <c r="AB236" s="678"/>
      <c r="AC236" s="677"/>
      <c r="AD236" s="674"/>
      <c r="AE236" s="678"/>
      <c r="AF236" s="677"/>
      <c r="AG236" s="674"/>
      <c r="AH236" s="678"/>
      <c r="AI236" s="677"/>
      <c r="AJ236" s="674"/>
      <c r="AK236" s="678"/>
      <c r="AL236" s="677"/>
    </row>
    <row r="237" spans="1:38" x14ac:dyDescent="0.55000000000000004">
      <c r="A237" s="670">
        <v>43690</v>
      </c>
      <c r="B237" s="692">
        <v>19234</v>
      </c>
      <c r="C237" s="672">
        <v>19046199</v>
      </c>
      <c r="D237" s="673" t="s">
        <v>2668</v>
      </c>
      <c r="E237" s="725"/>
      <c r="F237" s="674"/>
      <c r="G237" s="675"/>
      <c r="H237" s="676"/>
      <c r="I237" s="674"/>
      <c r="J237" s="675"/>
      <c r="K237" s="677"/>
      <c r="L237" s="674"/>
      <c r="M237" s="678"/>
      <c r="N237" s="677"/>
      <c r="O237" s="674"/>
      <c r="P237" s="678"/>
      <c r="Q237" s="677"/>
      <c r="R237" s="674"/>
      <c r="S237" s="678"/>
      <c r="T237" s="677"/>
      <c r="U237" s="674"/>
      <c r="V237" s="678"/>
      <c r="W237" s="677"/>
      <c r="X237" s="674"/>
      <c r="Y237" s="678"/>
      <c r="Z237" s="677"/>
      <c r="AA237" s="674"/>
      <c r="AB237" s="678"/>
      <c r="AC237" s="677"/>
      <c r="AD237" s="674"/>
      <c r="AE237" s="678"/>
      <c r="AF237" s="677"/>
      <c r="AG237" s="674"/>
      <c r="AH237" s="678"/>
      <c r="AI237" s="677"/>
      <c r="AJ237" s="674"/>
      <c r="AK237" s="678"/>
      <c r="AL237" s="677"/>
    </row>
    <row r="238" spans="1:38" x14ac:dyDescent="0.55000000000000004">
      <c r="A238" s="682"/>
      <c r="B238" s="682">
        <v>19235</v>
      </c>
      <c r="C238" s="684"/>
      <c r="D238" s="685"/>
      <c r="E238" s="695"/>
      <c r="F238" s="674"/>
      <c r="G238" s="675"/>
      <c r="H238" s="676"/>
      <c r="I238" s="674"/>
      <c r="J238" s="675"/>
      <c r="K238" s="677"/>
      <c r="L238" s="674"/>
      <c r="M238" s="678"/>
      <c r="N238" s="677"/>
      <c r="O238" s="674"/>
      <c r="P238" s="678"/>
      <c r="Q238" s="677"/>
      <c r="R238" s="674"/>
      <c r="S238" s="678"/>
      <c r="T238" s="677"/>
      <c r="U238" s="674"/>
      <c r="V238" s="678"/>
      <c r="W238" s="677"/>
      <c r="X238" s="674"/>
      <c r="Y238" s="678"/>
      <c r="Z238" s="677"/>
      <c r="AA238" s="674"/>
      <c r="AB238" s="678"/>
      <c r="AC238" s="677"/>
      <c r="AD238" s="674"/>
      <c r="AE238" s="678"/>
      <c r="AF238" s="677"/>
      <c r="AG238" s="674"/>
      <c r="AH238" s="678"/>
      <c r="AI238" s="677"/>
      <c r="AJ238" s="674"/>
      <c r="AK238" s="678"/>
      <c r="AL238" s="677"/>
    </row>
    <row r="239" spans="1:38" x14ac:dyDescent="0.55000000000000004">
      <c r="A239" s="686">
        <v>43690</v>
      </c>
      <c r="B239" s="682">
        <v>19236</v>
      </c>
      <c r="C239" s="675">
        <v>19076281</v>
      </c>
      <c r="D239" s="689" t="s">
        <v>1624</v>
      </c>
      <c r="E239" s="691"/>
      <c r="F239" s="674">
        <v>1</v>
      </c>
      <c r="G239" s="675" t="s">
        <v>2432</v>
      </c>
      <c r="H239" s="676" t="s">
        <v>1571</v>
      </c>
      <c r="I239" s="674">
        <v>2</v>
      </c>
      <c r="J239" s="675" t="s">
        <v>1511</v>
      </c>
      <c r="K239" s="677" t="s">
        <v>1574</v>
      </c>
      <c r="L239" s="674">
        <v>3</v>
      </c>
      <c r="M239" s="678" t="s">
        <v>1502</v>
      </c>
      <c r="N239" s="677" t="s">
        <v>1575</v>
      </c>
      <c r="O239" s="674">
        <v>4</v>
      </c>
      <c r="P239" s="678" t="s">
        <v>1498</v>
      </c>
      <c r="Q239" s="677" t="s">
        <v>1596</v>
      </c>
      <c r="R239" s="674">
        <v>5</v>
      </c>
      <c r="S239" s="678" t="s">
        <v>1503</v>
      </c>
      <c r="T239" s="677" t="s">
        <v>1801</v>
      </c>
      <c r="U239" s="674"/>
      <c r="V239" s="680"/>
      <c r="W239" s="681"/>
      <c r="X239" s="674"/>
      <c r="Y239" s="680"/>
      <c r="Z239" s="681"/>
      <c r="AA239" s="674"/>
      <c r="AB239" s="680"/>
      <c r="AC239" s="681"/>
      <c r="AD239" s="674"/>
      <c r="AE239" s="680"/>
      <c r="AF239" s="681"/>
      <c r="AG239" s="674"/>
      <c r="AH239" s="680"/>
      <c r="AI239" s="681"/>
      <c r="AJ239" s="674"/>
      <c r="AK239" s="680"/>
      <c r="AL239" s="681"/>
    </row>
    <row r="240" spans="1:38" x14ac:dyDescent="0.55000000000000004">
      <c r="A240" s="686">
        <v>43691</v>
      </c>
      <c r="B240" s="682">
        <v>19237</v>
      </c>
      <c r="C240" s="675">
        <v>19076293</v>
      </c>
      <c r="D240" s="689" t="s">
        <v>1490</v>
      </c>
      <c r="E240" s="691"/>
      <c r="F240" s="674">
        <v>1</v>
      </c>
      <c r="G240" s="675" t="s">
        <v>2413</v>
      </c>
      <c r="H240" s="676" t="s">
        <v>1571</v>
      </c>
      <c r="I240" s="674">
        <v>2</v>
      </c>
      <c r="J240" s="675" t="s">
        <v>2414</v>
      </c>
      <c r="K240" s="677" t="s">
        <v>1571</v>
      </c>
      <c r="L240" s="674">
        <v>3</v>
      </c>
      <c r="M240" s="678" t="s">
        <v>2416</v>
      </c>
      <c r="N240" s="677" t="s">
        <v>1571</v>
      </c>
      <c r="O240" s="674">
        <v>4</v>
      </c>
      <c r="P240" s="678" t="s">
        <v>1511</v>
      </c>
      <c r="Q240" s="677" t="s">
        <v>1582</v>
      </c>
      <c r="R240" s="674">
        <v>5</v>
      </c>
      <c r="S240" s="678" t="s">
        <v>1502</v>
      </c>
      <c r="T240" s="677" t="s">
        <v>1582</v>
      </c>
      <c r="U240" s="674">
        <v>6</v>
      </c>
      <c r="V240" s="678" t="s">
        <v>1498</v>
      </c>
      <c r="W240" s="677" t="s">
        <v>3111</v>
      </c>
      <c r="X240" s="674">
        <v>7</v>
      </c>
      <c r="Y240" s="678" t="s">
        <v>1503</v>
      </c>
      <c r="Z240" s="677" t="s">
        <v>3112</v>
      </c>
      <c r="AA240" s="674"/>
      <c r="AB240" s="680"/>
      <c r="AC240" s="681"/>
      <c r="AD240" s="674"/>
      <c r="AE240" s="680"/>
      <c r="AF240" s="681"/>
      <c r="AG240" s="674"/>
      <c r="AH240" s="680"/>
      <c r="AI240" s="681"/>
      <c r="AJ240" s="674"/>
      <c r="AK240" s="680"/>
      <c r="AL240" s="681"/>
    </row>
    <row r="241" spans="1:38" x14ac:dyDescent="0.55000000000000004">
      <c r="A241" s="686">
        <v>43691</v>
      </c>
      <c r="B241" s="682">
        <v>19238</v>
      </c>
      <c r="C241" s="675">
        <v>19076295</v>
      </c>
      <c r="D241" s="689" t="s">
        <v>1490</v>
      </c>
      <c r="E241" s="691"/>
      <c r="F241" s="674">
        <v>1</v>
      </c>
      <c r="G241" s="675" t="s">
        <v>2492</v>
      </c>
      <c r="H241" s="676" t="s">
        <v>1571</v>
      </c>
      <c r="I241" s="674">
        <v>2</v>
      </c>
      <c r="J241" s="675" t="s">
        <v>1511</v>
      </c>
      <c r="K241" s="677" t="s">
        <v>1575</v>
      </c>
      <c r="L241" s="674">
        <v>3</v>
      </c>
      <c r="M241" s="678" t="s">
        <v>1507</v>
      </c>
      <c r="N241" s="677" t="s">
        <v>1575</v>
      </c>
      <c r="O241" s="674"/>
      <c r="P241" s="680"/>
      <c r="Q241" s="681"/>
      <c r="R241" s="674"/>
      <c r="S241" s="680"/>
      <c r="T241" s="681"/>
      <c r="U241" s="674"/>
      <c r="V241" s="680"/>
      <c r="W241" s="681"/>
      <c r="X241" s="674"/>
      <c r="Y241" s="680"/>
      <c r="Z241" s="681"/>
      <c r="AA241" s="674"/>
      <c r="AB241" s="680"/>
      <c r="AC241" s="681"/>
      <c r="AD241" s="674"/>
      <c r="AE241" s="680"/>
      <c r="AF241" s="681"/>
      <c r="AG241" s="674"/>
      <c r="AH241" s="680"/>
      <c r="AI241" s="681"/>
      <c r="AJ241" s="674"/>
      <c r="AK241" s="680"/>
      <c r="AL241" s="681"/>
    </row>
    <row r="242" spans="1:38" x14ac:dyDescent="0.55000000000000004">
      <c r="A242" s="686">
        <v>43693</v>
      </c>
      <c r="B242" s="682">
        <v>19239</v>
      </c>
      <c r="C242" s="675">
        <v>19086302</v>
      </c>
      <c r="D242" s="689" t="s">
        <v>1331</v>
      </c>
      <c r="E242" s="691"/>
      <c r="F242" s="674">
        <v>1</v>
      </c>
      <c r="G242" s="675" t="s">
        <v>2480</v>
      </c>
      <c r="H242" s="676" t="s">
        <v>1579</v>
      </c>
      <c r="I242" s="674">
        <v>2</v>
      </c>
      <c r="J242" s="675" t="s">
        <v>1511</v>
      </c>
      <c r="K242" s="677" t="s">
        <v>1583</v>
      </c>
      <c r="L242" s="674">
        <v>3</v>
      </c>
      <c r="M242" s="678" t="s">
        <v>1503</v>
      </c>
      <c r="N242" s="677" t="s">
        <v>1632</v>
      </c>
      <c r="O242" s="674"/>
      <c r="P242" s="680"/>
      <c r="Q242" s="681"/>
      <c r="R242" s="674"/>
      <c r="S242" s="680"/>
      <c r="T242" s="681"/>
      <c r="U242" s="674"/>
      <c r="V242" s="680"/>
      <c r="W242" s="681"/>
      <c r="X242" s="674"/>
      <c r="Y242" s="680"/>
      <c r="Z242" s="681"/>
      <c r="AA242" s="674"/>
      <c r="AB242" s="680"/>
      <c r="AC242" s="681"/>
      <c r="AD242" s="674"/>
      <c r="AE242" s="680"/>
      <c r="AF242" s="681"/>
      <c r="AG242" s="674"/>
      <c r="AH242" s="680"/>
      <c r="AI242" s="681"/>
      <c r="AJ242" s="674"/>
      <c r="AK242" s="680"/>
      <c r="AL242" s="681"/>
    </row>
    <row r="243" spans="1:38" x14ac:dyDescent="0.55000000000000004">
      <c r="A243" s="670">
        <v>43694</v>
      </c>
      <c r="B243" s="692">
        <v>19240</v>
      </c>
      <c r="C243" s="672">
        <v>19076287</v>
      </c>
      <c r="D243" s="673" t="s">
        <v>2669</v>
      </c>
      <c r="E243" s="725"/>
      <c r="F243" s="674">
        <v>1</v>
      </c>
      <c r="G243" s="675" t="s">
        <v>847</v>
      </c>
      <c r="H243" s="676" t="s">
        <v>1571</v>
      </c>
      <c r="I243" s="674">
        <v>2</v>
      </c>
      <c r="J243" s="675" t="s">
        <v>1503</v>
      </c>
      <c r="K243" s="677" t="s">
        <v>1597</v>
      </c>
      <c r="L243" s="674"/>
      <c r="M243" s="680"/>
      <c r="N243" s="681"/>
      <c r="O243" s="674"/>
      <c r="P243" s="680"/>
      <c r="Q243" s="681"/>
      <c r="R243" s="674"/>
      <c r="S243" s="680"/>
      <c r="T243" s="681"/>
      <c r="U243" s="674"/>
      <c r="V243" s="680"/>
      <c r="W243" s="681"/>
      <c r="X243" s="674"/>
      <c r="Y243" s="680"/>
      <c r="Z243" s="681"/>
      <c r="AA243" s="674"/>
      <c r="AB243" s="680"/>
      <c r="AC243" s="681"/>
      <c r="AD243" s="674"/>
      <c r="AE243" s="680"/>
      <c r="AF243" s="681"/>
      <c r="AG243" s="674"/>
      <c r="AH243" s="680"/>
      <c r="AI243" s="681"/>
      <c r="AJ243" s="674"/>
      <c r="AK243" s="680"/>
      <c r="AL243" s="681"/>
    </row>
    <row r="244" spans="1:38" x14ac:dyDescent="0.55000000000000004">
      <c r="A244" s="682"/>
      <c r="B244" s="682">
        <v>19241</v>
      </c>
      <c r="C244" s="684"/>
      <c r="D244" s="685"/>
      <c r="E244" s="695"/>
      <c r="F244" s="674">
        <v>1</v>
      </c>
      <c r="G244" s="675" t="s">
        <v>847</v>
      </c>
      <c r="H244" s="676" t="s">
        <v>1571</v>
      </c>
      <c r="I244" s="674">
        <v>2</v>
      </c>
      <c r="J244" s="675" t="s">
        <v>1503</v>
      </c>
      <c r="K244" s="677" t="s">
        <v>1597</v>
      </c>
      <c r="L244" s="674"/>
      <c r="M244" s="680"/>
      <c r="N244" s="681"/>
      <c r="O244" s="674"/>
      <c r="P244" s="680"/>
      <c r="Q244" s="681"/>
      <c r="R244" s="674"/>
      <c r="S244" s="680"/>
      <c r="T244" s="681"/>
      <c r="U244" s="674"/>
      <c r="V244" s="680"/>
      <c r="W244" s="681"/>
      <c r="X244" s="674"/>
      <c r="Y244" s="680"/>
      <c r="Z244" s="681"/>
      <c r="AA244" s="674"/>
      <c r="AB244" s="680"/>
      <c r="AC244" s="681"/>
      <c r="AD244" s="674"/>
      <c r="AE244" s="680"/>
      <c r="AF244" s="681"/>
      <c r="AG244" s="674"/>
      <c r="AH244" s="680"/>
      <c r="AI244" s="681"/>
      <c r="AJ244" s="674"/>
      <c r="AK244" s="680"/>
      <c r="AL244" s="681"/>
    </row>
    <row r="245" spans="1:38" x14ac:dyDescent="0.55000000000000004">
      <c r="A245" s="686">
        <v>43694</v>
      </c>
      <c r="B245" s="682">
        <v>19242</v>
      </c>
      <c r="C245" s="688"/>
      <c r="D245" s="689" t="s">
        <v>2670</v>
      </c>
      <c r="E245" s="691"/>
      <c r="F245" s="674"/>
      <c r="G245" s="675"/>
      <c r="H245" s="676"/>
      <c r="I245" s="674"/>
      <c r="J245" s="675"/>
      <c r="K245" s="677"/>
      <c r="L245" s="674"/>
      <c r="M245" s="678"/>
      <c r="N245" s="677"/>
      <c r="O245" s="674"/>
      <c r="P245" s="678"/>
      <c r="Q245" s="677"/>
      <c r="R245" s="674"/>
      <c r="S245" s="678"/>
      <c r="T245" s="677"/>
      <c r="U245" s="674"/>
      <c r="V245" s="678"/>
      <c r="W245" s="677"/>
      <c r="X245" s="674"/>
      <c r="Y245" s="678"/>
      <c r="Z245" s="677"/>
      <c r="AA245" s="674"/>
      <c r="AB245" s="678"/>
      <c r="AC245" s="677"/>
      <c r="AD245" s="674"/>
      <c r="AE245" s="678"/>
      <c r="AF245" s="677"/>
      <c r="AG245" s="674"/>
      <c r="AH245" s="678"/>
      <c r="AI245" s="677"/>
      <c r="AJ245" s="674"/>
      <c r="AK245" s="678"/>
      <c r="AL245" s="677"/>
    </row>
    <row r="246" spans="1:38" x14ac:dyDescent="0.55000000000000004">
      <c r="A246" s="686">
        <v>43694</v>
      </c>
      <c r="B246" s="682">
        <v>19243</v>
      </c>
      <c r="C246" s="688"/>
      <c r="D246" s="689" t="s">
        <v>2670</v>
      </c>
      <c r="E246" s="691"/>
      <c r="F246" s="674"/>
      <c r="G246" s="675"/>
      <c r="H246" s="676"/>
      <c r="I246" s="674"/>
      <c r="J246" s="675"/>
      <c r="K246" s="677"/>
      <c r="L246" s="674"/>
      <c r="M246" s="678"/>
      <c r="N246" s="677"/>
      <c r="O246" s="674"/>
      <c r="P246" s="678"/>
      <c r="Q246" s="677"/>
      <c r="R246" s="674"/>
      <c r="S246" s="678"/>
      <c r="T246" s="677"/>
      <c r="U246" s="674"/>
      <c r="V246" s="678"/>
      <c r="W246" s="677"/>
      <c r="X246" s="674"/>
      <c r="Y246" s="678"/>
      <c r="Z246" s="677"/>
      <c r="AA246" s="674"/>
      <c r="AB246" s="678"/>
      <c r="AC246" s="677"/>
      <c r="AD246" s="674"/>
      <c r="AE246" s="678"/>
      <c r="AF246" s="677"/>
      <c r="AG246" s="674"/>
      <c r="AH246" s="678"/>
      <c r="AI246" s="677"/>
      <c r="AJ246" s="674"/>
      <c r="AK246" s="678"/>
      <c r="AL246" s="677"/>
    </row>
    <row r="247" spans="1:38" x14ac:dyDescent="0.55000000000000004">
      <c r="A247" s="670">
        <v>43697</v>
      </c>
      <c r="B247" s="692">
        <v>19244</v>
      </c>
      <c r="C247" s="672">
        <v>19086333</v>
      </c>
      <c r="D247" s="673" t="s">
        <v>2671</v>
      </c>
      <c r="E247" s="725"/>
      <c r="F247" s="674">
        <v>1</v>
      </c>
      <c r="G247" s="675" t="s">
        <v>593</v>
      </c>
      <c r="H247" s="676" t="s">
        <v>1579</v>
      </c>
      <c r="I247" s="674">
        <v>2</v>
      </c>
      <c r="J247" s="675" t="s">
        <v>1929</v>
      </c>
      <c r="K247" s="677" t="s">
        <v>1583</v>
      </c>
      <c r="L247" s="674">
        <v>3</v>
      </c>
      <c r="M247" s="678" t="s">
        <v>1507</v>
      </c>
      <c r="N247" s="677" t="s">
        <v>1583</v>
      </c>
      <c r="O247" s="674">
        <v>4</v>
      </c>
      <c r="P247" s="678" t="s">
        <v>1508</v>
      </c>
      <c r="Q247" s="677" t="s">
        <v>1927</v>
      </c>
      <c r="R247" s="674"/>
      <c r="S247" s="680"/>
      <c r="T247" s="681"/>
      <c r="U247" s="674"/>
      <c r="V247" s="680"/>
      <c r="W247" s="681"/>
      <c r="X247" s="674"/>
      <c r="Y247" s="680"/>
      <c r="Z247" s="681"/>
      <c r="AA247" s="674"/>
      <c r="AB247" s="680"/>
      <c r="AC247" s="681"/>
      <c r="AD247" s="674"/>
      <c r="AE247" s="680"/>
      <c r="AF247" s="681"/>
      <c r="AG247" s="674"/>
      <c r="AH247" s="680"/>
      <c r="AI247" s="681"/>
      <c r="AJ247" s="674"/>
      <c r="AK247" s="680"/>
      <c r="AL247" s="681"/>
    </row>
    <row r="248" spans="1:38" x14ac:dyDescent="0.55000000000000004">
      <c r="A248" s="682"/>
      <c r="B248" s="682">
        <v>19245</v>
      </c>
      <c r="C248" s="684"/>
      <c r="D248" s="685"/>
      <c r="E248" s="695"/>
      <c r="F248" s="674">
        <v>1</v>
      </c>
      <c r="G248" s="675" t="s">
        <v>593</v>
      </c>
      <c r="H248" s="676" t="s">
        <v>1579</v>
      </c>
      <c r="I248" s="674">
        <v>2</v>
      </c>
      <c r="J248" s="675" t="s">
        <v>1929</v>
      </c>
      <c r="K248" s="677" t="s">
        <v>1583</v>
      </c>
      <c r="L248" s="674">
        <v>3</v>
      </c>
      <c r="M248" s="678" t="s">
        <v>1507</v>
      </c>
      <c r="N248" s="677" t="s">
        <v>1583</v>
      </c>
      <c r="O248" s="674">
        <v>4</v>
      </c>
      <c r="P248" s="678" t="s">
        <v>1508</v>
      </c>
      <c r="Q248" s="677" t="s">
        <v>1927</v>
      </c>
      <c r="R248" s="674"/>
      <c r="S248" s="680"/>
      <c r="T248" s="681"/>
      <c r="U248" s="674"/>
      <c r="V248" s="680"/>
      <c r="W248" s="681"/>
      <c r="X248" s="674"/>
      <c r="Y248" s="680"/>
      <c r="Z248" s="681"/>
      <c r="AA248" s="674"/>
      <c r="AB248" s="680"/>
      <c r="AC248" s="681"/>
      <c r="AD248" s="674"/>
      <c r="AE248" s="680"/>
      <c r="AF248" s="681"/>
      <c r="AG248" s="674"/>
      <c r="AH248" s="680"/>
      <c r="AI248" s="681"/>
      <c r="AJ248" s="674"/>
      <c r="AK248" s="680"/>
      <c r="AL248" s="681"/>
    </row>
    <row r="249" spans="1:38" x14ac:dyDescent="0.55000000000000004">
      <c r="A249" s="686">
        <v>43697</v>
      </c>
      <c r="B249" s="682">
        <v>19246</v>
      </c>
      <c r="C249" s="675">
        <v>19066244</v>
      </c>
      <c r="D249" s="689" t="s">
        <v>1736</v>
      </c>
      <c r="E249" s="691"/>
      <c r="F249" s="674"/>
      <c r="G249" s="675"/>
      <c r="H249" s="676"/>
      <c r="I249" s="674"/>
      <c r="J249" s="675"/>
      <c r="K249" s="677"/>
      <c r="L249" s="674"/>
      <c r="M249" s="678"/>
      <c r="N249" s="677"/>
      <c r="O249" s="674"/>
      <c r="P249" s="678"/>
      <c r="Q249" s="677"/>
      <c r="R249" s="674"/>
      <c r="S249" s="678"/>
      <c r="T249" s="677"/>
      <c r="U249" s="674"/>
      <c r="V249" s="678"/>
      <c r="W249" s="677"/>
      <c r="X249" s="674"/>
      <c r="Y249" s="678"/>
      <c r="Z249" s="677"/>
      <c r="AA249" s="674"/>
      <c r="AB249" s="678"/>
      <c r="AC249" s="677"/>
      <c r="AD249" s="674"/>
      <c r="AE249" s="678"/>
      <c r="AF249" s="677"/>
      <c r="AG249" s="674"/>
      <c r="AH249" s="678"/>
      <c r="AI249" s="677"/>
      <c r="AJ249" s="674"/>
      <c r="AK249" s="678"/>
      <c r="AL249" s="677"/>
    </row>
    <row r="250" spans="1:38" x14ac:dyDescent="0.55000000000000004">
      <c r="A250" s="670">
        <v>43699</v>
      </c>
      <c r="B250" s="692">
        <v>19247</v>
      </c>
      <c r="C250" s="672">
        <v>19076287</v>
      </c>
      <c r="D250" s="673" t="s">
        <v>2669</v>
      </c>
      <c r="E250" s="725"/>
      <c r="F250" s="674">
        <v>1</v>
      </c>
      <c r="G250" s="675" t="s">
        <v>3119</v>
      </c>
      <c r="H250" s="676" t="s">
        <v>1571</v>
      </c>
      <c r="I250" s="674">
        <v>2</v>
      </c>
      <c r="J250" s="675" t="s">
        <v>1634</v>
      </c>
      <c r="K250" s="677" t="s">
        <v>1575</v>
      </c>
      <c r="L250" s="674">
        <v>3</v>
      </c>
      <c r="M250" s="678" t="s">
        <v>1631</v>
      </c>
      <c r="N250" s="677" t="s">
        <v>1575</v>
      </c>
      <c r="O250" s="674">
        <v>4</v>
      </c>
      <c r="P250" s="678" t="s">
        <v>2940</v>
      </c>
      <c r="Q250" s="677" t="s">
        <v>1575</v>
      </c>
      <c r="R250" s="674">
        <v>5</v>
      </c>
      <c r="S250" s="678" t="s">
        <v>1513</v>
      </c>
      <c r="T250" s="677" t="s">
        <v>1575</v>
      </c>
      <c r="U250" s="674">
        <v>6</v>
      </c>
      <c r="V250" s="678" t="s">
        <v>1900</v>
      </c>
      <c r="W250" s="677" t="s">
        <v>1587</v>
      </c>
      <c r="X250" s="674">
        <v>7</v>
      </c>
      <c r="Y250" s="678" t="s">
        <v>1515</v>
      </c>
      <c r="Z250" s="677" t="s">
        <v>3120</v>
      </c>
      <c r="AA250" s="674">
        <v>8</v>
      </c>
      <c r="AB250" s="678" t="s">
        <v>1503</v>
      </c>
      <c r="AC250" s="677" t="s">
        <v>1585</v>
      </c>
      <c r="AD250" s="674"/>
      <c r="AE250" s="680"/>
      <c r="AF250" s="681"/>
      <c r="AG250" s="674"/>
      <c r="AH250" s="680"/>
      <c r="AI250" s="681"/>
      <c r="AJ250" s="674"/>
      <c r="AK250" s="680"/>
      <c r="AL250" s="681"/>
    </row>
    <row r="251" spans="1:38" x14ac:dyDescent="0.55000000000000004">
      <c r="A251" s="698"/>
      <c r="B251" s="703">
        <v>19248</v>
      </c>
      <c r="C251" s="700"/>
      <c r="D251" s="701"/>
      <c r="E251" s="726"/>
      <c r="F251" s="674">
        <v>1</v>
      </c>
      <c r="G251" s="675" t="s">
        <v>3116</v>
      </c>
      <c r="H251" s="676" t="s">
        <v>1571</v>
      </c>
      <c r="I251" s="674">
        <v>2</v>
      </c>
      <c r="J251" s="675" t="s">
        <v>1634</v>
      </c>
      <c r="K251" s="677" t="s">
        <v>1583</v>
      </c>
      <c r="L251" s="674">
        <v>3</v>
      </c>
      <c r="M251" s="678" t="s">
        <v>3117</v>
      </c>
      <c r="N251" s="677" t="s">
        <v>1586</v>
      </c>
      <c r="O251" s="674">
        <v>4</v>
      </c>
      <c r="P251" s="678" t="s">
        <v>1498</v>
      </c>
      <c r="Q251" s="677" t="s">
        <v>3118</v>
      </c>
      <c r="R251" s="674">
        <v>5</v>
      </c>
      <c r="S251" s="678" t="s">
        <v>1503</v>
      </c>
      <c r="T251" s="677" t="s">
        <v>1585</v>
      </c>
      <c r="U251" s="674"/>
      <c r="V251" s="680"/>
      <c r="W251" s="681"/>
      <c r="X251" s="674"/>
      <c r="Y251" s="680"/>
      <c r="Z251" s="681"/>
      <c r="AA251" s="674"/>
      <c r="AB251" s="680"/>
      <c r="AC251" s="681"/>
      <c r="AD251" s="674"/>
      <c r="AE251" s="680"/>
      <c r="AF251" s="681"/>
      <c r="AG251" s="674"/>
      <c r="AH251" s="680"/>
      <c r="AI251" s="681"/>
      <c r="AJ251" s="674"/>
      <c r="AK251" s="680"/>
      <c r="AL251" s="681"/>
    </row>
    <row r="252" spans="1:38" x14ac:dyDescent="0.55000000000000004">
      <c r="A252" s="682"/>
      <c r="B252" s="682">
        <v>19249</v>
      </c>
      <c r="C252" s="684"/>
      <c r="D252" s="685"/>
      <c r="E252" s="695"/>
      <c r="F252" s="674">
        <v>1</v>
      </c>
      <c r="G252" s="675" t="s">
        <v>3114</v>
      </c>
      <c r="H252" s="676" t="s">
        <v>1571</v>
      </c>
      <c r="I252" s="674">
        <v>2</v>
      </c>
      <c r="J252" s="675" t="s">
        <v>1634</v>
      </c>
      <c r="K252" s="677" t="s">
        <v>1574</v>
      </c>
      <c r="L252" s="674">
        <v>3</v>
      </c>
      <c r="M252" s="678" t="s">
        <v>1631</v>
      </c>
      <c r="N252" s="677" t="s">
        <v>1586</v>
      </c>
      <c r="O252" s="674">
        <v>4</v>
      </c>
      <c r="P252" s="678" t="s">
        <v>2940</v>
      </c>
      <c r="Q252" s="677" t="s">
        <v>1586</v>
      </c>
      <c r="R252" s="674">
        <v>5</v>
      </c>
      <c r="S252" s="678" t="s">
        <v>1513</v>
      </c>
      <c r="T252" s="677" t="s">
        <v>1586</v>
      </c>
      <c r="U252" s="674">
        <v>6</v>
      </c>
      <c r="V252" s="678" t="s">
        <v>1498</v>
      </c>
      <c r="W252" s="677" t="s">
        <v>3115</v>
      </c>
      <c r="X252" s="674">
        <v>7</v>
      </c>
      <c r="Y252" s="678" t="s">
        <v>1503</v>
      </c>
      <c r="Z252" s="677" t="s">
        <v>1585</v>
      </c>
      <c r="AA252" s="674"/>
      <c r="AB252" s="680"/>
      <c r="AC252" s="681"/>
      <c r="AD252" s="674"/>
      <c r="AE252" s="680"/>
      <c r="AF252" s="681"/>
      <c r="AG252" s="674"/>
      <c r="AH252" s="680"/>
      <c r="AI252" s="681"/>
      <c r="AJ252" s="674"/>
      <c r="AK252" s="680"/>
      <c r="AL252" s="681"/>
    </row>
    <row r="253" spans="1:38" x14ac:dyDescent="0.55000000000000004">
      <c r="A253" s="670">
        <v>43699</v>
      </c>
      <c r="B253" s="692">
        <v>19250</v>
      </c>
      <c r="C253" s="672">
        <v>19086308</v>
      </c>
      <c r="D253" s="673" t="s">
        <v>2672</v>
      </c>
      <c r="E253" s="725"/>
      <c r="F253" s="674">
        <v>1</v>
      </c>
      <c r="G253" s="675" t="s">
        <v>829</v>
      </c>
      <c r="H253" s="676" t="s">
        <v>1571</v>
      </c>
      <c r="I253" s="674">
        <v>2</v>
      </c>
      <c r="J253" s="675" t="s">
        <v>2545</v>
      </c>
      <c r="K253" s="677" t="s">
        <v>1571</v>
      </c>
      <c r="L253" s="674">
        <v>3</v>
      </c>
      <c r="M253" s="678" t="s">
        <v>1634</v>
      </c>
      <c r="N253" s="677" t="s">
        <v>1583</v>
      </c>
      <c r="O253" s="674">
        <v>4</v>
      </c>
      <c r="P253" s="678" t="s">
        <v>1502</v>
      </c>
      <c r="Q253" s="677" t="s">
        <v>1575</v>
      </c>
      <c r="R253" s="674">
        <v>5</v>
      </c>
      <c r="S253" s="678" t="s">
        <v>1507</v>
      </c>
      <c r="T253" s="677" t="s">
        <v>1575</v>
      </c>
      <c r="U253" s="674">
        <v>6</v>
      </c>
      <c r="V253" s="678" t="s">
        <v>1498</v>
      </c>
      <c r="W253" s="677" t="s">
        <v>3101</v>
      </c>
      <c r="X253" s="674"/>
      <c r="Y253" s="680"/>
      <c r="Z253" s="681"/>
      <c r="AA253" s="674"/>
      <c r="AB253" s="680"/>
      <c r="AC253" s="681"/>
      <c r="AD253" s="674"/>
      <c r="AE253" s="680"/>
      <c r="AF253" s="681"/>
      <c r="AG253" s="674"/>
      <c r="AH253" s="680"/>
      <c r="AI253" s="681"/>
      <c r="AJ253" s="674"/>
      <c r="AK253" s="680"/>
      <c r="AL253" s="681"/>
    </row>
    <row r="254" spans="1:38" x14ac:dyDescent="0.55000000000000004">
      <c r="A254" s="682"/>
      <c r="B254" s="682">
        <v>19251</v>
      </c>
      <c r="C254" s="684"/>
      <c r="D254" s="685"/>
      <c r="E254" s="695"/>
      <c r="F254" s="674">
        <v>1</v>
      </c>
      <c r="G254" s="675" t="s">
        <v>2545</v>
      </c>
      <c r="H254" s="676" t="s">
        <v>1571</v>
      </c>
      <c r="I254" s="674">
        <v>2</v>
      </c>
      <c r="J254" s="675" t="s">
        <v>1634</v>
      </c>
      <c r="K254" s="677" t="s">
        <v>1574</v>
      </c>
      <c r="L254" s="674">
        <v>3</v>
      </c>
      <c r="M254" s="678" t="s">
        <v>1502</v>
      </c>
      <c r="N254" s="677" t="s">
        <v>1575</v>
      </c>
      <c r="O254" s="674">
        <v>4</v>
      </c>
      <c r="P254" s="678" t="s">
        <v>1498</v>
      </c>
      <c r="Q254" s="677" t="s">
        <v>1590</v>
      </c>
      <c r="R254" s="674"/>
      <c r="S254" s="680"/>
      <c r="T254" s="681"/>
      <c r="U254" s="674"/>
      <c r="V254" s="680"/>
      <c r="W254" s="681"/>
      <c r="X254" s="674"/>
      <c r="Y254" s="680"/>
      <c r="Z254" s="681"/>
      <c r="AA254" s="674"/>
      <c r="AB254" s="680"/>
      <c r="AC254" s="681"/>
      <c r="AD254" s="674"/>
      <c r="AE254" s="680"/>
      <c r="AF254" s="681"/>
      <c r="AG254" s="674"/>
      <c r="AH254" s="680"/>
      <c r="AI254" s="681"/>
      <c r="AJ254" s="674"/>
      <c r="AK254" s="680"/>
      <c r="AL254" s="681"/>
    </row>
    <row r="255" spans="1:38" x14ac:dyDescent="0.55000000000000004">
      <c r="A255" s="686">
        <v>43699</v>
      </c>
      <c r="B255" s="682">
        <v>19252</v>
      </c>
      <c r="C255" s="688"/>
      <c r="D255" s="689" t="s">
        <v>2670</v>
      </c>
      <c r="E255" s="1033"/>
      <c r="F255" s="674"/>
      <c r="G255" s="675"/>
      <c r="H255" s="676"/>
      <c r="I255" s="674"/>
      <c r="J255" s="675"/>
      <c r="K255" s="677"/>
      <c r="L255" s="674"/>
      <c r="M255" s="678"/>
      <c r="N255" s="677"/>
      <c r="O255" s="674"/>
      <c r="P255" s="678"/>
      <c r="Q255" s="677"/>
      <c r="R255" s="674"/>
      <c r="S255" s="678"/>
      <c r="T255" s="677"/>
      <c r="U255" s="674"/>
      <c r="V255" s="678"/>
      <c r="W255" s="677"/>
      <c r="X255" s="674"/>
      <c r="Y255" s="678"/>
      <c r="Z255" s="677"/>
      <c r="AA255" s="674"/>
      <c r="AB255" s="678"/>
      <c r="AC255" s="677"/>
      <c r="AD255" s="674"/>
      <c r="AE255" s="678"/>
      <c r="AF255" s="677"/>
      <c r="AG255" s="674"/>
      <c r="AH255" s="678"/>
      <c r="AI255" s="677"/>
      <c r="AJ255" s="674"/>
      <c r="AK255" s="678"/>
      <c r="AL255" s="677"/>
    </row>
    <row r="256" spans="1:38" x14ac:dyDescent="0.55000000000000004">
      <c r="A256" s="686">
        <v>43700</v>
      </c>
      <c r="B256" s="682">
        <v>19253</v>
      </c>
      <c r="C256" s="675">
        <v>19086326</v>
      </c>
      <c r="D256" s="689" t="s">
        <v>1490</v>
      </c>
      <c r="E256" s="691"/>
      <c r="F256" s="674">
        <v>1</v>
      </c>
      <c r="G256" s="675" t="s">
        <v>830</v>
      </c>
      <c r="H256" s="676" t="s">
        <v>1571</v>
      </c>
      <c r="I256" s="674">
        <v>2</v>
      </c>
      <c r="J256" s="675" t="s">
        <v>2588</v>
      </c>
      <c r="K256" s="677" t="s">
        <v>1797</v>
      </c>
      <c r="L256" s="674">
        <v>3</v>
      </c>
      <c r="M256" s="678" t="s">
        <v>740</v>
      </c>
      <c r="N256" s="677" t="s">
        <v>1579</v>
      </c>
      <c r="O256" s="674">
        <v>4</v>
      </c>
      <c r="P256" s="678" t="s">
        <v>1511</v>
      </c>
      <c r="Q256" s="677" t="s">
        <v>1582</v>
      </c>
      <c r="R256" s="674">
        <v>5</v>
      </c>
      <c r="S256" s="678" t="s">
        <v>1507</v>
      </c>
      <c r="T256" s="677" t="s">
        <v>3092</v>
      </c>
      <c r="U256" s="674">
        <v>6</v>
      </c>
      <c r="V256" s="678" t="s">
        <v>1498</v>
      </c>
      <c r="W256" s="677" t="s">
        <v>3099</v>
      </c>
      <c r="X256" s="674"/>
      <c r="Y256" s="680"/>
      <c r="Z256" s="681"/>
      <c r="AA256" s="674"/>
      <c r="AB256" s="680"/>
      <c r="AC256" s="681"/>
      <c r="AD256" s="674"/>
      <c r="AE256" s="680"/>
      <c r="AF256" s="681"/>
      <c r="AG256" s="674"/>
      <c r="AH256" s="680"/>
      <c r="AI256" s="681"/>
      <c r="AJ256" s="674"/>
      <c r="AK256" s="680"/>
      <c r="AL256" s="681"/>
    </row>
    <row r="257" spans="1:38" x14ac:dyDescent="0.55000000000000004">
      <c r="A257" s="686">
        <v>43703</v>
      </c>
      <c r="B257" s="682">
        <v>19254</v>
      </c>
      <c r="C257" s="675">
        <v>19086303</v>
      </c>
      <c r="D257" s="689" t="s">
        <v>1452</v>
      </c>
      <c r="E257" s="691"/>
      <c r="F257" s="674">
        <v>1</v>
      </c>
      <c r="G257" s="675" t="s">
        <v>2410</v>
      </c>
      <c r="H257" s="676" t="s">
        <v>1571</v>
      </c>
      <c r="I257" s="674">
        <v>2</v>
      </c>
      <c r="J257" s="675" t="s">
        <v>1511</v>
      </c>
      <c r="K257" s="677" t="s">
        <v>1575</v>
      </c>
      <c r="L257" s="674">
        <v>3</v>
      </c>
      <c r="M257" s="678" t="s">
        <v>1502</v>
      </c>
      <c r="N257" s="677" t="s">
        <v>1575</v>
      </c>
      <c r="O257" s="674">
        <v>4</v>
      </c>
      <c r="P257" s="678" t="s">
        <v>1503</v>
      </c>
      <c r="Q257" s="677" t="s">
        <v>1597</v>
      </c>
      <c r="R257" s="674"/>
      <c r="S257" s="680"/>
      <c r="T257" s="681"/>
      <c r="U257" s="674"/>
      <c r="V257" s="680"/>
      <c r="W257" s="681"/>
      <c r="X257" s="674"/>
      <c r="Y257" s="680"/>
      <c r="Z257" s="681"/>
      <c r="AA257" s="674"/>
      <c r="AB257" s="680"/>
      <c r="AC257" s="681"/>
      <c r="AD257" s="674"/>
      <c r="AE257" s="680"/>
      <c r="AF257" s="681"/>
      <c r="AG257" s="674"/>
      <c r="AH257" s="680"/>
      <c r="AI257" s="681"/>
      <c r="AJ257" s="674"/>
      <c r="AK257" s="680"/>
      <c r="AL257" s="681"/>
    </row>
    <row r="258" spans="1:38" x14ac:dyDescent="0.55000000000000004">
      <c r="A258" s="670">
        <v>43706</v>
      </c>
      <c r="B258" s="692">
        <v>19255</v>
      </c>
      <c r="C258" s="672">
        <v>18085914</v>
      </c>
      <c r="D258" s="673" t="s">
        <v>2147</v>
      </c>
      <c r="E258" s="725"/>
      <c r="F258" s="674"/>
      <c r="G258" s="675"/>
      <c r="H258" s="676"/>
      <c r="I258" s="674"/>
      <c r="J258" s="675"/>
      <c r="K258" s="677"/>
      <c r="L258" s="674"/>
      <c r="M258" s="678"/>
      <c r="N258" s="677"/>
      <c r="O258" s="674"/>
      <c r="P258" s="678"/>
      <c r="Q258" s="677"/>
      <c r="R258" s="674"/>
      <c r="S258" s="678"/>
      <c r="T258" s="677"/>
      <c r="U258" s="674"/>
      <c r="V258" s="678"/>
      <c r="W258" s="677"/>
      <c r="X258" s="674"/>
      <c r="Y258" s="678"/>
      <c r="Z258" s="677"/>
      <c r="AA258" s="674"/>
      <c r="AB258" s="678"/>
      <c r="AC258" s="677"/>
      <c r="AD258" s="674"/>
      <c r="AE258" s="678"/>
      <c r="AF258" s="677"/>
      <c r="AG258" s="674"/>
      <c r="AH258" s="678"/>
      <c r="AI258" s="677"/>
      <c r="AJ258" s="674"/>
      <c r="AK258" s="678"/>
      <c r="AL258" s="677"/>
    </row>
    <row r="259" spans="1:38" x14ac:dyDescent="0.55000000000000004">
      <c r="A259" s="682"/>
      <c r="B259" s="682">
        <v>19256</v>
      </c>
      <c r="C259" s="684"/>
      <c r="D259" s="685"/>
      <c r="E259" s="695"/>
      <c r="F259" s="674"/>
      <c r="G259" s="675"/>
      <c r="H259" s="676"/>
      <c r="I259" s="674"/>
      <c r="J259" s="675"/>
      <c r="K259" s="677"/>
      <c r="L259" s="674"/>
      <c r="M259" s="678"/>
      <c r="N259" s="677"/>
      <c r="O259" s="674"/>
      <c r="P259" s="678"/>
      <c r="Q259" s="677"/>
      <c r="R259" s="674"/>
      <c r="S259" s="678"/>
      <c r="T259" s="677"/>
      <c r="U259" s="674"/>
      <c r="V259" s="678"/>
      <c r="W259" s="677"/>
      <c r="X259" s="674"/>
      <c r="Y259" s="678"/>
      <c r="Z259" s="677"/>
      <c r="AA259" s="674"/>
      <c r="AB259" s="678"/>
      <c r="AC259" s="677"/>
      <c r="AD259" s="674"/>
      <c r="AE259" s="678"/>
      <c r="AF259" s="677"/>
      <c r="AG259" s="674"/>
      <c r="AH259" s="678"/>
      <c r="AI259" s="677"/>
      <c r="AJ259" s="674"/>
      <c r="AK259" s="678"/>
      <c r="AL259" s="677"/>
    </row>
    <row r="260" spans="1:38" x14ac:dyDescent="0.55000000000000004">
      <c r="A260" s="670">
        <v>43706</v>
      </c>
      <c r="B260" s="692">
        <v>19257</v>
      </c>
      <c r="C260" s="672">
        <v>19076278</v>
      </c>
      <c r="D260" s="673" t="s">
        <v>2673</v>
      </c>
      <c r="E260" s="725"/>
      <c r="F260" s="674"/>
      <c r="G260" s="675"/>
      <c r="H260" s="676"/>
      <c r="I260" s="674"/>
      <c r="J260" s="675"/>
      <c r="K260" s="677"/>
      <c r="L260" s="674"/>
      <c r="M260" s="678"/>
      <c r="N260" s="677"/>
      <c r="O260" s="674"/>
      <c r="P260" s="678"/>
      <c r="Q260" s="677"/>
      <c r="R260" s="674"/>
      <c r="S260" s="678"/>
      <c r="T260" s="677"/>
      <c r="U260" s="674"/>
      <c r="V260" s="678"/>
      <c r="W260" s="677"/>
      <c r="X260" s="674"/>
      <c r="Y260" s="678"/>
      <c r="Z260" s="677"/>
      <c r="AA260" s="674"/>
      <c r="AB260" s="678"/>
      <c r="AC260" s="677"/>
      <c r="AD260" s="674"/>
      <c r="AE260" s="678"/>
      <c r="AF260" s="677"/>
      <c r="AG260" s="674"/>
      <c r="AH260" s="678"/>
      <c r="AI260" s="677"/>
      <c r="AJ260" s="674"/>
      <c r="AK260" s="678"/>
      <c r="AL260" s="677"/>
    </row>
    <row r="261" spans="1:38" x14ac:dyDescent="0.55000000000000004">
      <c r="A261" s="682"/>
      <c r="B261" s="682">
        <v>19258</v>
      </c>
      <c r="C261" s="684"/>
      <c r="D261" s="685"/>
      <c r="E261" s="695"/>
      <c r="F261" s="674"/>
      <c r="G261" s="675"/>
      <c r="H261" s="676"/>
      <c r="I261" s="674"/>
      <c r="J261" s="675"/>
      <c r="K261" s="677"/>
      <c r="L261" s="674"/>
      <c r="M261" s="678"/>
      <c r="N261" s="677"/>
      <c r="O261" s="674"/>
      <c r="P261" s="678"/>
      <c r="Q261" s="677"/>
      <c r="R261" s="674"/>
      <c r="S261" s="678"/>
      <c r="T261" s="677"/>
      <c r="U261" s="674"/>
      <c r="V261" s="678"/>
      <c r="W261" s="677"/>
      <c r="X261" s="674"/>
      <c r="Y261" s="678"/>
      <c r="Z261" s="677"/>
      <c r="AA261" s="674"/>
      <c r="AB261" s="678"/>
      <c r="AC261" s="677"/>
      <c r="AD261" s="674"/>
      <c r="AE261" s="678"/>
      <c r="AF261" s="677"/>
      <c r="AG261" s="674"/>
      <c r="AH261" s="678"/>
      <c r="AI261" s="677"/>
      <c r="AJ261" s="674"/>
      <c r="AK261" s="678"/>
      <c r="AL261" s="677"/>
    </row>
    <row r="262" spans="1:38" x14ac:dyDescent="0.55000000000000004">
      <c r="A262" s="686">
        <v>43706</v>
      </c>
      <c r="B262" s="682">
        <v>19259</v>
      </c>
      <c r="C262" s="675">
        <v>19086337</v>
      </c>
      <c r="D262" s="689" t="s">
        <v>2674</v>
      </c>
      <c r="E262" s="691"/>
      <c r="F262" s="674">
        <v>1</v>
      </c>
      <c r="G262" s="675" t="s">
        <v>2573</v>
      </c>
      <c r="H262" s="676" t="s">
        <v>1571</v>
      </c>
      <c r="I262" s="674">
        <v>2</v>
      </c>
      <c r="J262" s="675" t="s">
        <v>774</v>
      </c>
      <c r="K262" s="677" t="s">
        <v>1571</v>
      </c>
      <c r="L262" s="674">
        <v>3</v>
      </c>
      <c r="M262" s="678" t="s">
        <v>1634</v>
      </c>
      <c r="N262" s="677" t="s">
        <v>1575</v>
      </c>
      <c r="O262" s="674">
        <v>4</v>
      </c>
      <c r="P262" s="678" t="s">
        <v>1507</v>
      </c>
      <c r="Q262" s="677" t="s">
        <v>1575</v>
      </c>
      <c r="R262" s="674">
        <v>5</v>
      </c>
      <c r="S262" s="678" t="s">
        <v>1498</v>
      </c>
      <c r="T262" s="677" t="s">
        <v>1593</v>
      </c>
      <c r="U262" s="674"/>
      <c r="V262" s="680"/>
      <c r="W262" s="681"/>
      <c r="X262" s="674"/>
      <c r="Y262" s="680"/>
      <c r="Z262" s="681"/>
      <c r="AA262" s="674"/>
      <c r="AB262" s="680"/>
      <c r="AC262" s="681"/>
      <c r="AD262" s="674"/>
      <c r="AE262" s="680"/>
      <c r="AF262" s="681"/>
      <c r="AG262" s="674"/>
      <c r="AH262" s="680"/>
      <c r="AI262" s="681"/>
      <c r="AJ262" s="674"/>
      <c r="AK262" s="680"/>
      <c r="AL262" s="681"/>
    </row>
    <row r="263" spans="1:38" x14ac:dyDescent="0.55000000000000004">
      <c r="A263" s="686">
        <v>43706</v>
      </c>
      <c r="B263" s="682">
        <v>19260</v>
      </c>
      <c r="C263" s="675">
        <v>19076300</v>
      </c>
      <c r="D263" s="689" t="s">
        <v>1490</v>
      </c>
      <c r="E263" s="691"/>
      <c r="F263" s="674">
        <v>1</v>
      </c>
      <c r="G263" s="675" t="s">
        <v>2486</v>
      </c>
      <c r="H263" s="676" t="s">
        <v>1571</v>
      </c>
      <c r="I263" s="674">
        <v>2</v>
      </c>
      <c r="J263" s="675" t="s">
        <v>1511</v>
      </c>
      <c r="K263" s="677" t="s">
        <v>1583</v>
      </c>
      <c r="L263" s="674">
        <v>3</v>
      </c>
      <c r="M263" s="678" t="s">
        <v>1800</v>
      </c>
      <c r="N263" s="677" t="s">
        <v>1575</v>
      </c>
      <c r="O263" s="674">
        <v>4</v>
      </c>
      <c r="P263" s="678" t="s">
        <v>1503</v>
      </c>
      <c r="Q263" s="677" t="s">
        <v>1584</v>
      </c>
      <c r="R263" s="674"/>
      <c r="S263" s="680"/>
      <c r="T263" s="681"/>
      <c r="U263" s="674"/>
      <c r="V263" s="680"/>
      <c r="W263" s="681"/>
      <c r="X263" s="674"/>
      <c r="Y263" s="680"/>
      <c r="Z263" s="681"/>
      <c r="AA263" s="674"/>
      <c r="AB263" s="680"/>
      <c r="AC263" s="681"/>
      <c r="AD263" s="674"/>
      <c r="AE263" s="680"/>
      <c r="AF263" s="681"/>
      <c r="AG263" s="674"/>
      <c r="AH263" s="680"/>
      <c r="AI263" s="681"/>
      <c r="AJ263" s="674"/>
      <c r="AK263" s="680"/>
      <c r="AL263" s="681"/>
    </row>
    <row r="264" spans="1:38" x14ac:dyDescent="0.55000000000000004">
      <c r="A264" s="686">
        <v>43707</v>
      </c>
      <c r="B264" s="682">
        <v>19261</v>
      </c>
      <c r="C264" s="675">
        <v>19066244</v>
      </c>
      <c r="D264" s="689" t="s">
        <v>1736</v>
      </c>
      <c r="E264" s="691"/>
      <c r="F264" s="674"/>
      <c r="G264" s="675"/>
      <c r="H264" s="676"/>
      <c r="I264" s="674"/>
      <c r="J264" s="675"/>
      <c r="K264" s="677"/>
      <c r="L264" s="674"/>
      <c r="M264" s="678"/>
      <c r="N264" s="677"/>
      <c r="O264" s="674"/>
      <c r="P264" s="678"/>
      <c r="Q264" s="677"/>
      <c r="R264" s="674"/>
      <c r="S264" s="678"/>
      <c r="T264" s="677"/>
      <c r="U264" s="674"/>
      <c r="V264" s="678"/>
      <c r="W264" s="677"/>
      <c r="X264" s="674"/>
      <c r="Y264" s="678"/>
      <c r="Z264" s="677"/>
      <c r="AA264" s="674"/>
      <c r="AB264" s="678"/>
      <c r="AC264" s="677"/>
      <c r="AD264" s="674"/>
      <c r="AE264" s="678"/>
      <c r="AF264" s="677"/>
      <c r="AG264" s="674"/>
      <c r="AH264" s="678"/>
      <c r="AI264" s="677"/>
      <c r="AJ264" s="674"/>
      <c r="AK264" s="678"/>
      <c r="AL264" s="677"/>
    </row>
    <row r="265" spans="1:38" x14ac:dyDescent="0.55000000000000004">
      <c r="A265" s="686">
        <v>43708</v>
      </c>
      <c r="B265" s="682">
        <v>19262</v>
      </c>
      <c r="C265" s="675">
        <v>19046189</v>
      </c>
      <c r="D265" s="689" t="s">
        <v>1739</v>
      </c>
      <c r="E265" s="691"/>
      <c r="F265" s="674"/>
      <c r="G265" s="675"/>
      <c r="H265" s="676"/>
      <c r="I265" s="674"/>
      <c r="J265" s="675"/>
      <c r="K265" s="677"/>
      <c r="L265" s="674"/>
      <c r="M265" s="678"/>
      <c r="N265" s="677"/>
      <c r="O265" s="674"/>
      <c r="P265" s="678"/>
      <c r="Q265" s="677"/>
      <c r="R265" s="674"/>
      <c r="S265" s="678"/>
      <c r="T265" s="677"/>
      <c r="U265" s="674"/>
      <c r="V265" s="678"/>
      <c r="W265" s="677"/>
      <c r="X265" s="674"/>
      <c r="Y265" s="678"/>
      <c r="Z265" s="677"/>
      <c r="AA265" s="674"/>
      <c r="AB265" s="678"/>
      <c r="AC265" s="677"/>
      <c r="AD265" s="674"/>
      <c r="AE265" s="678"/>
      <c r="AF265" s="677"/>
      <c r="AG265" s="674"/>
      <c r="AH265" s="678"/>
      <c r="AI265" s="677"/>
      <c r="AJ265" s="674"/>
      <c r="AK265" s="678"/>
      <c r="AL265" s="677"/>
    </row>
    <row r="266" spans="1:38" x14ac:dyDescent="0.55000000000000004">
      <c r="A266" s="686">
        <v>43708</v>
      </c>
      <c r="B266" s="682">
        <v>19263</v>
      </c>
      <c r="C266" s="675" t="s">
        <v>2501</v>
      </c>
      <c r="D266" s="689" t="s">
        <v>2675</v>
      </c>
      <c r="E266" s="691"/>
      <c r="F266" s="674"/>
      <c r="G266" s="675"/>
      <c r="H266" s="676"/>
      <c r="I266" s="674"/>
      <c r="J266" s="675"/>
      <c r="K266" s="677"/>
      <c r="L266" s="674"/>
      <c r="M266" s="678"/>
      <c r="N266" s="677"/>
      <c r="O266" s="674"/>
      <c r="P266" s="678"/>
      <c r="Q266" s="677"/>
      <c r="R266" s="674"/>
      <c r="S266" s="678"/>
      <c r="T266" s="677"/>
      <c r="U266" s="674"/>
      <c r="V266" s="678"/>
      <c r="W266" s="677"/>
      <c r="X266" s="674"/>
      <c r="Y266" s="678"/>
      <c r="Z266" s="677"/>
      <c r="AA266" s="674"/>
      <c r="AB266" s="678"/>
      <c r="AC266" s="677"/>
      <c r="AD266" s="674"/>
      <c r="AE266" s="678"/>
      <c r="AF266" s="677"/>
      <c r="AG266" s="674"/>
      <c r="AH266" s="678"/>
      <c r="AI266" s="677"/>
      <c r="AJ266" s="674"/>
      <c r="AK266" s="678"/>
      <c r="AL266" s="677"/>
    </row>
    <row r="267" spans="1:38" x14ac:dyDescent="0.55000000000000004">
      <c r="A267" s="686">
        <v>43710</v>
      </c>
      <c r="B267" s="682">
        <v>19264</v>
      </c>
      <c r="C267" s="675">
        <v>19086301</v>
      </c>
      <c r="D267" s="689" t="s">
        <v>1926</v>
      </c>
      <c r="E267" s="691"/>
      <c r="F267" s="674">
        <v>1</v>
      </c>
      <c r="G267" s="675" t="s">
        <v>2483</v>
      </c>
      <c r="H267" s="676" t="s">
        <v>1571</v>
      </c>
      <c r="I267" s="674">
        <v>2</v>
      </c>
      <c r="J267" s="675" t="s">
        <v>1511</v>
      </c>
      <c r="K267" s="677" t="s">
        <v>1575</v>
      </c>
      <c r="L267" s="674">
        <v>3</v>
      </c>
      <c r="M267" s="678" t="s">
        <v>1502</v>
      </c>
      <c r="N267" s="677" t="s">
        <v>1575</v>
      </c>
      <c r="O267" s="674">
        <v>4</v>
      </c>
      <c r="P267" s="678" t="s">
        <v>1498</v>
      </c>
      <c r="Q267" s="677" t="s">
        <v>3103</v>
      </c>
      <c r="R267" s="674">
        <v>5</v>
      </c>
      <c r="S267" s="678" t="s">
        <v>1503</v>
      </c>
      <c r="T267" s="677" t="s">
        <v>1801</v>
      </c>
      <c r="U267" s="674"/>
      <c r="V267" s="680"/>
      <c r="W267" s="681"/>
      <c r="X267" s="674"/>
      <c r="Y267" s="680"/>
      <c r="Z267" s="681"/>
      <c r="AA267" s="674"/>
      <c r="AB267" s="680"/>
      <c r="AC267" s="681"/>
      <c r="AD267" s="674"/>
      <c r="AE267" s="680"/>
      <c r="AF267" s="681"/>
      <c r="AG267" s="674"/>
      <c r="AH267" s="680"/>
      <c r="AI267" s="681"/>
      <c r="AJ267" s="674"/>
      <c r="AK267" s="680"/>
      <c r="AL267" s="681"/>
    </row>
    <row r="268" spans="1:38" x14ac:dyDescent="0.55000000000000004">
      <c r="A268" s="686">
        <v>43711</v>
      </c>
      <c r="B268" s="682">
        <v>19265</v>
      </c>
      <c r="C268" s="675">
        <v>19066247</v>
      </c>
      <c r="D268" s="689" t="s">
        <v>1331</v>
      </c>
      <c r="E268" s="691"/>
      <c r="F268" s="674"/>
      <c r="G268" s="675"/>
      <c r="H268" s="676"/>
      <c r="I268" s="674"/>
      <c r="J268" s="675"/>
      <c r="K268" s="677"/>
      <c r="L268" s="674"/>
      <c r="M268" s="678"/>
      <c r="N268" s="677"/>
      <c r="O268" s="674"/>
      <c r="P268" s="678"/>
      <c r="Q268" s="677"/>
      <c r="R268" s="674"/>
      <c r="S268" s="678"/>
      <c r="T268" s="677"/>
      <c r="U268" s="674"/>
      <c r="V268" s="678"/>
      <c r="W268" s="677"/>
      <c r="X268" s="674"/>
      <c r="Y268" s="678"/>
      <c r="Z268" s="677"/>
      <c r="AA268" s="674"/>
      <c r="AB268" s="678"/>
      <c r="AC268" s="677"/>
      <c r="AD268" s="674"/>
      <c r="AE268" s="678"/>
      <c r="AF268" s="677"/>
      <c r="AG268" s="674"/>
      <c r="AH268" s="678"/>
      <c r="AI268" s="677"/>
      <c r="AJ268" s="674"/>
      <c r="AK268" s="678"/>
      <c r="AL268" s="677"/>
    </row>
    <row r="269" spans="1:38" x14ac:dyDescent="0.55000000000000004">
      <c r="A269" s="686">
        <v>43712</v>
      </c>
      <c r="B269" s="682">
        <v>19266</v>
      </c>
      <c r="C269" s="675">
        <v>19086342</v>
      </c>
      <c r="D269" s="689" t="s">
        <v>1624</v>
      </c>
      <c r="E269" s="691"/>
      <c r="F269" s="674">
        <v>1</v>
      </c>
      <c r="G269" s="675" t="s">
        <v>1951</v>
      </c>
      <c r="H269" s="676" t="s">
        <v>1579</v>
      </c>
      <c r="I269" s="674">
        <v>2</v>
      </c>
      <c r="J269" s="675" t="s">
        <v>1511</v>
      </c>
      <c r="K269" s="677" t="s">
        <v>1633</v>
      </c>
      <c r="L269" s="674">
        <v>3</v>
      </c>
      <c r="M269" s="678" t="s">
        <v>1507</v>
      </c>
      <c r="N269" s="677" t="s">
        <v>1583</v>
      </c>
      <c r="O269" s="674">
        <v>4</v>
      </c>
      <c r="P269" s="678" t="s">
        <v>1498</v>
      </c>
      <c r="Q269" s="677" t="s">
        <v>3095</v>
      </c>
      <c r="R269" s="674">
        <v>5</v>
      </c>
      <c r="S269" s="678" t="s">
        <v>1503</v>
      </c>
      <c r="T269" s="677" t="s">
        <v>1597</v>
      </c>
      <c r="U269" s="674"/>
      <c r="V269" s="680"/>
      <c r="W269" s="681"/>
      <c r="X269" s="674"/>
      <c r="Y269" s="680"/>
      <c r="Z269" s="681"/>
      <c r="AA269" s="674"/>
      <c r="AB269" s="680"/>
      <c r="AC269" s="681"/>
      <c r="AD269" s="674"/>
      <c r="AE269" s="680"/>
      <c r="AF269" s="681"/>
      <c r="AG269" s="674"/>
      <c r="AH269" s="680"/>
      <c r="AI269" s="681"/>
      <c r="AJ269" s="674"/>
      <c r="AK269" s="680"/>
      <c r="AL269" s="681"/>
    </row>
    <row r="270" spans="1:38" x14ac:dyDescent="0.55000000000000004">
      <c r="A270" s="686">
        <v>43712</v>
      </c>
      <c r="B270" s="682">
        <v>19267</v>
      </c>
      <c r="C270" s="675">
        <v>19086343</v>
      </c>
      <c r="D270" s="689" t="s">
        <v>1624</v>
      </c>
      <c r="E270" s="691"/>
      <c r="F270" s="674">
        <v>1</v>
      </c>
      <c r="G270" s="675" t="s">
        <v>2663</v>
      </c>
      <c r="H270" s="676" t="s">
        <v>1571</v>
      </c>
      <c r="I270" s="674">
        <v>2</v>
      </c>
      <c r="J270" s="675" t="s">
        <v>1511</v>
      </c>
      <c r="K270" s="677" t="s">
        <v>1586</v>
      </c>
      <c r="L270" s="674">
        <v>3</v>
      </c>
      <c r="M270" s="678" t="s">
        <v>1507</v>
      </c>
      <c r="N270" s="677" t="s">
        <v>1575</v>
      </c>
      <c r="O270" s="674">
        <v>4</v>
      </c>
      <c r="P270" s="678" t="s">
        <v>1498</v>
      </c>
      <c r="Q270" s="677" t="s">
        <v>2448</v>
      </c>
      <c r="R270" s="674"/>
      <c r="S270" s="680"/>
      <c r="T270" s="681"/>
      <c r="U270" s="674"/>
      <c r="V270" s="680"/>
      <c r="W270" s="681"/>
      <c r="X270" s="674"/>
      <c r="Y270" s="680"/>
      <c r="Z270" s="681"/>
      <c r="AA270" s="674"/>
      <c r="AB270" s="680"/>
      <c r="AC270" s="681"/>
      <c r="AD270" s="674"/>
      <c r="AE270" s="680"/>
      <c r="AF270" s="681"/>
      <c r="AG270" s="674"/>
      <c r="AH270" s="680"/>
      <c r="AI270" s="681"/>
      <c r="AJ270" s="674"/>
      <c r="AK270" s="680"/>
      <c r="AL270" s="681"/>
    </row>
    <row r="271" spans="1:38" x14ac:dyDescent="0.55000000000000004">
      <c r="A271" s="686">
        <v>43712</v>
      </c>
      <c r="B271" s="682">
        <v>19268</v>
      </c>
      <c r="C271" s="675">
        <v>18106019</v>
      </c>
      <c r="D271" s="689" t="s">
        <v>1626</v>
      </c>
      <c r="E271" s="691"/>
      <c r="F271" s="674"/>
      <c r="G271" s="675"/>
      <c r="H271" s="676"/>
      <c r="I271" s="674"/>
      <c r="J271" s="675"/>
      <c r="K271" s="677"/>
      <c r="L271" s="674"/>
      <c r="M271" s="678"/>
      <c r="N271" s="677"/>
      <c r="O271" s="674"/>
      <c r="P271" s="678"/>
      <c r="Q271" s="677"/>
      <c r="R271" s="674"/>
      <c r="S271" s="678"/>
      <c r="T271" s="677"/>
      <c r="U271" s="674"/>
      <c r="V271" s="678"/>
      <c r="W271" s="677"/>
      <c r="X271" s="674"/>
      <c r="Y271" s="678"/>
      <c r="Z271" s="677"/>
      <c r="AA271" s="674"/>
      <c r="AB271" s="678"/>
      <c r="AC271" s="677"/>
      <c r="AD271" s="674"/>
      <c r="AE271" s="678"/>
      <c r="AF271" s="677"/>
      <c r="AG271" s="674"/>
      <c r="AH271" s="678"/>
      <c r="AI271" s="677"/>
      <c r="AJ271" s="674"/>
      <c r="AK271" s="678"/>
      <c r="AL271" s="677"/>
    </row>
    <row r="272" spans="1:38" x14ac:dyDescent="0.55000000000000004">
      <c r="A272" s="686">
        <v>43712</v>
      </c>
      <c r="B272" s="682">
        <v>19269</v>
      </c>
      <c r="C272" s="675">
        <v>19086345</v>
      </c>
      <c r="D272" s="689" t="s">
        <v>2552</v>
      </c>
      <c r="E272" s="691"/>
      <c r="F272" s="674">
        <v>1</v>
      </c>
      <c r="G272" s="675" t="s">
        <v>2122</v>
      </c>
      <c r="H272" s="676" t="s">
        <v>1581</v>
      </c>
      <c r="I272" s="674">
        <v>2</v>
      </c>
      <c r="J272" s="675" t="s">
        <v>1929</v>
      </c>
      <c r="K272" s="677" t="s">
        <v>1582</v>
      </c>
      <c r="L272" s="674">
        <v>3</v>
      </c>
      <c r="M272" s="678" t="s">
        <v>1507</v>
      </c>
      <c r="N272" s="677" t="s">
        <v>1582</v>
      </c>
      <c r="O272" s="674">
        <v>4</v>
      </c>
      <c r="P272" s="678" t="s">
        <v>1498</v>
      </c>
      <c r="Q272" s="677" t="s">
        <v>3094</v>
      </c>
      <c r="R272" s="674"/>
      <c r="S272" s="680"/>
      <c r="T272" s="681"/>
      <c r="U272" s="674"/>
      <c r="V272" s="680"/>
      <c r="W272" s="681"/>
      <c r="X272" s="674"/>
      <c r="Y272" s="680"/>
      <c r="Z272" s="681"/>
      <c r="AA272" s="674"/>
      <c r="AB272" s="680"/>
      <c r="AC272" s="681"/>
      <c r="AD272" s="674"/>
      <c r="AE272" s="680"/>
      <c r="AF272" s="681"/>
      <c r="AG272" s="674"/>
      <c r="AH272" s="680"/>
      <c r="AI272" s="681"/>
      <c r="AJ272" s="674"/>
      <c r="AK272" s="680"/>
      <c r="AL272" s="681"/>
    </row>
    <row r="273" spans="1:38" x14ac:dyDescent="0.55000000000000004">
      <c r="A273" s="686">
        <v>43712</v>
      </c>
      <c r="B273" s="682">
        <v>19270</v>
      </c>
      <c r="C273" s="675">
        <v>19086344</v>
      </c>
      <c r="D273" s="689" t="s">
        <v>2552</v>
      </c>
      <c r="E273" s="691"/>
      <c r="F273" s="674">
        <v>1</v>
      </c>
      <c r="G273" s="675" t="s">
        <v>2122</v>
      </c>
      <c r="H273" s="676" t="s">
        <v>1581</v>
      </c>
      <c r="I273" s="674">
        <v>2</v>
      </c>
      <c r="J273" s="675" t="s">
        <v>1929</v>
      </c>
      <c r="K273" s="677" t="s">
        <v>1582</v>
      </c>
      <c r="L273" s="674">
        <v>3</v>
      </c>
      <c r="M273" s="678" t="s">
        <v>1507</v>
      </c>
      <c r="N273" s="677" t="s">
        <v>1582</v>
      </c>
      <c r="O273" s="674">
        <v>4</v>
      </c>
      <c r="P273" s="678" t="s">
        <v>1498</v>
      </c>
      <c r="Q273" s="677" t="s">
        <v>3094</v>
      </c>
      <c r="R273" s="674"/>
      <c r="S273" s="680"/>
      <c r="T273" s="681"/>
      <c r="U273" s="674"/>
      <c r="V273" s="680"/>
      <c r="W273" s="681"/>
      <c r="X273" s="674"/>
      <c r="Y273" s="680"/>
      <c r="Z273" s="681"/>
      <c r="AA273" s="674"/>
      <c r="AB273" s="680"/>
      <c r="AC273" s="681"/>
      <c r="AD273" s="674"/>
      <c r="AE273" s="680"/>
      <c r="AF273" s="681"/>
      <c r="AG273" s="674"/>
      <c r="AH273" s="680"/>
      <c r="AI273" s="681"/>
      <c r="AJ273" s="674"/>
      <c r="AK273" s="680"/>
      <c r="AL273" s="681"/>
    </row>
    <row r="274" spans="1:38" x14ac:dyDescent="0.55000000000000004">
      <c r="A274" s="686">
        <v>43712</v>
      </c>
      <c r="B274" s="682">
        <v>19271</v>
      </c>
      <c r="C274" s="675">
        <v>18106016</v>
      </c>
      <c r="D274" s="689" t="s">
        <v>1626</v>
      </c>
      <c r="E274" s="691"/>
      <c r="F274" s="674"/>
      <c r="G274" s="675"/>
      <c r="H274" s="676"/>
      <c r="I274" s="674"/>
      <c r="J274" s="675"/>
      <c r="K274" s="677"/>
      <c r="L274" s="674"/>
      <c r="M274" s="678"/>
      <c r="N274" s="677"/>
      <c r="O274" s="674"/>
      <c r="P274" s="678"/>
      <c r="Q274" s="677"/>
      <c r="R274" s="674"/>
      <c r="S274" s="678"/>
      <c r="T274" s="677"/>
      <c r="U274" s="674"/>
      <c r="V274" s="678"/>
      <c r="W274" s="677"/>
      <c r="X274" s="674"/>
      <c r="Y274" s="678"/>
      <c r="Z274" s="677"/>
      <c r="AA274" s="674"/>
      <c r="AB274" s="678"/>
      <c r="AC274" s="677"/>
      <c r="AD274" s="674"/>
      <c r="AE274" s="678"/>
      <c r="AF274" s="677"/>
      <c r="AG274" s="674"/>
      <c r="AH274" s="678"/>
      <c r="AI274" s="677"/>
      <c r="AJ274" s="674"/>
      <c r="AK274" s="678"/>
      <c r="AL274" s="677"/>
    </row>
    <row r="275" spans="1:38" x14ac:dyDescent="0.55000000000000004">
      <c r="A275" s="686">
        <v>43713</v>
      </c>
      <c r="B275" s="682">
        <v>19272</v>
      </c>
      <c r="C275" s="675">
        <v>19086305</v>
      </c>
      <c r="D275" s="689" t="s">
        <v>2676</v>
      </c>
      <c r="E275" s="691"/>
      <c r="F275" s="674">
        <v>1</v>
      </c>
      <c r="G275" s="675" t="s">
        <v>840</v>
      </c>
      <c r="H275" s="676" t="s">
        <v>1571</v>
      </c>
      <c r="I275" s="674">
        <v>2</v>
      </c>
      <c r="J275" s="675" t="s">
        <v>2535</v>
      </c>
      <c r="K275" s="677" t="s">
        <v>1571</v>
      </c>
      <c r="L275" s="674">
        <v>3</v>
      </c>
      <c r="M275" s="678" t="s">
        <v>2536</v>
      </c>
      <c r="N275" s="677" t="s">
        <v>1571</v>
      </c>
      <c r="O275" s="674">
        <v>4</v>
      </c>
      <c r="P275" s="678" t="s">
        <v>755</v>
      </c>
      <c r="Q275" s="677" t="s">
        <v>1571</v>
      </c>
      <c r="R275" s="674">
        <v>5</v>
      </c>
      <c r="S275" s="678" t="s">
        <v>2537</v>
      </c>
      <c r="T275" s="677" t="s">
        <v>1571</v>
      </c>
      <c r="U275" s="674">
        <v>6</v>
      </c>
      <c r="V275" s="678" t="s">
        <v>1634</v>
      </c>
      <c r="W275" s="677" t="s">
        <v>1578</v>
      </c>
      <c r="X275" s="674">
        <v>7</v>
      </c>
      <c r="Y275" s="678" t="s">
        <v>1507</v>
      </c>
      <c r="Z275" s="677" t="s">
        <v>1583</v>
      </c>
      <c r="AA275" s="674">
        <v>8</v>
      </c>
      <c r="AB275" s="678" t="s">
        <v>1502</v>
      </c>
      <c r="AC275" s="677" t="s">
        <v>1575</v>
      </c>
      <c r="AD275" s="674">
        <v>9</v>
      </c>
      <c r="AE275" s="678" t="s">
        <v>1498</v>
      </c>
      <c r="AF275" s="677" t="s">
        <v>1576</v>
      </c>
      <c r="AG275" s="674">
        <v>10</v>
      </c>
      <c r="AH275" s="678" t="s">
        <v>2453</v>
      </c>
      <c r="AI275" s="677" t="s">
        <v>1586</v>
      </c>
      <c r="AJ275" s="674">
        <v>11</v>
      </c>
      <c r="AK275" s="678" t="s">
        <v>3102</v>
      </c>
      <c r="AL275" s="677" t="s">
        <v>1575</v>
      </c>
    </row>
    <row r="276" spans="1:38" x14ac:dyDescent="0.55000000000000004">
      <c r="A276" s="686">
        <v>43713</v>
      </c>
      <c r="B276" s="682">
        <v>19273</v>
      </c>
      <c r="C276" s="688"/>
      <c r="D276" s="689" t="s">
        <v>2670</v>
      </c>
      <c r="E276" s="691"/>
      <c r="F276" s="674"/>
      <c r="G276" s="675"/>
      <c r="H276" s="676"/>
      <c r="I276" s="674"/>
      <c r="J276" s="675"/>
      <c r="K276" s="677"/>
      <c r="L276" s="674"/>
      <c r="M276" s="678"/>
      <c r="N276" s="677"/>
      <c r="O276" s="674"/>
      <c r="P276" s="678"/>
      <c r="Q276" s="677"/>
      <c r="R276" s="674"/>
      <c r="S276" s="678"/>
      <c r="T276" s="677"/>
      <c r="U276" s="674"/>
      <c r="V276" s="678"/>
      <c r="W276" s="677"/>
      <c r="X276" s="674"/>
      <c r="Y276" s="678"/>
      <c r="Z276" s="677"/>
      <c r="AA276" s="674"/>
      <c r="AB276" s="678"/>
      <c r="AC276" s="677"/>
      <c r="AD276" s="674"/>
      <c r="AE276" s="678"/>
      <c r="AF276" s="677"/>
      <c r="AG276" s="674"/>
      <c r="AH276" s="678"/>
      <c r="AI276" s="677"/>
      <c r="AJ276" s="674"/>
      <c r="AK276" s="678"/>
      <c r="AL276" s="677"/>
    </row>
    <row r="277" spans="1:38" x14ac:dyDescent="0.55000000000000004">
      <c r="A277" s="670">
        <v>43714</v>
      </c>
      <c r="B277" s="692">
        <v>19274</v>
      </c>
      <c r="C277" s="672">
        <v>19086334</v>
      </c>
      <c r="D277" s="673" t="s">
        <v>1626</v>
      </c>
      <c r="E277" s="725"/>
      <c r="F277" s="674">
        <v>1</v>
      </c>
      <c r="G277" s="675" t="s">
        <v>754</v>
      </c>
      <c r="H277" s="676" t="s">
        <v>1572</v>
      </c>
      <c r="I277" s="674">
        <v>2</v>
      </c>
      <c r="J277" s="675" t="s">
        <v>1506</v>
      </c>
      <c r="K277" s="677" t="s">
        <v>1578</v>
      </c>
      <c r="L277" s="674">
        <v>3</v>
      </c>
      <c r="M277" s="678" t="s">
        <v>1507</v>
      </c>
      <c r="N277" s="677" t="s">
        <v>1931</v>
      </c>
      <c r="O277" s="674">
        <v>4</v>
      </c>
      <c r="P277" s="678" t="s">
        <v>1498</v>
      </c>
      <c r="Q277" s="677" t="s">
        <v>2451</v>
      </c>
      <c r="R277" s="674"/>
      <c r="S277" s="680"/>
      <c r="T277" s="681"/>
      <c r="U277" s="674"/>
      <c r="V277" s="680"/>
      <c r="W277" s="681"/>
      <c r="X277" s="674"/>
      <c r="Y277" s="680"/>
      <c r="Z277" s="681"/>
      <c r="AA277" s="674"/>
      <c r="AB277" s="680"/>
      <c r="AC277" s="681"/>
      <c r="AD277" s="674"/>
      <c r="AE277" s="680"/>
      <c r="AF277" s="681"/>
      <c r="AG277" s="674"/>
      <c r="AH277" s="680"/>
      <c r="AI277" s="681"/>
      <c r="AJ277" s="674"/>
      <c r="AK277" s="680"/>
      <c r="AL277" s="681"/>
    </row>
    <row r="278" spans="1:38" x14ac:dyDescent="0.55000000000000004">
      <c r="A278" s="682"/>
      <c r="B278" s="682">
        <v>19275</v>
      </c>
      <c r="C278" s="684"/>
      <c r="D278" s="685"/>
      <c r="E278" s="695"/>
      <c r="F278" s="674">
        <v>1</v>
      </c>
      <c r="G278" s="675" t="s">
        <v>754</v>
      </c>
      <c r="H278" s="676" t="s">
        <v>1572</v>
      </c>
      <c r="I278" s="674">
        <v>2</v>
      </c>
      <c r="J278" s="675" t="s">
        <v>1506</v>
      </c>
      <c r="K278" s="677" t="s">
        <v>1578</v>
      </c>
      <c r="L278" s="674">
        <v>3</v>
      </c>
      <c r="M278" s="678" t="s">
        <v>1507</v>
      </c>
      <c r="N278" s="677" t="s">
        <v>1931</v>
      </c>
      <c r="O278" s="674">
        <v>4</v>
      </c>
      <c r="P278" s="678" t="s">
        <v>1498</v>
      </c>
      <c r="Q278" s="677" t="s">
        <v>2451</v>
      </c>
      <c r="R278" s="674"/>
      <c r="S278" s="680"/>
      <c r="T278" s="681"/>
      <c r="U278" s="674"/>
      <c r="V278" s="680"/>
      <c r="W278" s="681"/>
      <c r="X278" s="674"/>
      <c r="Y278" s="680"/>
      <c r="Z278" s="681"/>
      <c r="AA278" s="674"/>
      <c r="AB278" s="680"/>
      <c r="AC278" s="681"/>
      <c r="AD278" s="674"/>
      <c r="AE278" s="680"/>
      <c r="AF278" s="681"/>
      <c r="AG278" s="674"/>
      <c r="AH278" s="680"/>
      <c r="AI278" s="681"/>
      <c r="AJ278" s="674"/>
      <c r="AK278" s="680"/>
      <c r="AL278" s="681"/>
    </row>
    <row r="279" spans="1:38" x14ac:dyDescent="0.55000000000000004">
      <c r="A279" s="686">
        <v>43714</v>
      </c>
      <c r="B279" s="682">
        <v>19276</v>
      </c>
      <c r="C279" s="675">
        <v>19086339</v>
      </c>
      <c r="D279" s="689" t="s">
        <v>1626</v>
      </c>
      <c r="E279" s="691"/>
      <c r="F279" s="674">
        <v>1</v>
      </c>
      <c r="G279" s="675" t="s">
        <v>2156</v>
      </c>
      <c r="H279" s="676" t="s">
        <v>1571</v>
      </c>
      <c r="I279" s="674">
        <v>2</v>
      </c>
      <c r="J279" s="675" t="s">
        <v>1157</v>
      </c>
      <c r="K279" s="677" t="s">
        <v>1571</v>
      </c>
      <c r="L279" s="674">
        <v>3</v>
      </c>
      <c r="M279" s="678" t="s">
        <v>1634</v>
      </c>
      <c r="N279" s="677" t="s">
        <v>1575</v>
      </c>
      <c r="O279" s="674">
        <v>4</v>
      </c>
      <c r="P279" s="678" t="s">
        <v>3096</v>
      </c>
      <c r="Q279" s="677" t="s">
        <v>1575</v>
      </c>
      <c r="R279" s="674">
        <v>5</v>
      </c>
      <c r="S279" s="678" t="s">
        <v>1498</v>
      </c>
      <c r="T279" s="677" t="s">
        <v>1593</v>
      </c>
      <c r="U279" s="674"/>
      <c r="V279" s="680"/>
      <c r="W279" s="681"/>
      <c r="X279" s="674"/>
      <c r="Y279" s="680"/>
      <c r="Z279" s="681"/>
      <c r="AA279" s="674"/>
      <c r="AB279" s="680"/>
      <c r="AC279" s="681"/>
      <c r="AD279" s="674"/>
      <c r="AE279" s="680"/>
      <c r="AF279" s="681"/>
      <c r="AG279" s="674"/>
      <c r="AH279" s="680"/>
      <c r="AI279" s="681"/>
      <c r="AJ279" s="674"/>
      <c r="AK279" s="680"/>
      <c r="AL279" s="681"/>
    </row>
    <row r="280" spans="1:38" x14ac:dyDescent="0.55000000000000004">
      <c r="A280" s="670">
        <v>43715</v>
      </c>
      <c r="B280" s="692">
        <v>19277</v>
      </c>
      <c r="C280" s="672">
        <v>19076274</v>
      </c>
      <c r="D280" s="673" t="s">
        <v>1493</v>
      </c>
      <c r="E280" s="725"/>
      <c r="F280" s="674"/>
      <c r="G280" s="675"/>
      <c r="H280" s="676"/>
      <c r="I280" s="674"/>
      <c r="J280" s="675"/>
      <c r="K280" s="677"/>
      <c r="L280" s="674"/>
      <c r="M280" s="678"/>
      <c r="N280" s="677"/>
      <c r="O280" s="674"/>
      <c r="P280" s="678"/>
      <c r="Q280" s="677"/>
      <c r="R280" s="674"/>
      <c r="S280" s="678"/>
      <c r="T280" s="677"/>
      <c r="U280" s="674"/>
      <c r="V280" s="678"/>
      <c r="W280" s="677"/>
      <c r="X280" s="674"/>
      <c r="Y280" s="678"/>
      <c r="Z280" s="677"/>
      <c r="AA280" s="674"/>
      <c r="AB280" s="678"/>
      <c r="AC280" s="677"/>
      <c r="AD280" s="674"/>
      <c r="AE280" s="678"/>
      <c r="AF280" s="677"/>
      <c r="AG280" s="674"/>
      <c r="AH280" s="678"/>
      <c r="AI280" s="677"/>
      <c r="AJ280" s="674"/>
      <c r="AK280" s="678"/>
      <c r="AL280" s="677"/>
    </row>
    <row r="281" spans="1:38" x14ac:dyDescent="0.55000000000000004">
      <c r="A281" s="682"/>
      <c r="B281" s="682">
        <v>19278</v>
      </c>
      <c r="C281" s="684"/>
      <c r="D281" s="685"/>
      <c r="E281" s="695"/>
      <c r="F281" s="674"/>
      <c r="G281" s="675"/>
      <c r="H281" s="676"/>
      <c r="I281" s="674"/>
      <c r="J281" s="675"/>
      <c r="K281" s="677"/>
      <c r="L281" s="674"/>
      <c r="M281" s="678"/>
      <c r="N281" s="677"/>
      <c r="O281" s="674"/>
      <c r="P281" s="678"/>
      <c r="Q281" s="677"/>
      <c r="R281" s="674"/>
      <c r="S281" s="678"/>
      <c r="T281" s="677"/>
      <c r="U281" s="674"/>
      <c r="V281" s="678"/>
      <c r="W281" s="677"/>
      <c r="X281" s="674"/>
      <c r="Y281" s="678"/>
      <c r="Z281" s="677"/>
      <c r="AA281" s="674"/>
      <c r="AB281" s="678"/>
      <c r="AC281" s="677"/>
      <c r="AD281" s="674"/>
      <c r="AE281" s="678"/>
      <c r="AF281" s="677"/>
      <c r="AG281" s="674"/>
      <c r="AH281" s="678"/>
      <c r="AI281" s="677"/>
      <c r="AJ281" s="674"/>
      <c r="AK281" s="678"/>
      <c r="AL281" s="677"/>
    </row>
    <row r="282" spans="1:38" x14ac:dyDescent="0.55000000000000004">
      <c r="A282" s="686">
        <v>43717</v>
      </c>
      <c r="B282" s="682">
        <v>19279</v>
      </c>
      <c r="C282" s="675">
        <v>19076291</v>
      </c>
      <c r="D282" s="689" t="s">
        <v>2677</v>
      </c>
      <c r="E282" s="691"/>
      <c r="F282" s="674">
        <v>1</v>
      </c>
      <c r="G282" s="675" t="s">
        <v>1135</v>
      </c>
      <c r="H282" s="676" t="s">
        <v>1571</v>
      </c>
      <c r="I282" s="674">
        <v>2</v>
      </c>
      <c r="J282" s="675" t="s">
        <v>1634</v>
      </c>
      <c r="K282" s="677" t="s">
        <v>1583</v>
      </c>
      <c r="L282" s="674">
        <v>3</v>
      </c>
      <c r="M282" s="678" t="s">
        <v>1502</v>
      </c>
      <c r="N282" s="677" t="s">
        <v>1575</v>
      </c>
      <c r="O282" s="674">
        <v>4</v>
      </c>
      <c r="P282" s="678" t="s">
        <v>1498</v>
      </c>
      <c r="Q282" s="677" t="s">
        <v>3113</v>
      </c>
      <c r="R282" s="674">
        <v>5</v>
      </c>
      <c r="S282" s="678" t="s">
        <v>1503</v>
      </c>
      <c r="T282" s="677" t="s">
        <v>1801</v>
      </c>
      <c r="U282" s="674"/>
      <c r="V282" s="680"/>
      <c r="W282" s="681"/>
      <c r="X282" s="674"/>
      <c r="Y282" s="680"/>
      <c r="Z282" s="681"/>
      <c r="AA282" s="674"/>
      <c r="AB282" s="680"/>
      <c r="AC282" s="681"/>
      <c r="AD282" s="674"/>
      <c r="AE282" s="680"/>
      <c r="AF282" s="681"/>
      <c r="AG282" s="674"/>
      <c r="AH282" s="680"/>
      <c r="AI282" s="681"/>
      <c r="AJ282" s="674"/>
      <c r="AK282" s="680"/>
      <c r="AL282" s="681"/>
    </row>
    <row r="283" spans="1:38" x14ac:dyDescent="0.55000000000000004">
      <c r="A283" s="686">
        <v>43718</v>
      </c>
      <c r="B283" s="682">
        <v>19280</v>
      </c>
      <c r="C283" s="675">
        <v>19086346</v>
      </c>
      <c r="D283" s="689" t="s">
        <v>1926</v>
      </c>
      <c r="E283" s="691"/>
      <c r="F283" s="674">
        <v>1</v>
      </c>
      <c r="G283" s="675" t="s">
        <v>1908</v>
      </c>
      <c r="H283" s="676" t="s">
        <v>1571</v>
      </c>
      <c r="I283" s="674">
        <v>2</v>
      </c>
      <c r="J283" s="675" t="s">
        <v>1511</v>
      </c>
      <c r="K283" s="677" t="s">
        <v>1575</v>
      </c>
      <c r="L283" s="674">
        <v>3</v>
      </c>
      <c r="M283" s="678" t="s">
        <v>1503</v>
      </c>
      <c r="N283" s="677" t="s">
        <v>1801</v>
      </c>
      <c r="O283" s="674"/>
      <c r="P283" s="680"/>
      <c r="Q283" s="681"/>
      <c r="R283" s="674"/>
      <c r="S283" s="680"/>
      <c r="T283" s="681"/>
      <c r="U283" s="674"/>
      <c r="V283" s="680"/>
      <c r="W283" s="681"/>
      <c r="X283" s="674"/>
      <c r="Y283" s="680"/>
      <c r="Z283" s="681"/>
      <c r="AA283" s="674"/>
      <c r="AB283" s="680"/>
      <c r="AC283" s="681"/>
      <c r="AD283" s="674"/>
      <c r="AE283" s="680"/>
      <c r="AF283" s="681"/>
      <c r="AG283" s="674"/>
      <c r="AH283" s="680"/>
      <c r="AI283" s="681"/>
      <c r="AJ283" s="674"/>
      <c r="AK283" s="680"/>
      <c r="AL283" s="681"/>
    </row>
    <row r="284" spans="1:38" x14ac:dyDescent="0.55000000000000004">
      <c r="A284" s="686">
        <v>43718</v>
      </c>
      <c r="B284" s="682">
        <v>19281</v>
      </c>
      <c r="C284" s="675">
        <v>19096353</v>
      </c>
      <c r="D284" s="689" t="s">
        <v>2405</v>
      </c>
      <c r="E284" s="691"/>
      <c r="F284" s="674">
        <v>1</v>
      </c>
      <c r="G284" s="675" t="s">
        <v>836</v>
      </c>
      <c r="H284" s="676" t="s">
        <v>1571</v>
      </c>
      <c r="I284" s="674">
        <v>2</v>
      </c>
      <c r="J284" s="675" t="s">
        <v>1634</v>
      </c>
      <c r="K284" s="677" t="s">
        <v>1574</v>
      </c>
      <c r="L284" s="674">
        <v>3</v>
      </c>
      <c r="M284" s="678" t="s">
        <v>1502</v>
      </c>
      <c r="N284" s="677" t="s">
        <v>1575</v>
      </c>
      <c r="O284" s="674">
        <v>4</v>
      </c>
      <c r="P284" s="678" t="s">
        <v>1498</v>
      </c>
      <c r="Q284" s="677" t="s">
        <v>3090</v>
      </c>
      <c r="R284" s="674">
        <v>5</v>
      </c>
      <c r="S284" s="678" t="s">
        <v>1784</v>
      </c>
      <c r="T284" s="677" t="s">
        <v>2070</v>
      </c>
      <c r="U284" s="674">
        <v>6</v>
      </c>
      <c r="V284" s="678" t="s">
        <v>1503</v>
      </c>
      <c r="W284" s="677" t="s">
        <v>1584</v>
      </c>
      <c r="X284" s="674"/>
      <c r="Y284" s="680"/>
      <c r="Z284" s="681"/>
      <c r="AA284" s="674"/>
      <c r="AB284" s="680"/>
      <c r="AC284" s="681"/>
      <c r="AD284" s="674"/>
      <c r="AE284" s="680"/>
      <c r="AF284" s="681"/>
      <c r="AG284" s="674"/>
      <c r="AH284" s="680"/>
      <c r="AI284" s="681"/>
      <c r="AJ284" s="674"/>
      <c r="AK284" s="680"/>
      <c r="AL284" s="681"/>
    </row>
    <row r="285" spans="1:38" x14ac:dyDescent="0.55000000000000004">
      <c r="A285" s="686">
        <v>43720</v>
      </c>
      <c r="B285" s="682">
        <v>19282</v>
      </c>
      <c r="C285" s="675">
        <v>19076286</v>
      </c>
      <c r="D285" s="689" t="s">
        <v>1452</v>
      </c>
      <c r="E285" s="691"/>
      <c r="F285" s="674">
        <v>1</v>
      </c>
      <c r="G285" s="675" t="s">
        <v>2427</v>
      </c>
      <c r="H285" s="676" t="s">
        <v>1571</v>
      </c>
      <c r="I285" s="674">
        <v>2</v>
      </c>
      <c r="J285" s="675" t="s">
        <v>1511</v>
      </c>
      <c r="K285" s="677" t="s">
        <v>1575</v>
      </c>
      <c r="L285" s="674">
        <v>3</v>
      </c>
      <c r="M285" s="678" t="s">
        <v>1503</v>
      </c>
      <c r="N285" s="677" t="s">
        <v>1585</v>
      </c>
      <c r="O285" s="674"/>
      <c r="P285" s="680"/>
      <c r="Q285" s="681"/>
      <c r="R285" s="674"/>
      <c r="S285" s="680"/>
      <c r="T285" s="681"/>
      <c r="U285" s="674"/>
      <c r="V285" s="680"/>
      <c r="W285" s="681"/>
      <c r="X285" s="674"/>
      <c r="Y285" s="680"/>
      <c r="Z285" s="681"/>
      <c r="AA285" s="674"/>
      <c r="AB285" s="680"/>
      <c r="AC285" s="681"/>
      <c r="AD285" s="674"/>
      <c r="AE285" s="680"/>
      <c r="AF285" s="681"/>
      <c r="AG285" s="674"/>
      <c r="AH285" s="680"/>
      <c r="AI285" s="681"/>
      <c r="AJ285" s="674"/>
      <c r="AK285" s="680"/>
      <c r="AL285" s="681"/>
    </row>
    <row r="286" spans="1:38" x14ac:dyDescent="0.55000000000000004">
      <c r="A286" s="686">
        <v>43720</v>
      </c>
      <c r="B286" s="682">
        <v>19283</v>
      </c>
      <c r="C286" s="675">
        <v>19086332</v>
      </c>
      <c r="D286" s="689" t="s">
        <v>1738</v>
      </c>
      <c r="E286" s="691"/>
      <c r="F286" s="674">
        <v>1</v>
      </c>
      <c r="G286" s="675" t="s">
        <v>657</v>
      </c>
      <c r="H286" s="676" t="s">
        <v>1571</v>
      </c>
      <c r="I286" s="674">
        <v>2</v>
      </c>
      <c r="J286" s="675" t="s">
        <v>658</v>
      </c>
      <c r="K286" s="677" t="s">
        <v>1571</v>
      </c>
      <c r="L286" s="674">
        <v>3</v>
      </c>
      <c r="M286" s="678" t="s">
        <v>1929</v>
      </c>
      <c r="N286" s="677" t="s">
        <v>1578</v>
      </c>
      <c r="O286" s="674">
        <v>4</v>
      </c>
      <c r="P286" s="678" t="s">
        <v>1502</v>
      </c>
      <c r="Q286" s="677" t="s">
        <v>1583</v>
      </c>
      <c r="R286" s="674">
        <v>5</v>
      </c>
      <c r="S286" s="678" t="s">
        <v>1498</v>
      </c>
      <c r="T286" s="677" t="s">
        <v>1635</v>
      </c>
      <c r="U286" s="674"/>
      <c r="V286" s="680"/>
      <c r="W286" s="681"/>
      <c r="X286" s="674"/>
      <c r="Y286" s="680"/>
      <c r="Z286" s="681"/>
      <c r="AA286" s="674"/>
      <c r="AB286" s="680"/>
      <c r="AC286" s="681"/>
      <c r="AD286" s="674"/>
      <c r="AE286" s="680"/>
      <c r="AF286" s="681"/>
      <c r="AG286" s="674"/>
      <c r="AH286" s="680"/>
      <c r="AI286" s="681"/>
      <c r="AJ286" s="674"/>
      <c r="AK286" s="680"/>
      <c r="AL286" s="681"/>
    </row>
    <row r="287" spans="1:38" x14ac:dyDescent="0.55000000000000004">
      <c r="A287" s="686">
        <v>43720</v>
      </c>
      <c r="B287" s="682">
        <v>19284</v>
      </c>
      <c r="C287" s="675">
        <v>19086327</v>
      </c>
      <c r="D287" s="689" t="s">
        <v>2678</v>
      </c>
      <c r="E287" s="691"/>
      <c r="F287" s="674">
        <v>1</v>
      </c>
      <c r="G287" s="675" t="s">
        <v>2570</v>
      </c>
      <c r="H287" s="676" t="s">
        <v>1571</v>
      </c>
      <c r="I287" s="674">
        <v>2</v>
      </c>
      <c r="J287" s="675" t="s">
        <v>1634</v>
      </c>
      <c r="K287" s="677" t="s">
        <v>1574</v>
      </c>
      <c r="L287" s="674">
        <v>3</v>
      </c>
      <c r="M287" s="678" t="s">
        <v>1502</v>
      </c>
      <c r="N287" s="677" t="s">
        <v>1575</v>
      </c>
      <c r="O287" s="674">
        <v>4</v>
      </c>
      <c r="P287" s="678" t="s">
        <v>1498</v>
      </c>
      <c r="Q287" s="677" t="s">
        <v>3097</v>
      </c>
      <c r="R287" s="674">
        <v>5</v>
      </c>
      <c r="S287" s="678" t="s">
        <v>1503</v>
      </c>
      <c r="T287" s="677" t="s">
        <v>1801</v>
      </c>
      <c r="U287" s="674">
        <v>6</v>
      </c>
      <c r="V287" s="678" t="s">
        <v>1636</v>
      </c>
      <c r="W287" s="677" t="s">
        <v>3098</v>
      </c>
      <c r="X287" s="674"/>
      <c r="Y287" s="680"/>
      <c r="Z287" s="681"/>
      <c r="AA287" s="674"/>
      <c r="AB287" s="680"/>
      <c r="AC287" s="681"/>
      <c r="AD287" s="674"/>
      <c r="AE287" s="680"/>
      <c r="AF287" s="681"/>
      <c r="AG287" s="674"/>
      <c r="AH287" s="680"/>
      <c r="AI287" s="681"/>
      <c r="AJ287" s="674"/>
      <c r="AK287" s="680"/>
      <c r="AL287" s="681"/>
    </row>
    <row r="288" spans="1:38" x14ac:dyDescent="0.55000000000000004">
      <c r="A288" s="686">
        <v>43724</v>
      </c>
      <c r="B288" s="682">
        <v>19285</v>
      </c>
      <c r="C288" s="675">
        <v>19086347</v>
      </c>
      <c r="D288" s="689" t="s">
        <v>1624</v>
      </c>
      <c r="E288" s="691"/>
      <c r="F288" s="674">
        <v>1</v>
      </c>
      <c r="G288" s="675" t="s">
        <v>2618</v>
      </c>
      <c r="H288" s="676" t="s">
        <v>2325</v>
      </c>
      <c r="I288" s="674">
        <v>2</v>
      </c>
      <c r="J288" s="675" t="s">
        <v>1511</v>
      </c>
      <c r="K288" s="677" t="s">
        <v>3091</v>
      </c>
      <c r="L288" s="674">
        <v>3</v>
      </c>
      <c r="M288" s="678" t="s">
        <v>1502</v>
      </c>
      <c r="N288" s="677" t="s">
        <v>3092</v>
      </c>
      <c r="O288" s="674">
        <v>4</v>
      </c>
      <c r="P288" s="678" t="s">
        <v>1498</v>
      </c>
      <c r="Q288" s="677" t="s">
        <v>1588</v>
      </c>
      <c r="R288" s="674">
        <v>5</v>
      </c>
      <c r="S288" s="678" t="s">
        <v>1503</v>
      </c>
      <c r="T288" s="677" t="s">
        <v>3093</v>
      </c>
      <c r="U288" s="674"/>
      <c r="V288" s="680"/>
      <c r="W288" s="681"/>
      <c r="X288" s="674"/>
      <c r="Y288" s="680"/>
      <c r="Z288" s="681"/>
      <c r="AA288" s="674"/>
      <c r="AB288" s="680"/>
      <c r="AC288" s="681"/>
      <c r="AD288" s="674"/>
      <c r="AE288" s="680"/>
      <c r="AF288" s="681"/>
      <c r="AG288" s="674"/>
      <c r="AH288" s="680"/>
      <c r="AI288" s="681"/>
      <c r="AJ288" s="674"/>
      <c r="AK288" s="680"/>
      <c r="AL288" s="681"/>
    </row>
    <row r="289" spans="1:38" x14ac:dyDescent="0.55000000000000004">
      <c r="A289" s="686">
        <v>43724</v>
      </c>
      <c r="B289" s="682">
        <v>19286</v>
      </c>
      <c r="C289" s="675">
        <v>19066244</v>
      </c>
      <c r="D289" s="689" t="s">
        <v>1736</v>
      </c>
      <c r="E289" s="691"/>
      <c r="F289" s="674"/>
      <c r="G289" s="675"/>
      <c r="H289" s="676"/>
      <c r="I289" s="674"/>
      <c r="J289" s="675"/>
      <c r="K289" s="677"/>
      <c r="L289" s="674"/>
      <c r="M289" s="678"/>
      <c r="N289" s="677"/>
      <c r="O289" s="674"/>
      <c r="P289" s="678"/>
      <c r="Q289" s="677"/>
      <c r="R289" s="674"/>
      <c r="S289" s="678"/>
      <c r="T289" s="677"/>
      <c r="U289" s="674"/>
      <c r="V289" s="678"/>
      <c r="W289" s="677"/>
      <c r="X289" s="674"/>
      <c r="Y289" s="678"/>
      <c r="Z289" s="677"/>
      <c r="AA289" s="674"/>
      <c r="AB289" s="678"/>
      <c r="AC289" s="677"/>
      <c r="AD289" s="674"/>
      <c r="AE289" s="678"/>
      <c r="AF289" s="677"/>
      <c r="AG289" s="674"/>
      <c r="AH289" s="678"/>
      <c r="AI289" s="677"/>
      <c r="AJ289" s="674"/>
      <c r="AK289" s="678"/>
      <c r="AL289" s="677"/>
    </row>
    <row r="290" spans="1:38" x14ac:dyDescent="0.55000000000000004">
      <c r="A290" s="686">
        <v>43724</v>
      </c>
      <c r="B290" s="682">
        <v>19287</v>
      </c>
      <c r="C290" s="675">
        <v>19086323</v>
      </c>
      <c r="D290" s="689" t="s">
        <v>2679</v>
      </c>
      <c r="E290" s="691"/>
      <c r="F290" s="674">
        <v>1</v>
      </c>
      <c r="G290" s="675" t="s">
        <v>650</v>
      </c>
      <c r="H290" s="676" t="s">
        <v>1571</v>
      </c>
      <c r="I290" s="674">
        <v>2</v>
      </c>
      <c r="J290" s="675" t="s">
        <v>1634</v>
      </c>
      <c r="K290" s="677" t="s">
        <v>1586</v>
      </c>
      <c r="L290" s="674">
        <v>3</v>
      </c>
      <c r="M290" s="678" t="s">
        <v>1507</v>
      </c>
      <c r="N290" s="677" t="s">
        <v>1575</v>
      </c>
      <c r="O290" s="674">
        <v>4</v>
      </c>
      <c r="P290" s="678" t="s">
        <v>1498</v>
      </c>
      <c r="Q290" s="677" t="s">
        <v>3100</v>
      </c>
      <c r="R290" s="674"/>
      <c r="S290" s="680"/>
      <c r="T290" s="681"/>
      <c r="U290" s="674"/>
      <c r="V290" s="680"/>
      <c r="W290" s="681"/>
      <c r="X290" s="674"/>
      <c r="Y290" s="680"/>
      <c r="Z290" s="681"/>
      <c r="AA290" s="674"/>
      <c r="AB290" s="680"/>
      <c r="AC290" s="681"/>
      <c r="AD290" s="674"/>
      <c r="AE290" s="680"/>
      <c r="AF290" s="681"/>
      <c r="AG290" s="674"/>
      <c r="AH290" s="680"/>
      <c r="AI290" s="681"/>
      <c r="AJ290" s="674"/>
      <c r="AK290" s="680"/>
      <c r="AL290" s="681"/>
    </row>
    <row r="291" spans="1:38" x14ac:dyDescent="0.55000000000000004">
      <c r="A291" s="686">
        <v>43725</v>
      </c>
      <c r="B291" s="682">
        <v>19288</v>
      </c>
      <c r="C291" s="675">
        <v>18106016</v>
      </c>
      <c r="D291" s="689" t="s">
        <v>1626</v>
      </c>
      <c r="E291" s="691"/>
      <c r="F291" s="674"/>
      <c r="G291" s="675"/>
      <c r="H291" s="676"/>
      <c r="I291" s="674"/>
      <c r="J291" s="675"/>
      <c r="K291" s="677"/>
      <c r="L291" s="674"/>
      <c r="M291" s="678"/>
      <c r="N291" s="677"/>
      <c r="O291" s="674"/>
      <c r="P291" s="678"/>
      <c r="Q291" s="677"/>
      <c r="R291" s="674"/>
      <c r="S291" s="678"/>
      <c r="T291" s="677"/>
      <c r="U291" s="674"/>
      <c r="V291" s="678"/>
      <c r="W291" s="677"/>
      <c r="X291" s="674"/>
      <c r="Y291" s="678"/>
      <c r="Z291" s="677"/>
      <c r="AA291" s="674"/>
      <c r="AB291" s="678"/>
      <c r="AC291" s="677"/>
      <c r="AD291" s="674"/>
      <c r="AE291" s="678"/>
      <c r="AF291" s="677"/>
      <c r="AG291" s="674"/>
      <c r="AH291" s="678"/>
      <c r="AI291" s="677"/>
      <c r="AJ291" s="674"/>
      <c r="AK291" s="678"/>
      <c r="AL291" s="677"/>
    </row>
    <row r="292" spans="1:38" x14ac:dyDescent="0.55000000000000004">
      <c r="A292" s="686">
        <v>43725</v>
      </c>
      <c r="B292" s="682">
        <v>19289</v>
      </c>
      <c r="C292" s="675">
        <v>18106016</v>
      </c>
      <c r="D292" s="689" t="s">
        <v>1626</v>
      </c>
      <c r="E292" s="691"/>
      <c r="F292" s="674"/>
      <c r="G292" s="675"/>
      <c r="H292" s="676"/>
      <c r="I292" s="674"/>
      <c r="J292" s="675"/>
      <c r="K292" s="677"/>
      <c r="L292" s="674"/>
      <c r="M292" s="678"/>
      <c r="N292" s="677"/>
      <c r="O292" s="674"/>
      <c r="P292" s="678"/>
      <c r="Q292" s="677"/>
      <c r="R292" s="674"/>
      <c r="S292" s="678"/>
      <c r="T292" s="677"/>
      <c r="U292" s="674"/>
      <c r="V292" s="678"/>
      <c r="W292" s="677"/>
      <c r="X292" s="674"/>
      <c r="Y292" s="678"/>
      <c r="Z292" s="677"/>
      <c r="AA292" s="674"/>
      <c r="AB292" s="678"/>
      <c r="AC292" s="677"/>
      <c r="AD292" s="674"/>
      <c r="AE292" s="678"/>
      <c r="AF292" s="677"/>
      <c r="AG292" s="674"/>
      <c r="AH292" s="678"/>
      <c r="AI292" s="677"/>
      <c r="AJ292" s="674"/>
      <c r="AK292" s="678"/>
      <c r="AL292" s="677"/>
    </row>
    <row r="293" spans="1:38" x14ac:dyDescent="0.55000000000000004">
      <c r="A293" s="686">
        <v>43725</v>
      </c>
      <c r="B293" s="682">
        <v>19290</v>
      </c>
      <c r="C293" s="675">
        <v>19096357</v>
      </c>
      <c r="D293" s="689" t="s">
        <v>2680</v>
      </c>
      <c r="E293" s="691"/>
      <c r="F293" s="674">
        <v>1</v>
      </c>
      <c r="G293" s="675" t="s">
        <v>712</v>
      </c>
      <c r="H293" s="676" t="s">
        <v>1797</v>
      </c>
      <c r="I293" s="674"/>
      <c r="J293" s="690"/>
      <c r="K293" s="681"/>
      <c r="L293" s="674"/>
      <c r="M293" s="680"/>
      <c r="N293" s="681"/>
      <c r="O293" s="674"/>
      <c r="P293" s="680"/>
      <c r="Q293" s="681"/>
      <c r="R293" s="674"/>
      <c r="S293" s="680"/>
      <c r="T293" s="681"/>
      <c r="U293" s="674"/>
      <c r="V293" s="680"/>
      <c r="W293" s="681"/>
      <c r="X293" s="674"/>
      <c r="Y293" s="680"/>
      <c r="Z293" s="681"/>
      <c r="AA293" s="674"/>
      <c r="AB293" s="680"/>
      <c r="AC293" s="681"/>
      <c r="AD293" s="674"/>
      <c r="AE293" s="680"/>
      <c r="AF293" s="681"/>
      <c r="AG293" s="674"/>
      <c r="AH293" s="680"/>
      <c r="AI293" s="681"/>
      <c r="AJ293" s="674"/>
      <c r="AK293" s="680"/>
      <c r="AL293" s="681"/>
    </row>
    <row r="294" spans="1:38" x14ac:dyDescent="0.55000000000000004">
      <c r="A294" s="686">
        <v>43726</v>
      </c>
      <c r="B294" s="682">
        <v>19291</v>
      </c>
      <c r="C294" s="675">
        <v>19096365</v>
      </c>
      <c r="D294" s="689" t="s">
        <v>1490</v>
      </c>
      <c r="E294" s="691"/>
      <c r="F294" s="674">
        <v>1</v>
      </c>
      <c r="G294" s="675" t="s">
        <v>830</v>
      </c>
      <c r="H294" s="676" t="s">
        <v>1579</v>
      </c>
      <c r="I294" s="674">
        <v>2</v>
      </c>
      <c r="J294" s="675" t="s">
        <v>1511</v>
      </c>
      <c r="K294" s="677" t="s">
        <v>1575</v>
      </c>
      <c r="L294" s="674">
        <v>3</v>
      </c>
      <c r="M294" s="678" t="s">
        <v>1507</v>
      </c>
      <c r="N294" s="677" t="s">
        <v>1583</v>
      </c>
      <c r="O294" s="674">
        <v>4</v>
      </c>
      <c r="P294" s="678" t="s">
        <v>1498</v>
      </c>
      <c r="Q294" s="677" t="s">
        <v>2450</v>
      </c>
      <c r="R294" s="674"/>
      <c r="S294" s="680"/>
      <c r="T294" s="681"/>
      <c r="U294" s="674"/>
      <c r="V294" s="680"/>
      <c r="W294" s="681"/>
      <c r="X294" s="674"/>
      <c r="Y294" s="680"/>
      <c r="Z294" s="681"/>
      <c r="AA294" s="674"/>
      <c r="AB294" s="680"/>
      <c r="AC294" s="681"/>
      <c r="AD294" s="674"/>
      <c r="AE294" s="680"/>
      <c r="AF294" s="681"/>
      <c r="AG294" s="674"/>
      <c r="AH294" s="680"/>
      <c r="AI294" s="681"/>
      <c r="AJ294" s="674"/>
      <c r="AK294" s="680"/>
      <c r="AL294" s="681"/>
    </row>
    <row r="295" spans="1:38" x14ac:dyDescent="0.55000000000000004">
      <c r="A295" s="670">
        <v>43727</v>
      </c>
      <c r="B295" s="692">
        <v>19292</v>
      </c>
      <c r="C295" s="672">
        <v>19076296</v>
      </c>
      <c r="D295" s="673" t="s">
        <v>1326</v>
      </c>
      <c r="E295" s="725"/>
      <c r="F295" s="674">
        <v>1</v>
      </c>
      <c r="G295" s="675" t="s">
        <v>2477</v>
      </c>
      <c r="H295" s="676" t="s">
        <v>1571</v>
      </c>
      <c r="I295" s="674">
        <v>2</v>
      </c>
      <c r="J295" s="675" t="s">
        <v>1634</v>
      </c>
      <c r="K295" s="677" t="s">
        <v>1578</v>
      </c>
      <c r="L295" s="674">
        <v>3</v>
      </c>
      <c r="M295" s="678" t="s">
        <v>1502</v>
      </c>
      <c r="N295" s="677" t="s">
        <v>1575</v>
      </c>
      <c r="O295" s="674">
        <v>4</v>
      </c>
      <c r="P295" s="678" t="s">
        <v>1498</v>
      </c>
      <c r="Q295" s="677" t="s">
        <v>3109</v>
      </c>
      <c r="R295" s="674">
        <v>5</v>
      </c>
      <c r="S295" s="678" t="s">
        <v>1515</v>
      </c>
      <c r="T295" s="677" t="s">
        <v>1586</v>
      </c>
      <c r="U295" s="674">
        <v>6</v>
      </c>
      <c r="V295" s="678" t="s">
        <v>3110</v>
      </c>
      <c r="W295" s="677" t="s">
        <v>1586</v>
      </c>
      <c r="X295" s="674">
        <v>7</v>
      </c>
      <c r="Y295" s="678" t="s">
        <v>1503</v>
      </c>
      <c r="Z295" s="677" t="s">
        <v>1632</v>
      </c>
      <c r="AA295" s="674"/>
      <c r="AB295" s="680"/>
      <c r="AC295" s="681"/>
      <c r="AD295" s="674"/>
      <c r="AE295" s="680"/>
      <c r="AF295" s="681"/>
      <c r="AG295" s="674"/>
      <c r="AH295" s="680"/>
      <c r="AI295" s="681"/>
      <c r="AJ295" s="674"/>
      <c r="AK295" s="680"/>
      <c r="AL295" s="681"/>
    </row>
    <row r="296" spans="1:38" x14ac:dyDescent="0.55000000000000004">
      <c r="A296" s="682"/>
      <c r="B296" s="682">
        <v>19293</v>
      </c>
      <c r="C296" s="684"/>
      <c r="D296" s="685"/>
      <c r="E296" s="695"/>
      <c r="F296" s="674">
        <v>1</v>
      </c>
      <c r="G296" s="675" t="s">
        <v>739</v>
      </c>
      <c r="H296" s="676" t="s">
        <v>1571</v>
      </c>
      <c r="I296" s="674">
        <v>2</v>
      </c>
      <c r="J296" s="675" t="s">
        <v>1634</v>
      </c>
      <c r="K296" s="677" t="s">
        <v>1575</v>
      </c>
      <c r="L296" s="674">
        <v>3</v>
      </c>
      <c r="M296" s="678" t="s">
        <v>1507</v>
      </c>
      <c r="N296" s="677" t="s">
        <v>1575</v>
      </c>
      <c r="O296" s="674">
        <v>4</v>
      </c>
      <c r="P296" s="678" t="s">
        <v>1498</v>
      </c>
      <c r="Q296" s="677" t="s">
        <v>3108</v>
      </c>
      <c r="R296" s="674">
        <v>5</v>
      </c>
      <c r="S296" s="678" t="s">
        <v>1503</v>
      </c>
      <c r="T296" s="677" t="s">
        <v>1584</v>
      </c>
      <c r="U296" s="674">
        <v>6</v>
      </c>
      <c r="V296" s="678" t="s">
        <v>2452</v>
      </c>
      <c r="W296" s="677" t="s">
        <v>1575</v>
      </c>
      <c r="X296" s="674"/>
      <c r="Y296" s="680"/>
      <c r="Z296" s="681"/>
      <c r="AA296" s="674"/>
      <c r="AB296" s="680"/>
      <c r="AC296" s="681"/>
      <c r="AD296" s="674"/>
      <c r="AE296" s="680"/>
      <c r="AF296" s="681"/>
      <c r="AG296" s="674"/>
      <c r="AH296" s="680"/>
      <c r="AI296" s="681"/>
      <c r="AJ296" s="674"/>
      <c r="AK296" s="680"/>
      <c r="AL296" s="681"/>
    </row>
    <row r="297" spans="1:38" x14ac:dyDescent="0.55000000000000004">
      <c r="A297" s="686">
        <v>43727</v>
      </c>
      <c r="B297" s="682">
        <v>19294</v>
      </c>
      <c r="C297" s="675">
        <v>19076297</v>
      </c>
      <c r="D297" s="689" t="s">
        <v>1326</v>
      </c>
      <c r="E297" s="691"/>
      <c r="F297" s="674">
        <v>1</v>
      </c>
      <c r="G297" s="675" t="s">
        <v>2475</v>
      </c>
      <c r="H297" s="676" t="s">
        <v>1571</v>
      </c>
      <c r="I297" s="674">
        <v>2</v>
      </c>
      <c r="J297" s="675" t="s">
        <v>712</v>
      </c>
      <c r="K297" s="677" t="s">
        <v>1571</v>
      </c>
      <c r="L297" s="674">
        <v>3</v>
      </c>
      <c r="M297" s="678" t="s">
        <v>1503</v>
      </c>
      <c r="N297" s="677" t="s">
        <v>1584</v>
      </c>
      <c r="O297" s="674"/>
      <c r="P297" s="680"/>
      <c r="Q297" s="681"/>
      <c r="R297" s="674"/>
      <c r="S297" s="680"/>
      <c r="T297" s="681"/>
      <c r="U297" s="674"/>
      <c r="V297" s="680"/>
      <c r="W297" s="681"/>
      <c r="X297" s="674"/>
      <c r="Y297" s="680"/>
      <c r="Z297" s="681"/>
      <c r="AA297" s="674"/>
      <c r="AB297" s="680"/>
      <c r="AC297" s="681"/>
      <c r="AD297" s="674"/>
      <c r="AE297" s="680"/>
      <c r="AF297" s="681"/>
      <c r="AG297" s="674"/>
      <c r="AH297" s="680"/>
      <c r="AI297" s="681"/>
      <c r="AJ297" s="674"/>
      <c r="AK297" s="680"/>
      <c r="AL297" s="681"/>
    </row>
    <row r="298" spans="1:38" x14ac:dyDescent="0.55000000000000004">
      <c r="A298" s="686">
        <v>43731</v>
      </c>
      <c r="B298" s="682">
        <v>19295</v>
      </c>
      <c r="C298" s="675">
        <v>19096364</v>
      </c>
      <c r="D298" s="689" t="s">
        <v>1624</v>
      </c>
      <c r="E298" s="691"/>
      <c r="F298" s="674">
        <v>1</v>
      </c>
      <c r="G298" s="675" t="s">
        <v>2663</v>
      </c>
      <c r="H298" s="676" t="s">
        <v>1571</v>
      </c>
      <c r="I298" s="674">
        <v>2</v>
      </c>
      <c r="J298" s="675" t="s">
        <v>1511</v>
      </c>
      <c r="K298" s="677" t="s">
        <v>1586</v>
      </c>
      <c r="L298" s="674">
        <v>3</v>
      </c>
      <c r="M298" s="678" t="s">
        <v>1507</v>
      </c>
      <c r="N298" s="677" t="s">
        <v>1575</v>
      </c>
      <c r="O298" s="674">
        <v>4</v>
      </c>
      <c r="P298" s="678" t="s">
        <v>1498</v>
      </c>
      <c r="Q298" s="677" t="s">
        <v>2448</v>
      </c>
      <c r="R298" s="674"/>
      <c r="S298" s="680"/>
      <c r="T298" s="681"/>
      <c r="U298" s="674"/>
      <c r="V298" s="680"/>
      <c r="W298" s="681"/>
      <c r="X298" s="674"/>
      <c r="Y298" s="680"/>
      <c r="Z298" s="681"/>
      <c r="AA298" s="674"/>
      <c r="AB298" s="680"/>
      <c r="AC298" s="681"/>
      <c r="AD298" s="674"/>
      <c r="AE298" s="680"/>
      <c r="AF298" s="681"/>
      <c r="AG298" s="674"/>
      <c r="AH298" s="680"/>
      <c r="AI298" s="681"/>
      <c r="AJ298" s="674"/>
      <c r="AK298" s="680"/>
      <c r="AL298" s="681"/>
    </row>
    <row r="299" spans="1:38" x14ac:dyDescent="0.55000000000000004">
      <c r="A299" s="686">
        <v>43731</v>
      </c>
      <c r="B299" s="682">
        <v>19296</v>
      </c>
      <c r="C299" s="675">
        <v>19096366</v>
      </c>
      <c r="D299" s="689" t="s">
        <v>1624</v>
      </c>
      <c r="E299" s="691"/>
      <c r="F299" s="674">
        <v>1</v>
      </c>
      <c r="G299" s="675" t="s">
        <v>2689</v>
      </c>
      <c r="H299" s="676" t="s">
        <v>1571</v>
      </c>
      <c r="I299" s="674">
        <v>2</v>
      </c>
      <c r="J299" s="675" t="s">
        <v>1511</v>
      </c>
      <c r="K299" s="677" t="s">
        <v>1574</v>
      </c>
      <c r="L299" s="674">
        <v>3</v>
      </c>
      <c r="M299" s="678" t="s">
        <v>1800</v>
      </c>
      <c r="N299" s="677" t="s">
        <v>1575</v>
      </c>
      <c r="O299" s="674">
        <v>4</v>
      </c>
      <c r="P299" s="678" t="s">
        <v>1498</v>
      </c>
      <c r="Q299" s="677" t="s">
        <v>1576</v>
      </c>
      <c r="R299" s="674">
        <v>5</v>
      </c>
      <c r="S299" s="678" t="s">
        <v>1503</v>
      </c>
      <c r="T299" s="677" t="s">
        <v>1584</v>
      </c>
      <c r="U299" s="674"/>
      <c r="V299" s="680"/>
      <c r="W299" s="681"/>
      <c r="X299" s="674"/>
      <c r="Y299" s="680"/>
      <c r="Z299" s="681"/>
      <c r="AA299" s="674"/>
      <c r="AB299" s="680"/>
      <c r="AC299" s="681"/>
      <c r="AD299" s="674"/>
      <c r="AE299" s="680"/>
      <c r="AF299" s="681"/>
      <c r="AG299" s="674"/>
      <c r="AH299" s="680"/>
      <c r="AI299" s="681"/>
      <c r="AJ299" s="674"/>
      <c r="AK299" s="680"/>
      <c r="AL299" s="681"/>
    </row>
    <row r="300" spans="1:38" x14ac:dyDescent="0.55000000000000004">
      <c r="A300" s="686">
        <v>43731</v>
      </c>
      <c r="B300" s="682">
        <v>19297</v>
      </c>
      <c r="C300" s="675">
        <v>19096362</v>
      </c>
      <c r="D300" s="689" t="s">
        <v>2872</v>
      </c>
      <c r="E300" s="691"/>
      <c r="F300" s="674">
        <v>1</v>
      </c>
      <c r="G300" s="675" t="s">
        <v>793</v>
      </c>
      <c r="H300" s="676" t="s">
        <v>1581</v>
      </c>
      <c r="I300" s="674">
        <v>2</v>
      </c>
      <c r="J300" s="675" t="s">
        <v>1634</v>
      </c>
      <c r="K300" s="677" t="s">
        <v>1583</v>
      </c>
      <c r="L300" s="674">
        <v>3</v>
      </c>
      <c r="M300" s="678" t="s">
        <v>1507</v>
      </c>
      <c r="N300" s="677" t="s">
        <v>1582</v>
      </c>
      <c r="O300" s="674">
        <v>4</v>
      </c>
      <c r="P300" s="678" t="s">
        <v>1498</v>
      </c>
      <c r="Q300" s="677" t="s">
        <v>2944</v>
      </c>
      <c r="R300" s="674">
        <v>5</v>
      </c>
      <c r="S300" s="678" t="s">
        <v>2453</v>
      </c>
      <c r="T300" s="677" t="s">
        <v>1583</v>
      </c>
      <c r="U300" s="674"/>
      <c r="V300" s="680"/>
      <c r="W300" s="681"/>
      <c r="X300" s="674"/>
      <c r="Y300" s="680"/>
      <c r="Z300" s="681"/>
      <c r="AA300" s="674"/>
      <c r="AB300" s="680"/>
      <c r="AC300" s="681"/>
      <c r="AD300" s="674"/>
      <c r="AE300" s="680"/>
      <c r="AF300" s="681"/>
      <c r="AG300" s="674"/>
      <c r="AH300" s="680"/>
      <c r="AI300" s="681"/>
      <c r="AJ300" s="674"/>
      <c r="AK300" s="680"/>
      <c r="AL300" s="681"/>
    </row>
    <row r="301" spans="1:38" x14ac:dyDescent="0.55000000000000004">
      <c r="A301" s="670">
        <v>43732</v>
      </c>
      <c r="B301" s="692">
        <v>19298</v>
      </c>
      <c r="C301" s="672">
        <v>19076288</v>
      </c>
      <c r="D301" s="673" t="s">
        <v>2873</v>
      </c>
      <c r="E301" s="694"/>
      <c r="F301" s="674">
        <v>1</v>
      </c>
      <c r="G301" s="675" t="s">
        <v>734</v>
      </c>
      <c r="H301" s="676" t="s">
        <v>1571</v>
      </c>
      <c r="I301" s="674">
        <v>2</v>
      </c>
      <c r="J301" s="675" t="s">
        <v>1503</v>
      </c>
      <c r="K301" s="677" t="s">
        <v>1801</v>
      </c>
      <c r="L301" s="674"/>
      <c r="M301" s="680"/>
      <c r="N301" s="681"/>
      <c r="O301" s="674"/>
      <c r="P301" s="680"/>
      <c r="Q301" s="681"/>
      <c r="R301" s="674"/>
      <c r="S301" s="680"/>
      <c r="T301" s="681"/>
      <c r="U301" s="674"/>
      <c r="V301" s="680"/>
      <c r="W301" s="681"/>
      <c r="X301" s="674"/>
      <c r="Y301" s="680"/>
      <c r="Z301" s="681"/>
      <c r="AA301" s="674"/>
      <c r="AB301" s="680"/>
      <c r="AC301" s="681"/>
      <c r="AD301" s="674"/>
      <c r="AE301" s="680"/>
      <c r="AF301" s="681"/>
      <c r="AG301" s="674"/>
      <c r="AH301" s="680"/>
      <c r="AI301" s="681"/>
      <c r="AJ301" s="674"/>
      <c r="AK301" s="680"/>
      <c r="AL301" s="681"/>
    </row>
    <row r="302" spans="1:38" x14ac:dyDescent="0.55000000000000004">
      <c r="A302" s="682"/>
      <c r="B302" s="682">
        <v>19299</v>
      </c>
      <c r="C302" s="684"/>
      <c r="D302" s="705"/>
      <c r="E302" s="708"/>
      <c r="F302" s="674">
        <v>1</v>
      </c>
      <c r="G302" s="675" t="s">
        <v>1826</v>
      </c>
      <c r="H302" s="676" t="s">
        <v>1797</v>
      </c>
      <c r="I302" s="674">
        <v>2</v>
      </c>
      <c r="J302" s="675" t="s">
        <v>1634</v>
      </c>
      <c r="K302" s="677" t="s">
        <v>1633</v>
      </c>
      <c r="L302" s="674">
        <v>3</v>
      </c>
      <c r="M302" s="678" t="s">
        <v>1507</v>
      </c>
      <c r="N302" s="677" t="s">
        <v>1633</v>
      </c>
      <c r="O302" s="674">
        <v>4</v>
      </c>
      <c r="P302" s="678" t="s">
        <v>1498</v>
      </c>
      <c r="Q302" s="677" t="s">
        <v>1629</v>
      </c>
      <c r="R302" s="674"/>
      <c r="S302" s="680"/>
      <c r="T302" s="681"/>
      <c r="U302" s="674"/>
      <c r="V302" s="680"/>
      <c r="W302" s="681"/>
      <c r="X302" s="674"/>
      <c r="Y302" s="680"/>
      <c r="Z302" s="681"/>
      <c r="AA302" s="674"/>
      <c r="AB302" s="680"/>
      <c r="AC302" s="681"/>
      <c r="AD302" s="674"/>
      <c r="AE302" s="680"/>
      <c r="AF302" s="681"/>
      <c r="AG302" s="674"/>
      <c r="AH302" s="680"/>
      <c r="AI302" s="681"/>
      <c r="AJ302" s="674"/>
      <c r="AK302" s="680"/>
      <c r="AL302" s="681"/>
    </row>
    <row r="303" spans="1:38" x14ac:dyDescent="0.55000000000000004">
      <c r="A303" s="670">
        <v>43734</v>
      </c>
      <c r="B303" s="692">
        <v>19300</v>
      </c>
      <c r="C303" s="672">
        <v>19076294</v>
      </c>
      <c r="D303" s="693" t="s">
        <v>2668</v>
      </c>
      <c r="E303" s="694"/>
      <c r="F303" s="674">
        <v>1</v>
      </c>
      <c r="G303" s="675" t="s">
        <v>1216</v>
      </c>
      <c r="H303" s="676" t="s">
        <v>1571</v>
      </c>
      <c r="I303" s="674">
        <v>2</v>
      </c>
      <c r="J303" s="675" t="s">
        <v>1503</v>
      </c>
      <c r="K303" s="677" t="s">
        <v>1584</v>
      </c>
      <c r="L303" s="674"/>
      <c r="M303" s="680"/>
      <c r="N303" s="681"/>
      <c r="O303" s="674"/>
      <c r="P303" s="680"/>
      <c r="Q303" s="681"/>
      <c r="R303" s="674"/>
      <c r="S303" s="680"/>
      <c r="T303" s="681"/>
      <c r="U303" s="674"/>
      <c r="V303" s="680"/>
      <c r="W303" s="681"/>
      <c r="X303" s="674"/>
      <c r="Y303" s="680"/>
      <c r="Z303" s="681"/>
      <c r="AA303" s="674"/>
      <c r="AB303" s="680"/>
      <c r="AC303" s="681"/>
      <c r="AD303" s="674"/>
      <c r="AE303" s="680"/>
      <c r="AF303" s="681"/>
      <c r="AG303" s="674"/>
      <c r="AH303" s="680"/>
      <c r="AI303" s="681"/>
      <c r="AJ303" s="674"/>
      <c r="AK303" s="680"/>
      <c r="AL303" s="681"/>
    </row>
    <row r="304" spans="1:38" x14ac:dyDescent="0.55000000000000004">
      <c r="A304" s="682"/>
      <c r="B304" s="682">
        <v>19301</v>
      </c>
      <c r="C304" s="684"/>
      <c r="D304" s="685"/>
      <c r="E304" s="708"/>
      <c r="F304" s="674">
        <v>1</v>
      </c>
      <c r="G304" s="675" t="s">
        <v>2879</v>
      </c>
      <c r="H304" s="676" t="s">
        <v>1571</v>
      </c>
      <c r="I304" s="674">
        <v>2</v>
      </c>
      <c r="J304" s="675" t="s">
        <v>1503</v>
      </c>
      <c r="K304" s="677" t="s">
        <v>1584</v>
      </c>
      <c r="L304" s="674"/>
      <c r="M304" s="680"/>
      <c r="N304" s="681"/>
      <c r="O304" s="674"/>
      <c r="P304" s="680"/>
      <c r="Q304" s="681"/>
      <c r="R304" s="674"/>
      <c r="S304" s="680"/>
      <c r="T304" s="681"/>
      <c r="U304" s="674"/>
      <c r="V304" s="680"/>
      <c r="W304" s="681"/>
      <c r="X304" s="674"/>
      <c r="Y304" s="680"/>
      <c r="Z304" s="681"/>
      <c r="AA304" s="674"/>
      <c r="AB304" s="680"/>
      <c r="AC304" s="681"/>
      <c r="AD304" s="674"/>
      <c r="AE304" s="680"/>
      <c r="AF304" s="681"/>
      <c r="AG304" s="674"/>
      <c r="AH304" s="680"/>
      <c r="AI304" s="681"/>
      <c r="AJ304" s="674"/>
      <c r="AK304" s="680"/>
      <c r="AL304" s="681"/>
    </row>
    <row r="305" spans="1:38" x14ac:dyDescent="0.55000000000000004">
      <c r="A305" s="686">
        <v>43735</v>
      </c>
      <c r="B305" s="682">
        <v>19302</v>
      </c>
      <c r="C305" s="675">
        <v>19086328</v>
      </c>
      <c r="D305" s="689" t="s">
        <v>1626</v>
      </c>
      <c r="E305" s="691"/>
      <c r="F305" s="674">
        <v>1</v>
      </c>
      <c r="G305" s="675" t="s">
        <v>2586</v>
      </c>
      <c r="H305" s="676" t="s">
        <v>1571</v>
      </c>
      <c r="I305" s="674">
        <v>2</v>
      </c>
      <c r="J305" s="675" t="s">
        <v>1634</v>
      </c>
      <c r="K305" s="677" t="s">
        <v>1574</v>
      </c>
      <c r="L305" s="674">
        <v>3</v>
      </c>
      <c r="M305" s="678" t="s">
        <v>1502</v>
      </c>
      <c r="N305" s="677" t="s">
        <v>1575</v>
      </c>
      <c r="O305" s="674">
        <v>4</v>
      </c>
      <c r="P305" s="678" t="s">
        <v>1498</v>
      </c>
      <c r="Q305" s="677" t="s">
        <v>2878</v>
      </c>
      <c r="R305" s="674"/>
      <c r="S305" s="680"/>
      <c r="T305" s="681"/>
      <c r="U305" s="674"/>
      <c r="V305" s="680"/>
      <c r="W305" s="681"/>
      <c r="X305" s="674"/>
      <c r="Y305" s="680"/>
      <c r="Z305" s="681"/>
      <c r="AA305" s="674"/>
      <c r="AB305" s="680"/>
      <c r="AC305" s="681"/>
      <c r="AD305" s="674"/>
      <c r="AE305" s="680"/>
      <c r="AF305" s="681"/>
      <c r="AG305" s="674"/>
      <c r="AH305" s="680"/>
      <c r="AI305" s="681"/>
      <c r="AJ305" s="674"/>
      <c r="AK305" s="680"/>
      <c r="AL305" s="681"/>
    </row>
    <row r="306" spans="1:38" x14ac:dyDescent="0.55000000000000004">
      <c r="A306" s="670">
        <v>43735</v>
      </c>
      <c r="B306" s="692">
        <v>19303</v>
      </c>
      <c r="C306" s="672">
        <v>19086329</v>
      </c>
      <c r="D306" s="673" t="s">
        <v>1626</v>
      </c>
      <c r="E306" s="725"/>
      <c r="F306" s="674">
        <v>1</v>
      </c>
      <c r="G306" s="675" t="s">
        <v>833</v>
      </c>
      <c r="H306" s="676" t="s">
        <v>1579</v>
      </c>
      <c r="I306" s="674">
        <v>2</v>
      </c>
      <c r="J306" s="675" t="s">
        <v>1634</v>
      </c>
      <c r="K306" s="677" t="s">
        <v>1583</v>
      </c>
      <c r="L306" s="674">
        <v>3</v>
      </c>
      <c r="M306" s="678" t="s">
        <v>1502</v>
      </c>
      <c r="N306" s="677" t="s">
        <v>1583</v>
      </c>
      <c r="O306" s="674">
        <v>4</v>
      </c>
      <c r="P306" s="678" t="s">
        <v>1498</v>
      </c>
      <c r="Q306" s="677" t="s">
        <v>1637</v>
      </c>
      <c r="R306" s="674"/>
      <c r="S306" s="680"/>
      <c r="T306" s="681"/>
      <c r="U306" s="674"/>
      <c r="V306" s="680"/>
      <c r="W306" s="681"/>
      <c r="X306" s="674"/>
      <c r="Y306" s="680"/>
      <c r="Z306" s="681"/>
      <c r="AA306" s="674"/>
      <c r="AB306" s="680"/>
      <c r="AC306" s="681"/>
      <c r="AD306" s="674"/>
      <c r="AE306" s="680"/>
      <c r="AF306" s="681"/>
      <c r="AG306" s="674"/>
      <c r="AH306" s="680"/>
      <c r="AI306" s="681"/>
      <c r="AJ306" s="674"/>
      <c r="AK306" s="680"/>
      <c r="AL306" s="681"/>
    </row>
    <row r="307" spans="1:38" x14ac:dyDescent="0.55000000000000004">
      <c r="A307" s="682"/>
      <c r="B307" s="682">
        <v>19304</v>
      </c>
      <c r="C307" s="684"/>
      <c r="D307" s="685"/>
      <c r="E307" s="695"/>
      <c r="F307" s="674">
        <v>1</v>
      </c>
      <c r="G307" s="675" t="s">
        <v>833</v>
      </c>
      <c r="H307" s="676" t="s">
        <v>1579</v>
      </c>
      <c r="I307" s="674">
        <v>2</v>
      </c>
      <c r="J307" s="675" t="s">
        <v>1511</v>
      </c>
      <c r="K307" s="677" t="s">
        <v>1583</v>
      </c>
      <c r="L307" s="674">
        <v>3</v>
      </c>
      <c r="M307" s="678" t="s">
        <v>1502</v>
      </c>
      <c r="N307" s="677" t="s">
        <v>1583</v>
      </c>
      <c r="O307" s="674">
        <v>4</v>
      </c>
      <c r="P307" s="678" t="s">
        <v>1498</v>
      </c>
      <c r="Q307" s="677" t="s">
        <v>1637</v>
      </c>
      <c r="R307" s="674"/>
      <c r="S307" s="680"/>
      <c r="T307" s="681"/>
      <c r="U307" s="674"/>
      <c r="V307" s="680"/>
      <c r="W307" s="681"/>
      <c r="X307" s="674"/>
      <c r="Y307" s="680"/>
      <c r="Z307" s="681"/>
      <c r="AA307" s="674"/>
      <c r="AB307" s="680"/>
      <c r="AC307" s="681"/>
      <c r="AD307" s="674"/>
      <c r="AE307" s="680"/>
      <c r="AF307" s="681"/>
      <c r="AG307" s="674"/>
      <c r="AH307" s="680"/>
      <c r="AI307" s="681"/>
      <c r="AJ307" s="674"/>
      <c r="AK307" s="680"/>
      <c r="AL307" s="681"/>
    </row>
    <row r="308" spans="1:38" x14ac:dyDescent="0.55000000000000004">
      <c r="A308" s="670">
        <v>43738</v>
      </c>
      <c r="B308" s="692">
        <v>19305</v>
      </c>
      <c r="C308" s="672">
        <v>19076275</v>
      </c>
      <c r="D308" s="673" t="s">
        <v>1493</v>
      </c>
      <c r="E308" s="725"/>
      <c r="F308" s="674">
        <v>1</v>
      </c>
      <c r="G308" s="675" t="s">
        <v>593</v>
      </c>
      <c r="H308" s="676" t="s">
        <v>1579</v>
      </c>
      <c r="I308" s="674">
        <v>2</v>
      </c>
      <c r="J308" s="675" t="s">
        <v>1506</v>
      </c>
      <c r="K308" s="677" t="s">
        <v>1583</v>
      </c>
      <c r="L308" s="674">
        <v>3</v>
      </c>
      <c r="M308" s="678" t="s">
        <v>1507</v>
      </c>
      <c r="N308" s="677" t="s">
        <v>1575</v>
      </c>
      <c r="O308" s="674">
        <v>4</v>
      </c>
      <c r="P308" s="678" t="s">
        <v>1508</v>
      </c>
      <c r="Q308" s="677" t="s">
        <v>1927</v>
      </c>
      <c r="R308" s="674"/>
      <c r="S308" s="680"/>
      <c r="T308" s="681"/>
      <c r="U308" s="674"/>
      <c r="V308" s="680"/>
      <c r="W308" s="681"/>
      <c r="X308" s="674"/>
      <c r="Y308" s="680"/>
      <c r="Z308" s="681"/>
      <c r="AA308" s="674"/>
      <c r="AB308" s="680"/>
      <c r="AC308" s="681"/>
      <c r="AD308" s="674"/>
      <c r="AE308" s="680"/>
      <c r="AF308" s="681"/>
      <c r="AG308" s="674"/>
      <c r="AH308" s="680"/>
      <c r="AI308" s="681"/>
      <c r="AJ308" s="674"/>
      <c r="AK308" s="680"/>
      <c r="AL308" s="681"/>
    </row>
    <row r="309" spans="1:38" x14ac:dyDescent="0.55000000000000004">
      <c r="A309" s="682"/>
      <c r="B309" s="682">
        <v>19306</v>
      </c>
      <c r="C309" s="684"/>
      <c r="D309" s="685"/>
      <c r="E309" s="695"/>
      <c r="F309" s="674">
        <v>1</v>
      </c>
      <c r="G309" s="675" t="s">
        <v>593</v>
      </c>
      <c r="H309" s="676" t="s">
        <v>1579</v>
      </c>
      <c r="I309" s="674">
        <v>2</v>
      </c>
      <c r="J309" s="675" t="s">
        <v>1506</v>
      </c>
      <c r="K309" s="677" t="s">
        <v>1583</v>
      </c>
      <c r="L309" s="674">
        <v>3</v>
      </c>
      <c r="M309" s="678" t="s">
        <v>1507</v>
      </c>
      <c r="N309" s="677" t="s">
        <v>1575</v>
      </c>
      <c r="O309" s="674">
        <v>4</v>
      </c>
      <c r="P309" s="678" t="s">
        <v>1508</v>
      </c>
      <c r="Q309" s="677" t="s">
        <v>1927</v>
      </c>
      <c r="R309" s="674"/>
      <c r="S309" s="680"/>
      <c r="T309" s="681"/>
      <c r="U309" s="674"/>
      <c r="V309" s="680"/>
      <c r="W309" s="681"/>
      <c r="X309" s="674"/>
      <c r="Y309" s="680"/>
      <c r="Z309" s="681"/>
      <c r="AA309" s="674"/>
      <c r="AB309" s="680"/>
      <c r="AC309" s="681"/>
      <c r="AD309" s="674"/>
      <c r="AE309" s="680"/>
      <c r="AF309" s="681"/>
      <c r="AG309" s="674"/>
      <c r="AH309" s="680"/>
      <c r="AI309" s="681"/>
      <c r="AJ309" s="674"/>
      <c r="AK309" s="680"/>
      <c r="AL309" s="681"/>
    </row>
    <row r="310" spans="1:38" x14ac:dyDescent="0.55000000000000004">
      <c r="A310" s="686">
        <v>43738</v>
      </c>
      <c r="B310" s="682">
        <v>19307</v>
      </c>
      <c r="C310" s="675">
        <v>19096356</v>
      </c>
      <c r="D310" s="689" t="s">
        <v>1490</v>
      </c>
      <c r="E310" s="691"/>
      <c r="F310" s="674">
        <v>1</v>
      </c>
      <c r="G310" s="675" t="s">
        <v>2623</v>
      </c>
      <c r="H310" s="676" t="s">
        <v>1571</v>
      </c>
      <c r="I310" s="674">
        <v>2</v>
      </c>
      <c r="J310" s="675" t="s">
        <v>1511</v>
      </c>
      <c r="K310" s="677" t="s">
        <v>1583</v>
      </c>
      <c r="L310" s="674">
        <v>3</v>
      </c>
      <c r="M310" s="678" t="s">
        <v>1502</v>
      </c>
      <c r="N310" s="677" t="s">
        <v>1575</v>
      </c>
      <c r="O310" s="674">
        <v>4</v>
      </c>
      <c r="P310" s="678" t="s">
        <v>1503</v>
      </c>
      <c r="Q310" s="677" t="s">
        <v>1584</v>
      </c>
      <c r="R310" s="674"/>
      <c r="S310" s="680"/>
      <c r="T310" s="681"/>
      <c r="U310" s="674"/>
      <c r="V310" s="680"/>
      <c r="W310" s="681"/>
      <c r="X310" s="674"/>
      <c r="Y310" s="680"/>
      <c r="Z310" s="681"/>
      <c r="AA310" s="674"/>
      <c r="AB310" s="680"/>
      <c r="AC310" s="681"/>
      <c r="AD310" s="674"/>
      <c r="AE310" s="680"/>
      <c r="AF310" s="681"/>
      <c r="AG310" s="674"/>
      <c r="AH310" s="680"/>
      <c r="AI310" s="681"/>
      <c r="AJ310" s="674"/>
      <c r="AK310" s="680"/>
      <c r="AL310" s="681"/>
    </row>
    <row r="311" spans="1:38" x14ac:dyDescent="0.55000000000000004">
      <c r="A311" s="670">
        <v>43740</v>
      </c>
      <c r="B311" s="692">
        <v>19308</v>
      </c>
      <c r="C311" s="672">
        <v>19096361</v>
      </c>
      <c r="D311" s="673" t="s">
        <v>1677</v>
      </c>
      <c r="E311" s="725"/>
      <c r="F311" s="674">
        <v>1</v>
      </c>
      <c r="G311" s="675" t="s">
        <v>2638</v>
      </c>
      <c r="H311" s="676" t="s">
        <v>1571</v>
      </c>
      <c r="I311" s="674"/>
      <c r="J311" s="690"/>
      <c r="K311" s="681"/>
      <c r="L311" s="674"/>
      <c r="M311" s="680"/>
      <c r="N311" s="681"/>
      <c r="O311" s="674"/>
      <c r="P311" s="680"/>
      <c r="Q311" s="681"/>
      <c r="R311" s="674"/>
      <c r="S311" s="680"/>
      <c r="T311" s="681"/>
      <c r="U311" s="674"/>
      <c r="V311" s="680"/>
      <c r="W311" s="681"/>
      <c r="X311" s="674"/>
      <c r="Y311" s="680"/>
      <c r="Z311" s="681"/>
      <c r="AA311" s="674"/>
      <c r="AB311" s="680"/>
      <c r="AC311" s="681"/>
      <c r="AD311" s="674"/>
      <c r="AE311" s="680"/>
      <c r="AF311" s="681"/>
      <c r="AG311" s="674"/>
      <c r="AH311" s="680"/>
      <c r="AI311" s="681"/>
      <c r="AJ311" s="674"/>
      <c r="AK311" s="680"/>
      <c r="AL311" s="681"/>
    </row>
    <row r="312" spans="1:38" x14ac:dyDescent="0.55000000000000004">
      <c r="A312" s="698"/>
      <c r="B312" s="703">
        <v>19309</v>
      </c>
      <c r="C312" s="700"/>
      <c r="D312" s="701"/>
      <c r="E312" s="726"/>
      <c r="F312" s="674">
        <v>1</v>
      </c>
      <c r="G312" s="675" t="s">
        <v>2638</v>
      </c>
      <c r="H312" s="676" t="s">
        <v>1571</v>
      </c>
      <c r="I312" s="674"/>
      <c r="J312" s="690"/>
      <c r="K312" s="681"/>
      <c r="L312" s="674"/>
      <c r="M312" s="680"/>
      <c r="N312" s="681"/>
      <c r="O312" s="674"/>
      <c r="P312" s="680"/>
      <c r="Q312" s="681"/>
      <c r="R312" s="674"/>
      <c r="S312" s="680"/>
      <c r="T312" s="681"/>
      <c r="U312" s="674"/>
      <c r="V312" s="680"/>
      <c r="W312" s="681"/>
      <c r="X312" s="674"/>
      <c r="Y312" s="680"/>
      <c r="Z312" s="681"/>
      <c r="AA312" s="674"/>
      <c r="AB312" s="680"/>
      <c r="AC312" s="681"/>
      <c r="AD312" s="674"/>
      <c r="AE312" s="680"/>
      <c r="AF312" s="681"/>
      <c r="AG312" s="674"/>
      <c r="AH312" s="680"/>
      <c r="AI312" s="681"/>
      <c r="AJ312" s="674"/>
      <c r="AK312" s="680"/>
      <c r="AL312" s="681"/>
    </row>
    <row r="313" spans="1:38" x14ac:dyDescent="0.55000000000000004">
      <c r="A313" s="698"/>
      <c r="B313" s="703">
        <v>19310</v>
      </c>
      <c r="C313" s="700"/>
      <c r="D313" s="701"/>
      <c r="E313" s="726"/>
      <c r="F313" s="674">
        <v>1</v>
      </c>
      <c r="G313" s="675" t="s">
        <v>2638</v>
      </c>
      <c r="H313" s="676" t="s">
        <v>1571</v>
      </c>
      <c r="I313" s="674"/>
      <c r="J313" s="690"/>
      <c r="K313" s="681"/>
      <c r="L313" s="674"/>
      <c r="M313" s="680"/>
      <c r="N313" s="681"/>
      <c r="O313" s="674"/>
      <c r="P313" s="680"/>
      <c r="Q313" s="681"/>
      <c r="R313" s="674"/>
      <c r="S313" s="680"/>
      <c r="T313" s="681"/>
      <c r="U313" s="674"/>
      <c r="V313" s="680"/>
      <c r="W313" s="681"/>
      <c r="X313" s="674"/>
      <c r="Y313" s="680"/>
      <c r="Z313" s="681"/>
      <c r="AA313" s="674"/>
      <c r="AB313" s="680"/>
      <c r="AC313" s="681"/>
      <c r="AD313" s="674"/>
      <c r="AE313" s="680"/>
      <c r="AF313" s="681"/>
      <c r="AG313" s="674"/>
      <c r="AH313" s="680"/>
      <c r="AI313" s="681"/>
      <c r="AJ313" s="674"/>
      <c r="AK313" s="680"/>
      <c r="AL313" s="681"/>
    </row>
    <row r="314" spans="1:38" x14ac:dyDescent="0.55000000000000004">
      <c r="A314" s="682"/>
      <c r="B314" s="682">
        <v>19311</v>
      </c>
      <c r="C314" s="684"/>
      <c r="D314" s="685"/>
      <c r="E314" s="695"/>
      <c r="F314" s="674">
        <v>1</v>
      </c>
      <c r="G314" s="675" t="s">
        <v>2638</v>
      </c>
      <c r="H314" s="676" t="s">
        <v>1571</v>
      </c>
      <c r="I314" s="674"/>
      <c r="J314" s="690"/>
      <c r="K314" s="681"/>
      <c r="L314" s="674"/>
      <c r="M314" s="680"/>
      <c r="N314" s="681"/>
      <c r="O314" s="674"/>
      <c r="P314" s="680"/>
      <c r="Q314" s="681"/>
      <c r="R314" s="674"/>
      <c r="S314" s="680"/>
      <c r="T314" s="681"/>
      <c r="U314" s="674"/>
      <c r="V314" s="680"/>
      <c r="W314" s="681"/>
      <c r="X314" s="674"/>
      <c r="Y314" s="680"/>
      <c r="Z314" s="681"/>
      <c r="AA314" s="674"/>
      <c r="AB314" s="680"/>
      <c r="AC314" s="681"/>
      <c r="AD314" s="674"/>
      <c r="AE314" s="680"/>
      <c r="AF314" s="681"/>
      <c r="AG314" s="674"/>
      <c r="AH314" s="680"/>
      <c r="AI314" s="681"/>
      <c r="AJ314" s="674"/>
      <c r="AK314" s="680"/>
      <c r="AL314" s="681"/>
    </row>
    <row r="315" spans="1:38" x14ac:dyDescent="0.55000000000000004">
      <c r="A315" s="686">
        <v>43747</v>
      </c>
      <c r="B315" s="682">
        <v>19312</v>
      </c>
      <c r="C315" s="675">
        <v>19096372</v>
      </c>
      <c r="D315" s="689" t="s">
        <v>2874</v>
      </c>
      <c r="E315" s="691"/>
      <c r="F315" s="674">
        <v>1</v>
      </c>
      <c r="G315" s="675" t="s">
        <v>2791</v>
      </c>
      <c r="H315" s="676" t="s">
        <v>1579</v>
      </c>
      <c r="I315" s="674">
        <v>2</v>
      </c>
      <c r="J315" s="675" t="s">
        <v>2792</v>
      </c>
      <c r="K315" s="677" t="s">
        <v>1571</v>
      </c>
      <c r="L315" s="674">
        <v>3</v>
      </c>
      <c r="M315" s="678" t="s">
        <v>1226</v>
      </c>
      <c r="N315" s="677" t="s">
        <v>1571</v>
      </c>
      <c r="O315" s="674">
        <v>4</v>
      </c>
      <c r="P315" s="678" t="s">
        <v>1506</v>
      </c>
      <c r="Q315" s="677" t="s">
        <v>1582</v>
      </c>
      <c r="R315" s="674">
        <v>5</v>
      </c>
      <c r="S315" s="678" t="s">
        <v>1507</v>
      </c>
      <c r="T315" s="677" t="s">
        <v>1583</v>
      </c>
      <c r="U315" s="674">
        <v>6</v>
      </c>
      <c r="V315" s="678" t="s">
        <v>1502</v>
      </c>
      <c r="W315" s="677" t="s">
        <v>1583</v>
      </c>
      <c r="X315" s="674">
        <v>7</v>
      </c>
      <c r="Y315" s="678" t="s">
        <v>1498</v>
      </c>
      <c r="Z315" s="677" t="s">
        <v>2876</v>
      </c>
      <c r="AA315" s="674">
        <v>8</v>
      </c>
      <c r="AB315" s="678" t="s">
        <v>1784</v>
      </c>
      <c r="AC315" s="677" t="s">
        <v>2877</v>
      </c>
      <c r="AD315" s="674"/>
      <c r="AE315" s="680"/>
      <c r="AF315" s="681"/>
      <c r="AG315" s="674"/>
      <c r="AH315" s="680"/>
      <c r="AI315" s="681"/>
      <c r="AJ315" s="674"/>
      <c r="AK315" s="680"/>
      <c r="AL315" s="681"/>
    </row>
    <row r="316" spans="1:38" x14ac:dyDescent="0.55000000000000004">
      <c r="A316" s="686">
        <v>43747</v>
      </c>
      <c r="B316" s="682">
        <v>19313</v>
      </c>
      <c r="C316" s="675">
        <v>19026135</v>
      </c>
      <c r="D316" s="689" t="s">
        <v>1924</v>
      </c>
      <c r="E316" s="691"/>
      <c r="F316" s="674">
        <v>1</v>
      </c>
      <c r="G316" s="675" t="s">
        <v>1707</v>
      </c>
      <c r="H316" s="676" t="s">
        <v>1571</v>
      </c>
      <c r="I316" s="674">
        <v>2</v>
      </c>
      <c r="J316" s="675" t="s">
        <v>716</v>
      </c>
      <c r="K316" s="677" t="s">
        <v>1571</v>
      </c>
      <c r="L316" s="674">
        <v>3</v>
      </c>
      <c r="M316" s="678" t="s">
        <v>1634</v>
      </c>
      <c r="N316" s="677" t="s">
        <v>1633</v>
      </c>
      <c r="O316" s="674">
        <v>4</v>
      </c>
      <c r="P316" s="678" t="s">
        <v>1502</v>
      </c>
      <c r="Q316" s="677" t="s">
        <v>1574</v>
      </c>
      <c r="R316" s="674">
        <v>5</v>
      </c>
      <c r="S316" s="678" t="s">
        <v>1507</v>
      </c>
      <c r="T316" s="677" t="s">
        <v>1575</v>
      </c>
      <c r="U316" s="674">
        <v>6</v>
      </c>
      <c r="V316" s="678" t="s">
        <v>2328</v>
      </c>
      <c r="W316" s="677" t="s">
        <v>2338</v>
      </c>
      <c r="X316" s="674">
        <v>7</v>
      </c>
      <c r="Y316" s="678" t="s">
        <v>1503</v>
      </c>
      <c r="Z316" s="677" t="s">
        <v>1801</v>
      </c>
      <c r="AA316" s="674">
        <v>8</v>
      </c>
      <c r="AB316" s="678" t="s">
        <v>1515</v>
      </c>
      <c r="AC316" s="677" t="s">
        <v>1586</v>
      </c>
      <c r="AD316" s="674">
        <v>9</v>
      </c>
      <c r="AE316" s="678" t="s">
        <v>1793</v>
      </c>
      <c r="AF316" s="677" t="s">
        <v>1586</v>
      </c>
      <c r="AG316" s="674"/>
      <c r="AH316" s="680"/>
      <c r="AI316" s="681"/>
      <c r="AJ316" s="674"/>
      <c r="AK316" s="680"/>
      <c r="AL316" s="681"/>
    </row>
    <row r="317" spans="1:38" x14ac:dyDescent="0.55000000000000004">
      <c r="A317" s="686">
        <v>43747</v>
      </c>
      <c r="B317" s="682">
        <v>19314</v>
      </c>
      <c r="C317" s="675" t="s">
        <v>2506</v>
      </c>
      <c r="D317" s="689" t="s">
        <v>2875</v>
      </c>
      <c r="E317" s="691"/>
      <c r="F317" s="674">
        <v>1</v>
      </c>
      <c r="G317" s="675" t="s">
        <v>2509</v>
      </c>
      <c r="H317" s="676" t="s">
        <v>1579</v>
      </c>
      <c r="I317" s="674">
        <v>2</v>
      </c>
      <c r="J317" s="675" t="s">
        <v>1503</v>
      </c>
      <c r="K317" s="677" t="s">
        <v>1597</v>
      </c>
      <c r="L317" s="674"/>
      <c r="M317" s="680"/>
      <c r="N317" s="681"/>
      <c r="O317" s="674"/>
      <c r="P317" s="680"/>
      <c r="Q317" s="681"/>
      <c r="R317" s="674"/>
      <c r="S317" s="680"/>
      <c r="T317" s="681"/>
      <c r="U317" s="674"/>
      <c r="V317" s="680"/>
      <c r="W317" s="681"/>
      <c r="X317" s="674"/>
      <c r="Y317" s="680"/>
      <c r="Z317" s="681"/>
      <c r="AA317" s="674"/>
      <c r="AB317" s="680"/>
      <c r="AC317" s="681"/>
      <c r="AD317" s="674"/>
      <c r="AE317" s="680"/>
      <c r="AF317" s="681"/>
      <c r="AG317" s="674"/>
      <c r="AH317" s="680"/>
      <c r="AI317" s="681"/>
      <c r="AJ317" s="674"/>
      <c r="AK317" s="680"/>
      <c r="AL317" s="681"/>
    </row>
    <row r="318" spans="1:38" x14ac:dyDescent="0.55000000000000004">
      <c r="A318" s="686">
        <v>43747</v>
      </c>
      <c r="B318" s="682">
        <v>19315</v>
      </c>
      <c r="C318" s="675">
        <v>19096371</v>
      </c>
      <c r="D318" s="689" t="s">
        <v>1738</v>
      </c>
      <c r="E318" s="691"/>
      <c r="F318" s="674">
        <v>1</v>
      </c>
      <c r="G318" s="675" t="s">
        <v>657</v>
      </c>
      <c r="H318" s="676" t="s">
        <v>1571</v>
      </c>
      <c r="I318" s="674">
        <v>2</v>
      </c>
      <c r="J318" s="675" t="s">
        <v>658</v>
      </c>
      <c r="K318" s="677" t="s">
        <v>1571</v>
      </c>
      <c r="L318" s="674">
        <v>3</v>
      </c>
      <c r="M318" s="678" t="s">
        <v>1506</v>
      </c>
      <c r="N318" s="677" t="s">
        <v>1578</v>
      </c>
      <c r="O318" s="674">
        <v>4</v>
      </c>
      <c r="P318" s="678" t="s">
        <v>1502</v>
      </c>
      <c r="Q318" s="677" t="s">
        <v>1583</v>
      </c>
      <c r="R318" s="674">
        <v>5</v>
      </c>
      <c r="S318" s="678" t="s">
        <v>1498</v>
      </c>
      <c r="T318" s="677" t="s">
        <v>1635</v>
      </c>
      <c r="U318" s="674"/>
      <c r="V318" s="680"/>
      <c r="W318" s="681"/>
      <c r="X318" s="674"/>
      <c r="Y318" s="680"/>
      <c r="Z318" s="681"/>
      <c r="AA318" s="674"/>
      <c r="AB318" s="680"/>
      <c r="AC318" s="681"/>
      <c r="AD318" s="674"/>
      <c r="AE318" s="680"/>
      <c r="AF318" s="681"/>
      <c r="AG318" s="674"/>
      <c r="AH318" s="680"/>
      <c r="AI318" s="681"/>
      <c r="AJ318" s="674"/>
      <c r="AK318" s="680"/>
      <c r="AL318" s="681"/>
    </row>
    <row r="319" spans="1:38" x14ac:dyDescent="0.55000000000000004">
      <c r="A319" s="670">
        <v>43750</v>
      </c>
      <c r="B319" s="698">
        <v>19316</v>
      </c>
      <c r="C319" s="672">
        <v>19096352</v>
      </c>
      <c r="D319" s="673" t="s">
        <v>2405</v>
      </c>
      <c r="E319" s="691"/>
      <c r="F319" s="674">
        <v>1</v>
      </c>
      <c r="G319" s="675" t="s">
        <v>2609</v>
      </c>
      <c r="H319" s="676" t="s">
        <v>1571</v>
      </c>
      <c r="I319" s="674">
        <v>2</v>
      </c>
      <c r="J319" s="675" t="s">
        <v>1503</v>
      </c>
      <c r="K319" s="677" t="s">
        <v>1597</v>
      </c>
      <c r="L319" s="674"/>
      <c r="M319" s="680"/>
      <c r="N319" s="681"/>
      <c r="O319" s="674"/>
      <c r="P319" s="680"/>
      <c r="Q319" s="681"/>
      <c r="R319" s="674"/>
      <c r="S319" s="680"/>
      <c r="T319" s="681"/>
      <c r="U319" s="674"/>
      <c r="V319" s="680"/>
      <c r="W319" s="681"/>
      <c r="X319" s="674"/>
      <c r="Y319" s="680"/>
      <c r="Z319" s="681"/>
      <c r="AA319" s="674"/>
      <c r="AB319" s="680"/>
      <c r="AC319" s="681"/>
      <c r="AD319" s="674"/>
      <c r="AE319" s="680"/>
      <c r="AF319" s="681"/>
      <c r="AG319" s="674"/>
      <c r="AH319" s="680"/>
      <c r="AI319" s="681"/>
      <c r="AJ319" s="674"/>
      <c r="AK319" s="680"/>
      <c r="AL319" s="681"/>
    </row>
    <row r="320" spans="1:38" x14ac:dyDescent="0.55000000000000004">
      <c r="A320" s="698"/>
      <c r="B320" s="856">
        <v>19317</v>
      </c>
      <c r="C320" s="700"/>
      <c r="D320" s="704"/>
      <c r="E320" s="691"/>
      <c r="F320" s="674">
        <v>1</v>
      </c>
      <c r="G320" s="675" t="s">
        <v>2609</v>
      </c>
      <c r="H320" s="676" t="s">
        <v>1571</v>
      </c>
      <c r="I320" s="674">
        <v>2</v>
      </c>
      <c r="J320" s="675" t="s">
        <v>1503</v>
      </c>
      <c r="K320" s="677" t="s">
        <v>1597</v>
      </c>
      <c r="L320" s="674"/>
      <c r="M320" s="680"/>
      <c r="N320" s="681"/>
      <c r="O320" s="674"/>
      <c r="P320" s="680"/>
      <c r="Q320" s="681"/>
      <c r="R320" s="674"/>
      <c r="S320" s="680"/>
      <c r="T320" s="681"/>
      <c r="U320" s="674"/>
      <c r="V320" s="680"/>
      <c r="W320" s="681"/>
      <c r="X320" s="674"/>
      <c r="Y320" s="680"/>
      <c r="Z320" s="681"/>
      <c r="AA320" s="674"/>
      <c r="AB320" s="680"/>
      <c r="AC320" s="681"/>
      <c r="AD320" s="674"/>
      <c r="AE320" s="680"/>
      <c r="AF320" s="681"/>
      <c r="AG320" s="674"/>
      <c r="AH320" s="680"/>
      <c r="AI320" s="681"/>
      <c r="AJ320" s="674"/>
      <c r="AK320" s="680"/>
      <c r="AL320" s="681"/>
    </row>
    <row r="321" spans="1:38" x14ac:dyDescent="0.55000000000000004">
      <c r="A321" s="698"/>
      <c r="B321" s="856">
        <v>19318</v>
      </c>
      <c r="C321" s="700"/>
      <c r="D321" s="704"/>
      <c r="E321" s="691"/>
      <c r="F321" s="674">
        <v>1</v>
      </c>
      <c r="G321" s="675" t="s">
        <v>2609</v>
      </c>
      <c r="H321" s="676" t="s">
        <v>1571</v>
      </c>
      <c r="I321" s="674">
        <v>2</v>
      </c>
      <c r="J321" s="675" t="s">
        <v>1503</v>
      </c>
      <c r="K321" s="677" t="s">
        <v>1597</v>
      </c>
      <c r="L321" s="674"/>
      <c r="M321" s="680"/>
      <c r="N321" s="681"/>
      <c r="O321" s="674"/>
      <c r="P321" s="680"/>
      <c r="Q321" s="681"/>
      <c r="R321" s="674"/>
      <c r="S321" s="680"/>
      <c r="T321" s="681"/>
      <c r="U321" s="674"/>
      <c r="V321" s="680"/>
      <c r="W321" s="681"/>
      <c r="X321" s="674"/>
      <c r="Y321" s="680"/>
      <c r="Z321" s="681"/>
      <c r="AA321" s="674"/>
      <c r="AB321" s="680"/>
      <c r="AC321" s="681"/>
      <c r="AD321" s="674"/>
      <c r="AE321" s="680"/>
      <c r="AF321" s="681"/>
      <c r="AG321" s="674"/>
      <c r="AH321" s="680"/>
      <c r="AI321" s="681"/>
      <c r="AJ321" s="674"/>
      <c r="AK321" s="680"/>
      <c r="AL321" s="681"/>
    </row>
    <row r="322" spans="1:38" x14ac:dyDescent="0.55000000000000004">
      <c r="A322" s="698"/>
      <c r="B322" s="856">
        <v>19319</v>
      </c>
      <c r="C322" s="700"/>
      <c r="D322" s="704"/>
      <c r="E322" s="691"/>
      <c r="F322" s="674">
        <v>1</v>
      </c>
      <c r="G322" s="675" t="s">
        <v>2608</v>
      </c>
      <c r="H322" s="676" t="s">
        <v>1571</v>
      </c>
      <c r="I322" s="674">
        <v>2</v>
      </c>
      <c r="J322" s="675" t="s">
        <v>1634</v>
      </c>
      <c r="K322" s="677" t="s">
        <v>1586</v>
      </c>
      <c r="L322" s="674">
        <v>3</v>
      </c>
      <c r="M322" s="678" t="s">
        <v>1631</v>
      </c>
      <c r="N322" s="677" t="s">
        <v>1586</v>
      </c>
      <c r="O322" s="674">
        <v>4</v>
      </c>
      <c r="P322" s="678" t="s">
        <v>1507</v>
      </c>
      <c r="Q322" s="677" t="s">
        <v>1586</v>
      </c>
      <c r="R322" s="674">
        <v>5</v>
      </c>
      <c r="S322" s="678" t="s">
        <v>1503</v>
      </c>
      <c r="T322" s="677" t="s">
        <v>1597</v>
      </c>
      <c r="U322" s="674"/>
      <c r="V322" s="680"/>
      <c r="W322" s="681"/>
      <c r="X322" s="674"/>
      <c r="Y322" s="680"/>
      <c r="Z322" s="681"/>
      <c r="AA322" s="674"/>
      <c r="AB322" s="680"/>
      <c r="AC322" s="681"/>
      <c r="AD322" s="674"/>
      <c r="AE322" s="680"/>
      <c r="AF322" s="681"/>
      <c r="AG322" s="674"/>
      <c r="AH322" s="680"/>
      <c r="AI322" s="681"/>
      <c r="AJ322" s="674"/>
      <c r="AK322" s="680"/>
      <c r="AL322" s="681"/>
    </row>
    <row r="323" spans="1:38" x14ac:dyDescent="0.55000000000000004">
      <c r="A323" s="698"/>
      <c r="B323" s="856">
        <v>19320</v>
      </c>
      <c r="C323" s="700"/>
      <c r="D323" s="704"/>
      <c r="E323" s="691"/>
      <c r="F323" s="674">
        <v>1</v>
      </c>
      <c r="G323" s="675" t="s">
        <v>2943</v>
      </c>
      <c r="H323" s="676" t="s">
        <v>1571</v>
      </c>
      <c r="I323" s="674">
        <v>2</v>
      </c>
      <c r="J323" s="675" t="s">
        <v>1634</v>
      </c>
      <c r="K323" s="677" t="s">
        <v>1575</v>
      </c>
      <c r="L323" s="674">
        <v>3</v>
      </c>
      <c r="M323" s="678" t="s">
        <v>1631</v>
      </c>
      <c r="N323" s="677" t="s">
        <v>1575</v>
      </c>
      <c r="O323" s="674">
        <v>4</v>
      </c>
      <c r="P323" s="678" t="s">
        <v>2458</v>
      </c>
      <c r="Q323" s="677" t="s">
        <v>1575</v>
      </c>
      <c r="R323" s="674">
        <v>5</v>
      </c>
      <c r="S323" s="678" t="s">
        <v>2940</v>
      </c>
      <c r="T323" s="677" t="s">
        <v>1575</v>
      </c>
      <c r="U323" s="674">
        <v>6</v>
      </c>
      <c r="V323" s="678" t="s">
        <v>2327</v>
      </c>
      <c r="W323" s="677" t="s">
        <v>1575</v>
      </c>
      <c r="X323" s="674">
        <v>7</v>
      </c>
      <c r="Y323" s="678" t="s">
        <v>1900</v>
      </c>
      <c r="Z323" s="677" t="s">
        <v>1574</v>
      </c>
      <c r="AA323" s="674">
        <v>8</v>
      </c>
      <c r="AB323" s="678" t="s">
        <v>1503</v>
      </c>
      <c r="AC323" s="677" t="s">
        <v>1597</v>
      </c>
      <c r="AD323" s="674"/>
      <c r="AE323" s="680"/>
      <c r="AF323" s="681"/>
      <c r="AG323" s="674"/>
      <c r="AH323" s="680"/>
      <c r="AI323" s="681"/>
      <c r="AJ323" s="674"/>
      <c r="AK323" s="680"/>
      <c r="AL323" s="681"/>
    </row>
    <row r="324" spans="1:38" x14ac:dyDescent="0.55000000000000004">
      <c r="A324" s="682"/>
      <c r="B324" s="683">
        <v>19321</v>
      </c>
      <c r="C324" s="684"/>
      <c r="D324" s="705"/>
      <c r="E324" s="691"/>
      <c r="F324" s="674">
        <v>1</v>
      </c>
      <c r="G324" s="675" t="s">
        <v>2939</v>
      </c>
      <c r="H324" s="676" t="s">
        <v>1586</v>
      </c>
      <c r="I324" s="674">
        <v>2</v>
      </c>
      <c r="J324" s="675" t="s">
        <v>1634</v>
      </c>
      <c r="K324" s="677" t="s">
        <v>1575</v>
      </c>
      <c r="L324" s="674">
        <v>3</v>
      </c>
      <c r="M324" s="678" t="s">
        <v>1631</v>
      </c>
      <c r="N324" s="677" t="s">
        <v>1574</v>
      </c>
      <c r="O324" s="674">
        <v>4</v>
      </c>
      <c r="P324" s="678" t="s">
        <v>2940</v>
      </c>
      <c r="Q324" s="677" t="s">
        <v>1586</v>
      </c>
      <c r="R324" s="674">
        <v>5</v>
      </c>
      <c r="S324" s="678" t="s">
        <v>2328</v>
      </c>
      <c r="T324" s="677" t="s">
        <v>2941</v>
      </c>
      <c r="U324" s="674">
        <v>6</v>
      </c>
      <c r="V324" s="678" t="s">
        <v>2472</v>
      </c>
      <c r="W324" s="677" t="s">
        <v>1575</v>
      </c>
      <c r="X324" s="674">
        <v>7</v>
      </c>
      <c r="Y324" s="678" t="s">
        <v>2942</v>
      </c>
      <c r="Z324" s="677" t="s">
        <v>1586</v>
      </c>
      <c r="AA324" s="674">
        <v>8</v>
      </c>
      <c r="AB324" s="678" t="s">
        <v>1503</v>
      </c>
      <c r="AC324" s="677" t="s">
        <v>1597</v>
      </c>
      <c r="AD324" s="674"/>
      <c r="AE324" s="680"/>
      <c r="AF324" s="681"/>
      <c r="AG324" s="674"/>
      <c r="AH324" s="680"/>
      <c r="AI324" s="681"/>
      <c r="AJ324" s="674"/>
      <c r="AK324" s="680"/>
      <c r="AL324" s="681"/>
    </row>
    <row r="325" spans="1:38" x14ac:dyDescent="0.55000000000000004">
      <c r="A325" s="686">
        <v>43753</v>
      </c>
      <c r="B325" s="682">
        <v>19322</v>
      </c>
      <c r="C325" s="675">
        <v>19096352</v>
      </c>
      <c r="D325" s="689" t="s">
        <v>2405</v>
      </c>
      <c r="E325" s="691" t="s">
        <v>1210</v>
      </c>
      <c r="F325" s="674">
        <v>1</v>
      </c>
      <c r="G325" s="675" t="s">
        <v>1210</v>
      </c>
      <c r="H325" s="676" t="s">
        <v>1586</v>
      </c>
      <c r="I325" s="674"/>
      <c r="J325" s="690"/>
      <c r="K325" s="681"/>
      <c r="L325" s="674"/>
      <c r="M325" s="680"/>
      <c r="N325" s="681"/>
      <c r="O325" s="674"/>
      <c r="P325" s="680"/>
      <c r="Q325" s="681"/>
      <c r="R325" s="674"/>
      <c r="S325" s="680"/>
      <c r="T325" s="681"/>
      <c r="U325" s="674"/>
      <c r="V325" s="680"/>
      <c r="W325" s="681"/>
      <c r="X325" s="674"/>
      <c r="Y325" s="680"/>
      <c r="Z325" s="681"/>
      <c r="AA325" s="674"/>
      <c r="AB325" s="680"/>
      <c r="AC325" s="681"/>
      <c r="AD325" s="674"/>
      <c r="AE325" s="680"/>
      <c r="AF325" s="681"/>
      <c r="AG325" s="674"/>
      <c r="AH325" s="680"/>
      <c r="AI325" s="681"/>
      <c r="AJ325" s="674"/>
      <c r="AK325" s="680"/>
      <c r="AL325" s="681"/>
    </row>
    <row r="326" spans="1:38" x14ac:dyDescent="0.55000000000000004">
      <c r="A326" s="670">
        <v>43754</v>
      </c>
      <c r="B326" s="692">
        <v>19323</v>
      </c>
      <c r="C326" s="672" t="s">
        <v>2892</v>
      </c>
      <c r="D326" s="693" t="s">
        <v>2924</v>
      </c>
      <c r="E326" s="694"/>
      <c r="F326" s="674">
        <v>1</v>
      </c>
      <c r="G326" s="675" t="s">
        <v>593</v>
      </c>
      <c r="H326" s="676" t="s">
        <v>1579</v>
      </c>
      <c r="I326" s="674">
        <v>2</v>
      </c>
      <c r="J326" s="675" t="s">
        <v>1506</v>
      </c>
      <c r="K326" s="677" t="s">
        <v>1583</v>
      </c>
      <c r="L326" s="674">
        <v>3</v>
      </c>
      <c r="M326" s="678" t="s">
        <v>1507</v>
      </c>
      <c r="N326" s="677" t="s">
        <v>1583</v>
      </c>
      <c r="O326" s="674">
        <v>4</v>
      </c>
      <c r="P326" s="678" t="s">
        <v>1508</v>
      </c>
      <c r="Q326" s="677" t="s">
        <v>1927</v>
      </c>
      <c r="R326" s="674"/>
      <c r="S326" s="680"/>
      <c r="T326" s="681"/>
      <c r="U326" s="674"/>
      <c r="V326" s="680"/>
      <c r="W326" s="681"/>
      <c r="X326" s="674"/>
      <c r="Y326" s="680"/>
      <c r="Z326" s="681"/>
      <c r="AA326" s="674"/>
      <c r="AB326" s="680"/>
      <c r="AC326" s="681"/>
      <c r="AD326" s="674"/>
      <c r="AE326" s="680"/>
      <c r="AF326" s="681"/>
      <c r="AG326" s="674"/>
      <c r="AH326" s="680"/>
      <c r="AI326" s="681"/>
      <c r="AJ326" s="674"/>
      <c r="AK326" s="680"/>
      <c r="AL326" s="681"/>
    </row>
    <row r="327" spans="1:38" x14ac:dyDescent="0.55000000000000004">
      <c r="A327" s="682"/>
      <c r="B327" s="682">
        <v>19324</v>
      </c>
      <c r="C327" s="684"/>
      <c r="D327" s="685"/>
      <c r="E327" s="708"/>
      <c r="F327" s="674">
        <v>1</v>
      </c>
      <c r="G327" s="675" t="s">
        <v>593</v>
      </c>
      <c r="H327" s="676" t="s">
        <v>1579</v>
      </c>
      <c r="I327" s="674">
        <v>2</v>
      </c>
      <c r="J327" s="675" t="s">
        <v>1506</v>
      </c>
      <c r="K327" s="677" t="s">
        <v>1583</v>
      </c>
      <c r="L327" s="674">
        <v>3</v>
      </c>
      <c r="M327" s="678" t="s">
        <v>1507</v>
      </c>
      <c r="N327" s="677" t="s">
        <v>1583</v>
      </c>
      <c r="O327" s="674">
        <v>4</v>
      </c>
      <c r="P327" s="678" t="s">
        <v>1508</v>
      </c>
      <c r="Q327" s="677" t="s">
        <v>1927</v>
      </c>
      <c r="R327" s="674"/>
      <c r="S327" s="680"/>
      <c r="T327" s="681"/>
      <c r="U327" s="674"/>
      <c r="V327" s="680"/>
      <c r="W327" s="681"/>
      <c r="X327" s="674"/>
      <c r="Y327" s="680"/>
      <c r="Z327" s="681"/>
      <c r="AA327" s="674"/>
      <c r="AB327" s="680"/>
      <c r="AC327" s="681"/>
      <c r="AD327" s="674"/>
      <c r="AE327" s="680"/>
      <c r="AF327" s="681"/>
      <c r="AG327" s="674"/>
      <c r="AH327" s="680"/>
      <c r="AI327" s="681"/>
      <c r="AJ327" s="674"/>
      <c r="AK327" s="680"/>
      <c r="AL327" s="681"/>
    </row>
    <row r="328" spans="1:38" x14ac:dyDescent="0.55000000000000004">
      <c r="A328" s="670">
        <v>43754</v>
      </c>
      <c r="B328" s="692">
        <v>19325</v>
      </c>
      <c r="C328" s="672">
        <v>19096363</v>
      </c>
      <c r="D328" s="693" t="s">
        <v>2925</v>
      </c>
      <c r="E328" s="694"/>
      <c r="F328" s="674">
        <v>1</v>
      </c>
      <c r="G328" s="675" t="s">
        <v>2938</v>
      </c>
      <c r="H328" s="676" t="s">
        <v>1571</v>
      </c>
      <c r="I328" s="674">
        <v>2</v>
      </c>
      <c r="J328" s="675" t="s">
        <v>1634</v>
      </c>
      <c r="K328" s="677" t="s">
        <v>1574</v>
      </c>
      <c r="L328" s="674">
        <v>3</v>
      </c>
      <c r="M328" s="678" t="s">
        <v>1502</v>
      </c>
      <c r="N328" s="677" t="s">
        <v>1575</v>
      </c>
      <c r="O328" s="674">
        <v>4</v>
      </c>
      <c r="P328" s="678" t="s">
        <v>1503</v>
      </c>
      <c r="Q328" s="677" t="s">
        <v>1801</v>
      </c>
      <c r="R328" s="674"/>
      <c r="S328" s="680"/>
      <c r="T328" s="681"/>
      <c r="U328" s="674"/>
      <c r="V328" s="680"/>
      <c r="W328" s="681"/>
      <c r="X328" s="674"/>
      <c r="Y328" s="680"/>
      <c r="Z328" s="681"/>
      <c r="AA328" s="674"/>
      <c r="AB328" s="680"/>
      <c r="AC328" s="681"/>
      <c r="AD328" s="674"/>
      <c r="AE328" s="680"/>
      <c r="AF328" s="681"/>
      <c r="AG328" s="674"/>
      <c r="AH328" s="680"/>
      <c r="AI328" s="681"/>
      <c r="AJ328" s="674"/>
      <c r="AK328" s="680"/>
      <c r="AL328" s="681"/>
    </row>
    <row r="329" spans="1:38" x14ac:dyDescent="0.55000000000000004">
      <c r="A329" s="698"/>
      <c r="B329" s="703">
        <v>19326</v>
      </c>
      <c r="C329" s="700"/>
      <c r="D329" s="701"/>
      <c r="E329" s="726"/>
      <c r="F329" s="674">
        <v>1</v>
      </c>
      <c r="G329" s="675" t="s">
        <v>2936</v>
      </c>
      <c r="H329" s="676" t="s">
        <v>1571</v>
      </c>
      <c r="I329" s="674">
        <v>2</v>
      </c>
      <c r="J329" s="675" t="s">
        <v>1634</v>
      </c>
      <c r="K329" s="677" t="s">
        <v>1575</v>
      </c>
      <c r="L329" s="674">
        <v>3</v>
      </c>
      <c r="M329" s="678" t="s">
        <v>1631</v>
      </c>
      <c r="N329" s="677" t="s">
        <v>1586</v>
      </c>
      <c r="O329" s="674">
        <v>4</v>
      </c>
      <c r="P329" s="678" t="s">
        <v>1502</v>
      </c>
      <c r="Q329" s="677" t="s">
        <v>1574</v>
      </c>
      <c r="R329" s="674">
        <v>5</v>
      </c>
      <c r="S329" s="678" t="s">
        <v>2937</v>
      </c>
      <c r="T329" s="677" t="s">
        <v>1575</v>
      </c>
      <c r="U329" s="674">
        <v>6</v>
      </c>
      <c r="V329" s="678" t="s">
        <v>1900</v>
      </c>
      <c r="W329" s="677" t="s">
        <v>1575</v>
      </c>
      <c r="X329" s="674">
        <v>7</v>
      </c>
      <c r="Y329" s="678" t="s">
        <v>1503</v>
      </c>
      <c r="Z329" s="677" t="s">
        <v>1801</v>
      </c>
      <c r="AA329" s="674"/>
      <c r="AB329" s="680"/>
      <c r="AC329" s="681"/>
      <c r="AD329" s="674"/>
      <c r="AE329" s="680"/>
      <c r="AF329" s="681"/>
      <c r="AG329" s="674"/>
      <c r="AH329" s="680"/>
      <c r="AI329" s="681"/>
      <c r="AJ329" s="674"/>
      <c r="AK329" s="680"/>
      <c r="AL329" s="681"/>
    </row>
    <row r="330" spans="1:38" x14ac:dyDescent="0.55000000000000004">
      <c r="A330" s="698"/>
      <c r="B330" s="703">
        <v>19327</v>
      </c>
      <c r="C330" s="700"/>
      <c r="D330" s="704"/>
      <c r="E330" s="726"/>
      <c r="F330" s="674">
        <v>1</v>
      </c>
      <c r="G330" s="675" t="s">
        <v>2934</v>
      </c>
      <c r="H330" s="676" t="s">
        <v>1571</v>
      </c>
      <c r="I330" s="674">
        <v>2</v>
      </c>
      <c r="J330" s="675" t="s">
        <v>1634</v>
      </c>
      <c r="K330" s="677" t="s">
        <v>1574</v>
      </c>
      <c r="L330" s="674">
        <v>3</v>
      </c>
      <c r="M330" s="678" t="s">
        <v>1631</v>
      </c>
      <c r="N330" s="677" t="s">
        <v>1586</v>
      </c>
      <c r="O330" s="674">
        <v>4</v>
      </c>
      <c r="P330" s="678" t="s">
        <v>1502</v>
      </c>
      <c r="Q330" s="677" t="s">
        <v>1575</v>
      </c>
      <c r="R330" s="674">
        <v>5</v>
      </c>
      <c r="S330" s="678" t="s">
        <v>2328</v>
      </c>
      <c r="T330" s="677" t="s">
        <v>2933</v>
      </c>
      <c r="U330" s="674">
        <v>6</v>
      </c>
      <c r="V330" s="678" t="s">
        <v>2935</v>
      </c>
      <c r="W330" s="677" t="s">
        <v>1575</v>
      </c>
      <c r="X330" s="674">
        <v>7</v>
      </c>
      <c r="Y330" s="678" t="s">
        <v>1515</v>
      </c>
      <c r="Z330" s="677" t="s">
        <v>1586</v>
      </c>
      <c r="AA330" s="674">
        <v>8</v>
      </c>
      <c r="AB330" s="678" t="s">
        <v>1503</v>
      </c>
      <c r="AC330" s="677" t="s">
        <v>1801</v>
      </c>
      <c r="AD330" s="674"/>
      <c r="AE330" s="680"/>
      <c r="AF330" s="681"/>
      <c r="AG330" s="674"/>
      <c r="AH330" s="680"/>
      <c r="AI330" s="681"/>
      <c r="AJ330" s="674"/>
      <c r="AK330" s="680"/>
      <c r="AL330" s="681"/>
    </row>
    <row r="331" spans="1:38" x14ac:dyDescent="0.55000000000000004">
      <c r="A331" s="682"/>
      <c r="B331" s="682">
        <v>19328</v>
      </c>
      <c r="C331" s="684"/>
      <c r="D331" s="705"/>
      <c r="E331" s="708"/>
      <c r="F331" s="674">
        <v>1</v>
      </c>
      <c r="G331" s="675" t="s">
        <v>2932</v>
      </c>
      <c r="H331" s="676" t="s">
        <v>1571</v>
      </c>
      <c r="I331" s="674">
        <v>2</v>
      </c>
      <c r="J331" s="675" t="s">
        <v>1634</v>
      </c>
      <c r="K331" s="677" t="s">
        <v>1583</v>
      </c>
      <c r="L331" s="674">
        <v>3</v>
      </c>
      <c r="M331" s="678" t="s">
        <v>1502</v>
      </c>
      <c r="N331" s="677" t="s">
        <v>1586</v>
      </c>
      <c r="O331" s="674">
        <v>4</v>
      </c>
      <c r="P331" s="678" t="s">
        <v>1504</v>
      </c>
      <c r="Q331" s="677" t="s">
        <v>2933</v>
      </c>
      <c r="R331" s="674">
        <v>5</v>
      </c>
      <c r="S331" s="678" t="s">
        <v>1503</v>
      </c>
      <c r="T331" s="677" t="s">
        <v>1801</v>
      </c>
      <c r="U331" s="674"/>
      <c r="V331" s="680"/>
      <c r="W331" s="681"/>
      <c r="X331" s="674"/>
      <c r="Y331" s="680"/>
      <c r="Z331" s="681"/>
      <c r="AA331" s="674"/>
      <c r="AB331" s="680"/>
      <c r="AC331" s="681"/>
      <c r="AD331" s="674"/>
      <c r="AE331" s="680"/>
      <c r="AF331" s="681"/>
      <c r="AG331" s="674"/>
      <c r="AH331" s="680"/>
      <c r="AI331" s="681"/>
      <c r="AJ331" s="674"/>
      <c r="AK331" s="680"/>
      <c r="AL331" s="681"/>
    </row>
    <row r="332" spans="1:38" x14ac:dyDescent="0.55000000000000004">
      <c r="A332" s="686">
        <v>43756</v>
      </c>
      <c r="B332" s="682">
        <v>19329</v>
      </c>
      <c r="C332" s="675">
        <v>19106385</v>
      </c>
      <c r="D332" s="689" t="s">
        <v>1490</v>
      </c>
      <c r="E332" s="691"/>
      <c r="F332" s="674">
        <v>1</v>
      </c>
      <c r="G332" s="675" t="s">
        <v>2931</v>
      </c>
      <c r="H332" s="676" t="s">
        <v>1571</v>
      </c>
      <c r="I332" s="674">
        <v>2</v>
      </c>
      <c r="J332" s="675" t="s">
        <v>1511</v>
      </c>
      <c r="K332" s="677" t="s">
        <v>1574</v>
      </c>
      <c r="L332" s="674">
        <v>3</v>
      </c>
      <c r="M332" s="678" t="s">
        <v>1502</v>
      </c>
      <c r="N332" s="677" t="s">
        <v>1575</v>
      </c>
      <c r="O332" s="674">
        <v>4</v>
      </c>
      <c r="P332" s="678" t="s">
        <v>1498</v>
      </c>
      <c r="Q332" s="677" t="s">
        <v>1575</v>
      </c>
      <c r="R332" s="674">
        <v>5</v>
      </c>
      <c r="S332" s="678" t="s">
        <v>1503</v>
      </c>
      <c r="T332" s="677" t="s">
        <v>1801</v>
      </c>
      <c r="U332" s="674"/>
      <c r="V332" s="680"/>
      <c r="W332" s="681"/>
      <c r="X332" s="674"/>
      <c r="Y332" s="680"/>
      <c r="Z332" s="681"/>
      <c r="AA332" s="674"/>
      <c r="AB332" s="680"/>
      <c r="AC332" s="681"/>
      <c r="AD332" s="674"/>
      <c r="AE332" s="680"/>
      <c r="AF332" s="681"/>
      <c r="AG332" s="674"/>
      <c r="AH332" s="680"/>
      <c r="AI332" s="681"/>
      <c r="AJ332" s="674"/>
      <c r="AK332" s="680"/>
      <c r="AL332" s="681"/>
    </row>
    <row r="333" spans="1:38" x14ac:dyDescent="0.55000000000000004">
      <c r="A333" s="686">
        <v>43759</v>
      </c>
      <c r="B333" s="682">
        <v>19330</v>
      </c>
      <c r="C333" s="675">
        <v>19106384</v>
      </c>
      <c r="D333" s="689" t="s">
        <v>1490</v>
      </c>
      <c r="E333" s="691"/>
      <c r="F333" s="674">
        <v>1</v>
      </c>
      <c r="G333" s="675" t="s">
        <v>739</v>
      </c>
      <c r="H333" s="676" t="s">
        <v>1571</v>
      </c>
      <c r="I333" s="674">
        <v>2</v>
      </c>
      <c r="J333" s="675" t="s">
        <v>2887</v>
      </c>
      <c r="K333" s="677" t="s">
        <v>1571</v>
      </c>
      <c r="L333" s="674">
        <v>3</v>
      </c>
      <c r="M333" s="678" t="s">
        <v>2888</v>
      </c>
      <c r="N333" s="677" t="s">
        <v>1571</v>
      </c>
      <c r="O333" s="674">
        <v>4</v>
      </c>
      <c r="P333" s="678" t="s">
        <v>1511</v>
      </c>
      <c r="Q333" s="677" t="s">
        <v>2930</v>
      </c>
      <c r="R333" s="674">
        <v>5</v>
      </c>
      <c r="S333" s="678" t="s">
        <v>1502</v>
      </c>
      <c r="T333" s="677" t="s">
        <v>1583</v>
      </c>
      <c r="U333" s="674">
        <v>6</v>
      </c>
      <c r="V333" s="678" t="s">
        <v>1507</v>
      </c>
      <c r="W333" s="677" t="s">
        <v>1575</v>
      </c>
      <c r="X333" s="674">
        <v>7</v>
      </c>
      <c r="Y333" s="678" t="s">
        <v>1498</v>
      </c>
      <c r="Z333" s="677" t="s">
        <v>1785</v>
      </c>
      <c r="AA333" s="674"/>
      <c r="AB333" s="680"/>
      <c r="AC333" s="681"/>
      <c r="AD333" s="674"/>
      <c r="AE333" s="680"/>
      <c r="AF333" s="681"/>
      <c r="AG333" s="674"/>
      <c r="AH333" s="680"/>
      <c r="AI333" s="681"/>
      <c r="AJ333" s="674"/>
      <c r="AK333" s="680"/>
      <c r="AL333" s="681"/>
    </row>
    <row r="334" spans="1:38" x14ac:dyDescent="0.55000000000000004">
      <c r="A334" s="686">
        <v>43759</v>
      </c>
      <c r="B334" s="682">
        <v>19331</v>
      </c>
      <c r="C334" s="675">
        <v>19106388</v>
      </c>
      <c r="D334" s="689" t="s">
        <v>1490</v>
      </c>
      <c r="E334" s="691"/>
      <c r="F334" s="674">
        <v>1</v>
      </c>
      <c r="G334" s="675" t="s">
        <v>831</v>
      </c>
      <c r="H334" s="676" t="s">
        <v>1581</v>
      </c>
      <c r="I334" s="674"/>
      <c r="J334" s="690"/>
      <c r="K334" s="681"/>
      <c r="L334" s="674"/>
      <c r="M334" s="680"/>
      <c r="N334" s="681"/>
      <c r="O334" s="674"/>
      <c r="P334" s="680"/>
      <c r="Q334" s="681"/>
      <c r="R334" s="674"/>
      <c r="S334" s="680"/>
      <c r="T334" s="681"/>
      <c r="U334" s="674"/>
      <c r="V334" s="680"/>
      <c r="W334" s="681"/>
      <c r="X334" s="674"/>
      <c r="Y334" s="680"/>
      <c r="Z334" s="681"/>
      <c r="AA334" s="674"/>
      <c r="AB334" s="680"/>
      <c r="AC334" s="681"/>
      <c r="AD334" s="674"/>
      <c r="AE334" s="680"/>
      <c r="AF334" s="681"/>
      <c r="AG334" s="674"/>
      <c r="AH334" s="680"/>
      <c r="AI334" s="681"/>
      <c r="AJ334" s="674"/>
      <c r="AK334" s="680"/>
      <c r="AL334" s="681"/>
    </row>
    <row r="335" spans="1:38" x14ac:dyDescent="0.55000000000000004">
      <c r="A335" s="670">
        <v>43759</v>
      </c>
      <c r="B335" s="692">
        <v>19332</v>
      </c>
      <c r="C335" s="672">
        <v>19086307</v>
      </c>
      <c r="D335" s="673" t="s">
        <v>2926</v>
      </c>
      <c r="E335" s="694"/>
      <c r="F335" s="674">
        <v>1</v>
      </c>
      <c r="G335" s="675" t="s">
        <v>648</v>
      </c>
      <c r="H335" s="676" t="s">
        <v>1797</v>
      </c>
      <c r="I335" s="674">
        <v>2</v>
      </c>
      <c r="J335" s="675" t="s">
        <v>1506</v>
      </c>
      <c r="K335" s="677" t="s">
        <v>1633</v>
      </c>
      <c r="L335" s="674">
        <v>3</v>
      </c>
      <c r="M335" s="678" t="s">
        <v>1507</v>
      </c>
      <c r="N335" s="677" t="s">
        <v>1633</v>
      </c>
      <c r="O335" s="674">
        <v>4</v>
      </c>
      <c r="P335" s="678" t="s">
        <v>1498</v>
      </c>
      <c r="Q335" s="677" t="s">
        <v>2332</v>
      </c>
      <c r="R335" s="674"/>
      <c r="S335" s="680"/>
      <c r="T335" s="681"/>
      <c r="U335" s="674"/>
      <c r="V335" s="680"/>
      <c r="W335" s="681"/>
      <c r="X335" s="674"/>
      <c r="Y335" s="680"/>
      <c r="Z335" s="681"/>
      <c r="AA335" s="674"/>
      <c r="AB335" s="680"/>
      <c r="AC335" s="681"/>
      <c r="AD335" s="674"/>
      <c r="AE335" s="680"/>
      <c r="AF335" s="681"/>
      <c r="AG335" s="674"/>
      <c r="AH335" s="680"/>
      <c r="AI335" s="681"/>
      <c r="AJ335" s="674"/>
      <c r="AK335" s="680"/>
      <c r="AL335" s="681"/>
    </row>
    <row r="336" spans="1:38" x14ac:dyDescent="0.55000000000000004">
      <c r="A336" s="698"/>
      <c r="B336" s="703">
        <v>19333</v>
      </c>
      <c r="C336" s="700"/>
      <c r="D336" s="704"/>
      <c r="E336" s="726"/>
      <c r="F336" s="674">
        <v>1</v>
      </c>
      <c r="G336" s="675" t="s">
        <v>648</v>
      </c>
      <c r="H336" s="676" t="s">
        <v>1797</v>
      </c>
      <c r="I336" s="674">
        <v>2</v>
      </c>
      <c r="J336" s="675" t="s">
        <v>1506</v>
      </c>
      <c r="K336" s="677" t="s">
        <v>1633</v>
      </c>
      <c r="L336" s="674">
        <v>3</v>
      </c>
      <c r="M336" s="678" t="s">
        <v>1507</v>
      </c>
      <c r="N336" s="677" t="s">
        <v>1633</v>
      </c>
      <c r="O336" s="674">
        <v>4</v>
      </c>
      <c r="P336" s="678" t="s">
        <v>1498</v>
      </c>
      <c r="Q336" s="677" t="s">
        <v>2332</v>
      </c>
      <c r="R336" s="674"/>
      <c r="S336" s="680"/>
      <c r="T336" s="681"/>
      <c r="U336" s="674"/>
      <c r="V336" s="680"/>
      <c r="W336" s="681"/>
      <c r="X336" s="674"/>
      <c r="Y336" s="680"/>
      <c r="Z336" s="681"/>
      <c r="AA336" s="674"/>
      <c r="AB336" s="680"/>
      <c r="AC336" s="681"/>
      <c r="AD336" s="674"/>
      <c r="AE336" s="680"/>
      <c r="AF336" s="681"/>
      <c r="AG336" s="674"/>
      <c r="AH336" s="680"/>
      <c r="AI336" s="681"/>
      <c r="AJ336" s="674"/>
      <c r="AK336" s="680"/>
      <c r="AL336" s="681"/>
    </row>
    <row r="337" spans="1:38" x14ac:dyDescent="0.55000000000000004">
      <c r="A337" s="682"/>
      <c r="B337" s="682">
        <v>19334</v>
      </c>
      <c r="C337" s="684"/>
      <c r="D337" s="705"/>
      <c r="E337" s="708"/>
      <c r="F337" s="674">
        <v>1</v>
      </c>
      <c r="G337" s="675" t="s">
        <v>648</v>
      </c>
      <c r="H337" s="676" t="s">
        <v>1579</v>
      </c>
      <c r="I337" s="674">
        <v>2</v>
      </c>
      <c r="J337" s="675" t="s">
        <v>1506</v>
      </c>
      <c r="K337" s="677" t="s">
        <v>1583</v>
      </c>
      <c r="L337" s="674">
        <v>3</v>
      </c>
      <c r="M337" s="678" t="s">
        <v>1507</v>
      </c>
      <c r="N337" s="677" t="s">
        <v>1583</v>
      </c>
      <c r="O337" s="674">
        <v>4</v>
      </c>
      <c r="P337" s="678" t="s">
        <v>1498</v>
      </c>
      <c r="Q337" s="677" t="s">
        <v>1590</v>
      </c>
      <c r="R337" s="674"/>
      <c r="S337" s="680"/>
      <c r="T337" s="681"/>
      <c r="U337" s="674"/>
      <c r="V337" s="680"/>
      <c r="W337" s="681"/>
      <c r="X337" s="674"/>
      <c r="Y337" s="680"/>
      <c r="Z337" s="681"/>
      <c r="AA337" s="674"/>
      <c r="AB337" s="680"/>
      <c r="AC337" s="681"/>
      <c r="AD337" s="674"/>
      <c r="AE337" s="680"/>
      <c r="AF337" s="681"/>
      <c r="AG337" s="674"/>
      <c r="AH337" s="680"/>
      <c r="AI337" s="681"/>
      <c r="AJ337" s="674"/>
      <c r="AK337" s="680"/>
      <c r="AL337" s="681"/>
    </row>
    <row r="338" spans="1:38" x14ac:dyDescent="0.55000000000000004">
      <c r="A338" s="686">
        <v>43759</v>
      </c>
      <c r="B338" s="682">
        <v>19335</v>
      </c>
      <c r="C338" s="675">
        <v>19106391</v>
      </c>
      <c r="D338" s="689" t="s">
        <v>1624</v>
      </c>
      <c r="E338" s="691"/>
      <c r="F338" s="674">
        <v>1</v>
      </c>
      <c r="G338" s="675" t="s">
        <v>2922</v>
      </c>
      <c r="H338" s="676" t="s">
        <v>1571</v>
      </c>
      <c r="I338" s="674">
        <v>2</v>
      </c>
      <c r="J338" s="675" t="s">
        <v>1511</v>
      </c>
      <c r="K338" s="677" t="s">
        <v>1574</v>
      </c>
      <c r="L338" s="674">
        <v>3</v>
      </c>
      <c r="M338" s="678" t="s">
        <v>1502</v>
      </c>
      <c r="N338" s="677" t="s">
        <v>1575</v>
      </c>
      <c r="O338" s="674">
        <v>4</v>
      </c>
      <c r="P338" s="678" t="s">
        <v>1498</v>
      </c>
      <c r="Q338" s="677" t="s">
        <v>1596</v>
      </c>
      <c r="R338" s="674">
        <v>5</v>
      </c>
      <c r="S338" s="678" t="s">
        <v>1503</v>
      </c>
      <c r="T338" s="677" t="s">
        <v>1584</v>
      </c>
      <c r="U338" s="674"/>
      <c r="V338" s="680"/>
      <c r="W338" s="681"/>
      <c r="X338" s="674"/>
      <c r="Y338" s="680"/>
      <c r="Z338" s="681"/>
      <c r="AA338" s="674"/>
      <c r="AB338" s="680"/>
      <c r="AC338" s="681"/>
      <c r="AD338" s="674"/>
      <c r="AE338" s="680"/>
      <c r="AF338" s="681"/>
      <c r="AG338" s="674"/>
      <c r="AH338" s="680"/>
      <c r="AI338" s="681"/>
      <c r="AJ338" s="674"/>
      <c r="AK338" s="680"/>
      <c r="AL338" s="681"/>
    </row>
    <row r="339" spans="1:38" x14ac:dyDescent="0.55000000000000004">
      <c r="A339" s="686">
        <v>43762</v>
      </c>
      <c r="B339" s="682">
        <v>19336</v>
      </c>
      <c r="C339" s="688"/>
      <c r="D339" s="689" t="s">
        <v>2927</v>
      </c>
      <c r="E339" s="691" t="s">
        <v>1329</v>
      </c>
      <c r="F339" s="674">
        <v>1</v>
      </c>
      <c r="G339" s="675" t="s">
        <v>716</v>
      </c>
      <c r="H339" s="676" t="s">
        <v>1579</v>
      </c>
      <c r="I339" s="674">
        <v>2</v>
      </c>
      <c r="J339" s="675" t="s">
        <v>1634</v>
      </c>
      <c r="K339" s="677" t="s">
        <v>1575</v>
      </c>
      <c r="L339" s="674"/>
      <c r="M339" s="680"/>
      <c r="N339" s="681"/>
      <c r="O339" s="674"/>
      <c r="P339" s="680"/>
      <c r="Q339" s="681"/>
      <c r="R339" s="674"/>
      <c r="S339" s="680"/>
      <c r="T339" s="681"/>
      <c r="U339" s="674"/>
      <c r="V339" s="680"/>
      <c r="W339" s="681"/>
      <c r="X339" s="674"/>
      <c r="Y339" s="680"/>
      <c r="Z339" s="681"/>
      <c r="AA339" s="674"/>
      <c r="AB339" s="680"/>
      <c r="AC339" s="681"/>
      <c r="AD339" s="674"/>
      <c r="AE339" s="680"/>
      <c r="AF339" s="681"/>
      <c r="AG339" s="674"/>
      <c r="AH339" s="680"/>
      <c r="AI339" s="681"/>
      <c r="AJ339" s="674"/>
      <c r="AK339" s="680"/>
      <c r="AL339" s="681"/>
    </row>
    <row r="340" spans="1:38" x14ac:dyDescent="0.55000000000000004">
      <c r="A340" s="670">
        <v>43762</v>
      </c>
      <c r="B340" s="692">
        <v>19337</v>
      </c>
      <c r="C340" s="672">
        <v>19056233</v>
      </c>
      <c r="D340" s="673" t="s">
        <v>2928</v>
      </c>
      <c r="E340" s="725"/>
      <c r="F340" s="674">
        <v>1</v>
      </c>
      <c r="G340" s="675" t="s">
        <v>2122</v>
      </c>
      <c r="H340" s="676" t="s">
        <v>1797</v>
      </c>
      <c r="I340" s="674">
        <v>2</v>
      </c>
      <c r="J340" s="675" t="s">
        <v>1506</v>
      </c>
      <c r="K340" s="677" t="s">
        <v>1633</v>
      </c>
      <c r="L340" s="674">
        <v>3</v>
      </c>
      <c r="M340" s="678" t="s">
        <v>1507</v>
      </c>
      <c r="N340" s="677" t="s">
        <v>1633</v>
      </c>
      <c r="O340" s="674">
        <v>4</v>
      </c>
      <c r="P340" s="678" t="s">
        <v>1498</v>
      </c>
      <c r="Q340" s="677" t="s">
        <v>2332</v>
      </c>
      <c r="R340" s="674"/>
      <c r="S340" s="680"/>
      <c r="T340" s="681"/>
      <c r="U340" s="674"/>
      <c r="V340" s="680"/>
      <c r="W340" s="681"/>
      <c r="X340" s="674"/>
      <c r="Y340" s="680"/>
      <c r="Z340" s="681"/>
      <c r="AA340" s="674"/>
      <c r="AB340" s="680"/>
      <c r="AC340" s="681"/>
      <c r="AD340" s="674"/>
      <c r="AE340" s="680"/>
      <c r="AF340" s="681"/>
      <c r="AG340" s="674"/>
      <c r="AH340" s="680"/>
      <c r="AI340" s="681"/>
      <c r="AJ340" s="674"/>
      <c r="AK340" s="680"/>
      <c r="AL340" s="681"/>
    </row>
    <row r="341" spans="1:38" x14ac:dyDescent="0.55000000000000004">
      <c r="A341" s="682"/>
      <c r="B341" s="682">
        <v>19338</v>
      </c>
      <c r="C341" s="684"/>
      <c r="D341" s="685"/>
      <c r="E341" s="695"/>
      <c r="F341" s="674">
        <v>1</v>
      </c>
      <c r="G341" s="675" t="s">
        <v>2122</v>
      </c>
      <c r="H341" s="676" t="s">
        <v>1579</v>
      </c>
      <c r="I341" s="674">
        <v>2</v>
      </c>
      <c r="J341" s="675" t="s">
        <v>1506</v>
      </c>
      <c r="K341" s="677" t="s">
        <v>1583</v>
      </c>
      <c r="L341" s="674">
        <v>3</v>
      </c>
      <c r="M341" s="678" t="s">
        <v>1507</v>
      </c>
      <c r="N341" s="677" t="s">
        <v>1583</v>
      </c>
      <c r="O341" s="674">
        <v>4</v>
      </c>
      <c r="P341" s="678" t="s">
        <v>1498</v>
      </c>
      <c r="Q341" s="677" t="s">
        <v>1590</v>
      </c>
      <c r="R341" s="674"/>
      <c r="S341" s="680"/>
      <c r="T341" s="681"/>
      <c r="U341" s="674"/>
      <c r="V341" s="680"/>
      <c r="W341" s="681"/>
      <c r="X341" s="674"/>
      <c r="Y341" s="680"/>
      <c r="Z341" s="681"/>
      <c r="AA341" s="674"/>
      <c r="AB341" s="680"/>
      <c r="AC341" s="681"/>
      <c r="AD341" s="674"/>
      <c r="AE341" s="680"/>
      <c r="AF341" s="681"/>
      <c r="AG341" s="674"/>
      <c r="AH341" s="680"/>
      <c r="AI341" s="681"/>
      <c r="AJ341" s="674"/>
      <c r="AK341" s="680"/>
      <c r="AL341" s="681"/>
    </row>
    <row r="342" spans="1:38" x14ac:dyDescent="0.55000000000000004">
      <c r="A342" s="686">
        <v>43762</v>
      </c>
      <c r="B342" s="682">
        <v>19339</v>
      </c>
      <c r="C342" s="675">
        <v>19106390</v>
      </c>
      <c r="D342" s="689" t="s">
        <v>1331</v>
      </c>
      <c r="E342" s="691"/>
      <c r="F342" s="674">
        <v>1</v>
      </c>
      <c r="G342" s="675" t="s">
        <v>1141</v>
      </c>
      <c r="H342" s="676" t="s">
        <v>1579</v>
      </c>
      <c r="I342" s="674">
        <v>2</v>
      </c>
      <c r="J342" s="675" t="s">
        <v>1511</v>
      </c>
      <c r="K342" s="677" t="s">
        <v>1583</v>
      </c>
      <c r="L342" s="674">
        <v>3</v>
      </c>
      <c r="M342" s="678" t="s">
        <v>1503</v>
      </c>
      <c r="N342" s="677" t="s">
        <v>1632</v>
      </c>
      <c r="O342" s="674"/>
      <c r="P342" s="680"/>
      <c r="Q342" s="681"/>
      <c r="R342" s="674"/>
      <c r="S342" s="680"/>
      <c r="T342" s="681"/>
      <c r="U342" s="674"/>
      <c r="V342" s="680"/>
      <c r="W342" s="681"/>
      <c r="X342" s="674"/>
      <c r="Y342" s="680"/>
      <c r="Z342" s="681"/>
      <c r="AA342" s="674"/>
      <c r="AB342" s="680"/>
      <c r="AC342" s="681"/>
      <c r="AD342" s="674"/>
      <c r="AE342" s="680"/>
      <c r="AF342" s="681"/>
      <c r="AG342" s="674"/>
      <c r="AH342" s="680"/>
      <c r="AI342" s="681"/>
      <c r="AJ342" s="674"/>
      <c r="AK342" s="680"/>
      <c r="AL342" s="681"/>
    </row>
    <row r="343" spans="1:38" x14ac:dyDescent="0.55000000000000004">
      <c r="A343" s="670">
        <v>43762</v>
      </c>
      <c r="B343" s="692">
        <v>19340</v>
      </c>
      <c r="C343" s="672">
        <v>19106383</v>
      </c>
      <c r="D343" s="673" t="s">
        <v>2929</v>
      </c>
      <c r="E343" s="725"/>
      <c r="F343" s="674">
        <v>1</v>
      </c>
      <c r="G343" s="675" t="s">
        <v>1606</v>
      </c>
      <c r="H343" s="676" t="s">
        <v>1581</v>
      </c>
      <c r="I343" s="674"/>
      <c r="J343" s="690"/>
      <c r="K343" s="681"/>
      <c r="L343" s="674"/>
      <c r="M343" s="680"/>
      <c r="N343" s="681"/>
      <c r="O343" s="674"/>
      <c r="P343" s="680"/>
      <c r="Q343" s="681"/>
      <c r="R343" s="674"/>
      <c r="S343" s="680"/>
      <c r="T343" s="681"/>
      <c r="U343" s="674"/>
      <c r="V343" s="680"/>
      <c r="W343" s="681"/>
      <c r="X343" s="674"/>
      <c r="Y343" s="680"/>
      <c r="Z343" s="681"/>
      <c r="AA343" s="674"/>
      <c r="AB343" s="680"/>
      <c r="AC343" s="681"/>
      <c r="AD343" s="674"/>
      <c r="AE343" s="680"/>
      <c r="AF343" s="681"/>
      <c r="AG343" s="674"/>
      <c r="AH343" s="680"/>
      <c r="AI343" s="681"/>
      <c r="AJ343" s="674"/>
      <c r="AK343" s="680"/>
      <c r="AL343" s="681"/>
    </row>
    <row r="344" spans="1:38" x14ac:dyDescent="0.55000000000000004">
      <c r="A344" s="682"/>
      <c r="B344" s="682">
        <v>19341</v>
      </c>
      <c r="C344" s="684"/>
      <c r="D344" s="685"/>
      <c r="E344" s="695"/>
      <c r="F344" s="674">
        <v>1</v>
      </c>
      <c r="G344" s="675" t="s">
        <v>1606</v>
      </c>
      <c r="H344" s="676" t="s">
        <v>1581</v>
      </c>
      <c r="I344" s="674"/>
      <c r="J344" s="690"/>
      <c r="K344" s="681"/>
      <c r="L344" s="674"/>
      <c r="M344" s="680"/>
      <c r="N344" s="681"/>
      <c r="O344" s="674"/>
      <c r="P344" s="680"/>
      <c r="Q344" s="681"/>
      <c r="R344" s="674"/>
      <c r="S344" s="680"/>
      <c r="T344" s="681"/>
      <c r="U344" s="674"/>
      <c r="V344" s="680"/>
      <c r="W344" s="681"/>
      <c r="X344" s="674"/>
      <c r="Y344" s="680"/>
      <c r="Z344" s="681"/>
      <c r="AA344" s="674"/>
      <c r="AB344" s="680"/>
      <c r="AC344" s="681"/>
      <c r="AD344" s="674"/>
      <c r="AE344" s="680"/>
      <c r="AF344" s="681"/>
      <c r="AG344" s="674"/>
      <c r="AH344" s="680"/>
      <c r="AI344" s="681"/>
      <c r="AJ344" s="674"/>
      <c r="AK344" s="680"/>
      <c r="AL344" s="681"/>
    </row>
    <row r="345" spans="1:38" x14ac:dyDescent="0.55000000000000004">
      <c r="A345" s="686">
        <v>43767</v>
      </c>
      <c r="B345" s="682">
        <v>19342</v>
      </c>
      <c r="C345" s="675">
        <v>19106386</v>
      </c>
      <c r="D345" s="689" t="s">
        <v>1735</v>
      </c>
      <c r="E345" s="691"/>
      <c r="F345" s="674">
        <v>1</v>
      </c>
      <c r="G345" s="675" t="s">
        <v>661</v>
      </c>
      <c r="H345" s="676" t="s">
        <v>1579</v>
      </c>
      <c r="I345" s="674">
        <v>2</v>
      </c>
      <c r="J345" s="675" t="s">
        <v>1634</v>
      </c>
      <c r="K345" s="677" t="s">
        <v>1575</v>
      </c>
      <c r="L345" s="674">
        <v>3</v>
      </c>
      <c r="M345" s="678" t="s">
        <v>1507</v>
      </c>
      <c r="N345" s="677" t="s">
        <v>1583</v>
      </c>
      <c r="O345" s="674">
        <v>4</v>
      </c>
      <c r="P345" s="678" t="s">
        <v>1498</v>
      </c>
      <c r="Q345" s="677" t="s">
        <v>2064</v>
      </c>
      <c r="R345" s="674"/>
      <c r="S345" s="680"/>
      <c r="T345" s="681"/>
      <c r="U345" s="674"/>
      <c r="V345" s="680"/>
      <c r="W345" s="681"/>
      <c r="X345" s="674"/>
      <c r="Y345" s="680"/>
      <c r="Z345" s="681"/>
      <c r="AA345" s="674"/>
      <c r="AB345" s="680"/>
      <c r="AC345" s="681"/>
      <c r="AD345" s="674"/>
      <c r="AE345" s="680"/>
      <c r="AF345" s="681"/>
      <c r="AG345" s="674"/>
      <c r="AH345" s="680"/>
      <c r="AI345" s="681"/>
      <c r="AJ345" s="674"/>
      <c r="AK345" s="680"/>
      <c r="AL345" s="681"/>
    </row>
    <row r="346" spans="1:38" x14ac:dyDescent="0.55000000000000004">
      <c r="A346" s="686">
        <v>43767</v>
      </c>
      <c r="B346" s="682">
        <v>19343</v>
      </c>
      <c r="C346" s="688"/>
      <c r="D346" s="689" t="s">
        <v>3015</v>
      </c>
      <c r="E346" s="691" t="s">
        <v>1329</v>
      </c>
      <c r="F346" s="674">
        <v>1</v>
      </c>
      <c r="G346" s="675" t="s">
        <v>712</v>
      </c>
      <c r="H346" s="676" t="s">
        <v>1579</v>
      </c>
      <c r="I346" s="674"/>
      <c r="J346" s="690"/>
      <c r="K346" s="681"/>
      <c r="L346" s="674"/>
      <c r="M346" s="680"/>
      <c r="N346" s="681"/>
      <c r="O346" s="674"/>
      <c r="P346" s="680"/>
      <c r="Q346" s="681"/>
      <c r="R346" s="674"/>
      <c r="S346" s="680"/>
      <c r="T346" s="681"/>
      <c r="U346" s="674"/>
      <c r="V346" s="680"/>
      <c r="W346" s="681"/>
      <c r="X346" s="674"/>
      <c r="Y346" s="680"/>
      <c r="Z346" s="681"/>
      <c r="AA346" s="674"/>
      <c r="AB346" s="680"/>
      <c r="AC346" s="681"/>
      <c r="AD346" s="674"/>
      <c r="AE346" s="680"/>
      <c r="AF346" s="681"/>
      <c r="AG346" s="674"/>
      <c r="AH346" s="680"/>
      <c r="AI346" s="681"/>
      <c r="AJ346" s="674"/>
      <c r="AK346" s="680"/>
      <c r="AL346" s="681"/>
    </row>
    <row r="347" spans="1:38" x14ac:dyDescent="0.55000000000000004">
      <c r="A347" s="670">
        <v>43769</v>
      </c>
      <c r="B347" s="692">
        <v>19344</v>
      </c>
      <c r="C347" s="672">
        <v>19106394</v>
      </c>
      <c r="D347" s="673" t="s">
        <v>1735</v>
      </c>
      <c r="E347" s="725"/>
      <c r="F347" s="674">
        <v>1</v>
      </c>
      <c r="G347" s="675" t="s">
        <v>2915</v>
      </c>
      <c r="H347" s="676" t="s">
        <v>1571</v>
      </c>
      <c r="I347" s="674">
        <v>2</v>
      </c>
      <c r="J347" s="675" t="s">
        <v>1634</v>
      </c>
      <c r="K347" s="677" t="s">
        <v>1574</v>
      </c>
      <c r="L347" s="674">
        <v>3</v>
      </c>
      <c r="M347" s="678" t="s">
        <v>1502</v>
      </c>
      <c r="N347" s="677" t="s">
        <v>1575</v>
      </c>
      <c r="O347" s="674">
        <v>4</v>
      </c>
      <c r="P347" s="678" t="s">
        <v>1498</v>
      </c>
      <c r="Q347" s="677" t="s">
        <v>1678</v>
      </c>
      <c r="R347" s="674">
        <v>5</v>
      </c>
      <c r="S347" s="678" t="s">
        <v>1503</v>
      </c>
      <c r="T347" s="677" t="s">
        <v>1584</v>
      </c>
      <c r="U347" s="674"/>
      <c r="V347" s="680"/>
      <c r="W347" s="681"/>
      <c r="X347" s="674"/>
      <c r="Y347" s="680"/>
      <c r="Z347" s="681"/>
      <c r="AA347" s="674"/>
      <c r="AB347" s="680"/>
      <c r="AC347" s="681"/>
      <c r="AD347" s="674"/>
      <c r="AE347" s="680"/>
      <c r="AF347" s="681"/>
      <c r="AG347" s="674"/>
      <c r="AH347" s="680"/>
      <c r="AI347" s="681"/>
      <c r="AJ347" s="674"/>
      <c r="AK347" s="680"/>
      <c r="AL347" s="681"/>
    </row>
    <row r="348" spans="1:38" x14ac:dyDescent="0.55000000000000004">
      <c r="A348" s="682"/>
      <c r="B348" s="682">
        <v>19345</v>
      </c>
      <c r="C348" s="684"/>
      <c r="D348" s="685"/>
      <c r="E348" s="695"/>
      <c r="F348" s="674">
        <v>1</v>
      </c>
      <c r="G348" s="675" t="s">
        <v>2915</v>
      </c>
      <c r="H348" s="677" t="s">
        <v>1571</v>
      </c>
      <c r="I348" s="674">
        <v>2</v>
      </c>
      <c r="J348" s="678" t="s">
        <v>1634</v>
      </c>
      <c r="K348" s="677" t="s">
        <v>1574</v>
      </c>
      <c r="L348" s="674">
        <v>3</v>
      </c>
      <c r="M348" s="678" t="s">
        <v>1502</v>
      </c>
      <c r="N348" s="677" t="s">
        <v>1575</v>
      </c>
      <c r="O348" s="674">
        <v>4</v>
      </c>
      <c r="P348" s="678" t="s">
        <v>1498</v>
      </c>
      <c r="Q348" s="677" t="s">
        <v>1678</v>
      </c>
      <c r="R348" s="674">
        <v>5</v>
      </c>
      <c r="S348" s="678" t="s">
        <v>1503</v>
      </c>
      <c r="T348" s="677" t="s">
        <v>1584</v>
      </c>
      <c r="U348" s="674"/>
      <c r="V348" s="680"/>
      <c r="W348" s="681"/>
      <c r="X348" s="674"/>
      <c r="Y348" s="680"/>
      <c r="Z348" s="681"/>
      <c r="AA348" s="674"/>
      <c r="AB348" s="680"/>
      <c r="AC348" s="681"/>
      <c r="AD348" s="674"/>
      <c r="AE348" s="680"/>
      <c r="AF348" s="681"/>
      <c r="AG348" s="674"/>
      <c r="AH348" s="680"/>
      <c r="AI348" s="681"/>
      <c r="AJ348" s="674"/>
      <c r="AK348" s="680"/>
      <c r="AL348" s="681"/>
    </row>
    <row r="349" spans="1:38" x14ac:dyDescent="0.55000000000000004">
      <c r="A349" s="686">
        <v>43769</v>
      </c>
      <c r="B349" s="682">
        <v>19346</v>
      </c>
      <c r="C349" s="675">
        <v>19106397</v>
      </c>
      <c r="D349" s="689" t="s">
        <v>3016</v>
      </c>
      <c r="E349" s="691"/>
      <c r="F349" s="674">
        <v>1</v>
      </c>
      <c r="G349" s="675" t="s">
        <v>593</v>
      </c>
      <c r="H349" s="677" t="s">
        <v>1581</v>
      </c>
      <c r="I349" s="674">
        <v>2</v>
      </c>
      <c r="J349" s="678" t="s">
        <v>1634</v>
      </c>
      <c r="K349" s="677" t="s">
        <v>1582</v>
      </c>
      <c r="L349" s="674">
        <v>3</v>
      </c>
      <c r="M349" s="678" t="s">
        <v>1507</v>
      </c>
      <c r="N349" s="677" t="s">
        <v>1582</v>
      </c>
      <c r="O349" s="674">
        <v>4</v>
      </c>
      <c r="P349" s="678" t="s">
        <v>1508</v>
      </c>
      <c r="Q349" s="677" t="s">
        <v>1592</v>
      </c>
      <c r="R349" s="674"/>
      <c r="S349" s="680"/>
      <c r="T349" s="681"/>
      <c r="U349" s="674"/>
      <c r="V349" s="680"/>
      <c r="W349" s="681"/>
      <c r="X349" s="674"/>
      <c r="Y349" s="680"/>
      <c r="Z349" s="681"/>
      <c r="AA349" s="674"/>
      <c r="AB349" s="680"/>
      <c r="AC349" s="681"/>
      <c r="AD349" s="674"/>
      <c r="AE349" s="680"/>
      <c r="AF349" s="681"/>
      <c r="AG349" s="674"/>
      <c r="AH349" s="680"/>
      <c r="AI349" s="681"/>
      <c r="AJ349" s="674"/>
      <c r="AK349" s="680"/>
      <c r="AL349" s="681"/>
    </row>
    <row r="350" spans="1:38" x14ac:dyDescent="0.55000000000000004">
      <c r="A350" s="686">
        <v>43770</v>
      </c>
      <c r="B350" s="682">
        <v>19347</v>
      </c>
      <c r="C350" s="675" t="s">
        <v>2972</v>
      </c>
      <c r="D350" s="689" t="s">
        <v>2973</v>
      </c>
      <c r="E350" s="691"/>
      <c r="F350" s="674">
        <v>1</v>
      </c>
      <c r="G350" s="675" t="s">
        <v>1157</v>
      </c>
      <c r="H350" s="677" t="s">
        <v>1571</v>
      </c>
      <c r="I350" s="674"/>
      <c r="J350" s="690"/>
      <c r="K350" s="681"/>
      <c r="L350" s="674"/>
      <c r="M350" s="680"/>
      <c r="N350" s="681"/>
      <c r="O350" s="674"/>
      <c r="P350" s="680"/>
      <c r="Q350" s="681"/>
      <c r="R350" s="674"/>
      <c r="S350" s="680"/>
      <c r="T350" s="681"/>
      <c r="U350" s="674"/>
      <c r="V350" s="680"/>
      <c r="W350" s="681"/>
      <c r="X350" s="674"/>
      <c r="Y350" s="680"/>
      <c r="Z350" s="681"/>
      <c r="AA350" s="674"/>
      <c r="AB350" s="680"/>
      <c r="AC350" s="681"/>
      <c r="AD350" s="674"/>
      <c r="AE350" s="680"/>
      <c r="AF350" s="681"/>
      <c r="AG350" s="674"/>
      <c r="AH350" s="680"/>
      <c r="AI350" s="681"/>
      <c r="AJ350" s="674"/>
      <c r="AK350" s="680"/>
      <c r="AL350" s="681"/>
    </row>
    <row r="351" spans="1:38" x14ac:dyDescent="0.55000000000000004">
      <c r="A351" s="670">
        <v>43770</v>
      </c>
      <c r="B351" s="692">
        <v>19348</v>
      </c>
      <c r="C351" s="672">
        <v>19076276</v>
      </c>
      <c r="D351" s="673" t="s">
        <v>1493</v>
      </c>
      <c r="E351" s="725"/>
      <c r="F351" s="674">
        <v>1</v>
      </c>
      <c r="G351" s="675" t="s">
        <v>593</v>
      </c>
      <c r="H351" s="676" t="s">
        <v>1579</v>
      </c>
      <c r="I351" s="674">
        <v>2</v>
      </c>
      <c r="J351" s="675" t="s">
        <v>1506</v>
      </c>
      <c r="K351" s="677" t="s">
        <v>1583</v>
      </c>
      <c r="L351" s="674">
        <v>3</v>
      </c>
      <c r="M351" s="678" t="s">
        <v>1507</v>
      </c>
      <c r="N351" s="677" t="s">
        <v>1583</v>
      </c>
      <c r="O351" s="674">
        <v>4</v>
      </c>
      <c r="P351" s="678" t="s">
        <v>1508</v>
      </c>
      <c r="Q351" s="677" t="s">
        <v>3023</v>
      </c>
      <c r="R351" s="674"/>
      <c r="S351" s="680"/>
      <c r="T351" s="681"/>
      <c r="U351" s="674"/>
      <c r="V351" s="680"/>
      <c r="W351" s="681"/>
      <c r="X351" s="674"/>
      <c r="Y351" s="680"/>
      <c r="Z351" s="681"/>
      <c r="AA351" s="674"/>
      <c r="AB351" s="680"/>
      <c r="AC351" s="681"/>
      <c r="AD351" s="674"/>
      <c r="AE351" s="680"/>
      <c r="AF351" s="681"/>
      <c r="AG351" s="674"/>
      <c r="AH351" s="680"/>
      <c r="AI351" s="681"/>
      <c r="AJ351" s="674"/>
      <c r="AK351" s="680"/>
      <c r="AL351" s="681"/>
    </row>
    <row r="352" spans="1:38" x14ac:dyDescent="0.55000000000000004">
      <c r="A352" s="682"/>
      <c r="B352" s="682">
        <v>19349</v>
      </c>
      <c r="C352" s="684"/>
      <c r="D352" s="685"/>
      <c r="E352" s="695"/>
      <c r="F352" s="674">
        <v>1</v>
      </c>
      <c r="G352" s="675" t="s">
        <v>593</v>
      </c>
      <c r="H352" s="676" t="s">
        <v>1579</v>
      </c>
      <c r="I352" s="674">
        <v>2</v>
      </c>
      <c r="J352" s="675" t="s">
        <v>1506</v>
      </c>
      <c r="K352" s="677" t="s">
        <v>1583</v>
      </c>
      <c r="L352" s="674">
        <v>3</v>
      </c>
      <c r="M352" s="678" t="s">
        <v>1507</v>
      </c>
      <c r="N352" s="677" t="s">
        <v>1583</v>
      </c>
      <c r="O352" s="674">
        <v>4</v>
      </c>
      <c r="P352" s="678" t="s">
        <v>1508</v>
      </c>
      <c r="Q352" s="677" t="s">
        <v>3023</v>
      </c>
      <c r="R352" s="674"/>
      <c r="S352" s="680"/>
      <c r="T352" s="681"/>
      <c r="U352" s="674"/>
      <c r="V352" s="680"/>
      <c r="W352" s="681"/>
      <c r="X352" s="674"/>
      <c r="Y352" s="680"/>
      <c r="Z352" s="681"/>
      <c r="AA352" s="674"/>
      <c r="AB352" s="680"/>
      <c r="AC352" s="681"/>
      <c r="AD352" s="674"/>
      <c r="AE352" s="680"/>
      <c r="AF352" s="681"/>
      <c r="AG352" s="674"/>
      <c r="AH352" s="680"/>
      <c r="AI352" s="681"/>
      <c r="AJ352" s="674"/>
      <c r="AK352" s="680"/>
      <c r="AL352" s="681"/>
    </row>
    <row r="353" spans="1:38" x14ac:dyDescent="0.55000000000000004">
      <c r="A353" s="686">
        <v>43770</v>
      </c>
      <c r="B353" s="682">
        <v>19350</v>
      </c>
      <c r="C353" s="675">
        <v>19086323</v>
      </c>
      <c r="D353" s="689" t="s">
        <v>2679</v>
      </c>
      <c r="E353" s="691"/>
      <c r="F353" s="674">
        <v>1</v>
      </c>
      <c r="G353" s="675" t="s">
        <v>2530</v>
      </c>
      <c r="H353" s="676" t="s">
        <v>1571</v>
      </c>
      <c r="I353" s="674">
        <v>2</v>
      </c>
      <c r="J353" s="675" t="s">
        <v>1634</v>
      </c>
      <c r="K353" s="677" t="s">
        <v>1583</v>
      </c>
      <c r="L353" s="674">
        <v>3</v>
      </c>
      <c r="M353" s="678" t="s">
        <v>1502</v>
      </c>
      <c r="N353" s="677" t="s">
        <v>1575</v>
      </c>
      <c r="O353" s="674">
        <v>4</v>
      </c>
      <c r="P353" s="678" t="s">
        <v>1504</v>
      </c>
      <c r="Q353" s="677" t="s">
        <v>3022</v>
      </c>
      <c r="R353" s="674">
        <v>5</v>
      </c>
      <c r="S353" s="678" t="s">
        <v>1793</v>
      </c>
      <c r="T353" s="677" t="s">
        <v>1586</v>
      </c>
      <c r="U353" s="674">
        <v>6</v>
      </c>
      <c r="V353" s="678" t="s">
        <v>1503</v>
      </c>
      <c r="W353" s="677" t="s">
        <v>1597</v>
      </c>
      <c r="X353" s="674"/>
      <c r="Y353" s="680"/>
      <c r="Z353" s="681"/>
      <c r="AA353" s="674"/>
      <c r="AB353" s="680"/>
      <c r="AC353" s="681"/>
      <c r="AD353" s="674"/>
      <c r="AE353" s="680"/>
      <c r="AF353" s="681"/>
      <c r="AG353" s="674"/>
      <c r="AH353" s="680"/>
      <c r="AI353" s="681"/>
      <c r="AJ353" s="674"/>
      <c r="AK353" s="680"/>
      <c r="AL353" s="681"/>
    </row>
    <row r="354" spans="1:38" x14ac:dyDescent="0.55000000000000004">
      <c r="A354" s="686">
        <v>43770</v>
      </c>
      <c r="B354" s="682">
        <v>19351</v>
      </c>
      <c r="C354" s="675">
        <v>19106398</v>
      </c>
      <c r="D354" s="689" t="s">
        <v>1624</v>
      </c>
      <c r="E354" s="691"/>
      <c r="F354" s="674">
        <v>1</v>
      </c>
      <c r="G354" s="675" t="s">
        <v>2899</v>
      </c>
      <c r="H354" s="676" t="s">
        <v>1579</v>
      </c>
      <c r="I354" s="674">
        <v>2</v>
      </c>
      <c r="J354" s="675" t="s">
        <v>1511</v>
      </c>
      <c r="K354" s="677" t="s">
        <v>1582</v>
      </c>
      <c r="L354" s="674">
        <v>3</v>
      </c>
      <c r="M354" s="678" t="s">
        <v>1502</v>
      </c>
      <c r="N354" s="677" t="s">
        <v>1583</v>
      </c>
      <c r="O354" s="674">
        <v>4</v>
      </c>
      <c r="P354" s="678" t="s">
        <v>1498</v>
      </c>
      <c r="Q354" s="677" t="s">
        <v>3021</v>
      </c>
      <c r="R354" s="674">
        <v>5</v>
      </c>
      <c r="S354" s="678" t="s">
        <v>1503</v>
      </c>
      <c r="T354" s="677" t="s">
        <v>1597</v>
      </c>
      <c r="U354" s="674"/>
      <c r="V354" s="680"/>
      <c r="W354" s="681"/>
      <c r="X354" s="674"/>
      <c r="Y354" s="680"/>
      <c r="Z354" s="681"/>
      <c r="AA354" s="674"/>
      <c r="AB354" s="680"/>
      <c r="AC354" s="681"/>
      <c r="AD354" s="674"/>
      <c r="AE354" s="680"/>
      <c r="AF354" s="681"/>
      <c r="AG354" s="674"/>
      <c r="AH354" s="680"/>
      <c r="AI354" s="681"/>
      <c r="AJ354" s="674"/>
      <c r="AK354" s="680"/>
      <c r="AL354" s="681"/>
    </row>
    <row r="355" spans="1:38" x14ac:dyDescent="0.55000000000000004">
      <c r="A355" s="686">
        <v>43770</v>
      </c>
      <c r="B355" s="682">
        <v>19352</v>
      </c>
      <c r="C355" s="675">
        <v>19106385</v>
      </c>
      <c r="D355" s="689" t="s">
        <v>1490</v>
      </c>
      <c r="E355" s="691"/>
      <c r="F355" s="674">
        <v>1</v>
      </c>
      <c r="G355" s="675" t="s">
        <v>2885</v>
      </c>
      <c r="H355" s="676" t="s">
        <v>1571</v>
      </c>
      <c r="I355" s="674">
        <v>2</v>
      </c>
      <c r="J355" s="675" t="s">
        <v>1511</v>
      </c>
      <c r="K355" s="677" t="s">
        <v>1574</v>
      </c>
      <c r="L355" s="674">
        <v>3</v>
      </c>
      <c r="M355" s="678" t="s">
        <v>1502</v>
      </c>
      <c r="N355" s="677" t="s">
        <v>1575</v>
      </c>
      <c r="O355" s="674">
        <v>4</v>
      </c>
      <c r="P355" s="678" t="s">
        <v>1498</v>
      </c>
      <c r="Q355" s="677" t="s">
        <v>1798</v>
      </c>
      <c r="R355" s="674">
        <v>5</v>
      </c>
      <c r="S355" s="678" t="s">
        <v>1503</v>
      </c>
      <c r="T355" s="677" t="s">
        <v>1801</v>
      </c>
      <c r="U355" s="674"/>
      <c r="V355" s="680"/>
      <c r="W355" s="681"/>
      <c r="X355" s="674"/>
      <c r="Y355" s="680"/>
      <c r="Z355" s="681"/>
      <c r="AA355" s="674"/>
      <c r="AB355" s="680"/>
      <c r="AC355" s="681"/>
      <c r="AD355" s="674"/>
      <c r="AE355" s="680"/>
      <c r="AF355" s="681"/>
      <c r="AG355" s="674"/>
      <c r="AH355" s="680"/>
      <c r="AI355" s="681"/>
      <c r="AJ355" s="674"/>
      <c r="AK355" s="680"/>
      <c r="AL355" s="681"/>
    </row>
    <row r="356" spans="1:38" x14ac:dyDescent="0.55000000000000004">
      <c r="A356" s="670">
        <v>43775</v>
      </c>
      <c r="B356" s="692">
        <v>19353</v>
      </c>
      <c r="C356" s="672">
        <v>19056232</v>
      </c>
      <c r="D356" s="673" t="s">
        <v>2928</v>
      </c>
      <c r="E356" s="725"/>
      <c r="F356" s="674">
        <v>1</v>
      </c>
      <c r="G356" s="675" t="s">
        <v>2126</v>
      </c>
      <c r="H356" s="676" t="s">
        <v>1571</v>
      </c>
      <c r="I356" s="674">
        <v>2</v>
      </c>
      <c r="J356" s="675" t="s">
        <v>1506</v>
      </c>
      <c r="K356" s="677" t="s">
        <v>3020</v>
      </c>
      <c r="L356" s="674">
        <v>3</v>
      </c>
      <c r="M356" s="678" t="s">
        <v>1502</v>
      </c>
      <c r="N356" s="677" t="s">
        <v>1575</v>
      </c>
      <c r="O356" s="674">
        <v>4</v>
      </c>
      <c r="P356" s="678" t="s">
        <v>1498</v>
      </c>
      <c r="Q356" s="677" t="s">
        <v>1590</v>
      </c>
      <c r="R356" s="674"/>
      <c r="S356" s="680"/>
      <c r="T356" s="681"/>
      <c r="U356" s="674"/>
      <c r="V356" s="680"/>
      <c r="W356" s="681"/>
      <c r="X356" s="674"/>
      <c r="Y356" s="680"/>
      <c r="Z356" s="681"/>
      <c r="AA356" s="674"/>
      <c r="AB356" s="680"/>
      <c r="AC356" s="681"/>
      <c r="AD356" s="674"/>
      <c r="AE356" s="680"/>
      <c r="AF356" s="681"/>
      <c r="AG356" s="674"/>
      <c r="AH356" s="680"/>
      <c r="AI356" s="681"/>
      <c r="AJ356" s="674"/>
      <c r="AK356" s="680"/>
      <c r="AL356" s="681"/>
    </row>
    <row r="357" spans="1:38" x14ac:dyDescent="0.55000000000000004">
      <c r="A357" s="682"/>
      <c r="B357" s="682">
        <v>19354</v>
      </c>
      <c r="C357" s="684"/>
      <c r="D357" s="685"/>
      <c r="E357" s="695"/>
      <c r="F357" s="674">
        <v>1</v>
      </c>
      <c r="G357" s="675" t="s">
        <v>1607</v>
      </c>
      <c r="H357" s="676" t="s">
        <v>1571</v>
      </c>
      <c r="I357" s="674">
        <v>2</v>
      </c>
      <c r="J357" s="675" t="s">
        <v>1503</v>
      </c>
      <c r="K357" s="677" t="s">
        <v>1801</v>
      </c>
      <c r="L357" s="674"/>
      <c r="M357" s="680"/>
      <c r="N357" s="681"/>
      <c r="O357" s="674"/>
      <c r="P357" s="680"/>
      <c r="Q357" s="681"/>
      <c r="R357" s="674"/>
      <c r="S357" s="680"/>
      <c r="T357" s="681"/>
      <c r="U357" s="674"/>
      <c r="V357" s="680"/>
      <c r="W357" s="681"/>
      <c r="X357" s="674"/>
      <c r="Y357" s="680"/>
      <c r="Z357" s="681"/>
      <c r="AA357" s="674"/>
      <c r="AB357" s="680"/>
      <c r="AC357" s="681"/>
      <c r="AD357" s="674"/>
      <c r="AE357" s="680"/>
      <c r="AF357" s="681"/>
      <c r="AG357" s="674"/>
      <c r="AH357" s="680"/>
      <c r="AI357" s="681"/>
      <c r="AJ357" s="674"/>
      <c r="AK357" s="680"/>
      <c r="AL357" s="681"/>
    </row>
    <row r="358" spans="1:38" x14ac:dyDescent="0.55000000000000004">
      <c r="A358" s="686">
        <v>43776</v>
      </c>
      <c r="B358" s="682">
        <v>19355</v>
      </c>
      <c r="C358" s="675">
        <v>19106406</v>
      </c>
      <c r="D358" s="689" t="s">
        <v>3017</v>
      </c>
      <c r="E358" s="691"/>
      <c r="F358" s="674">
        <v>1</v>
      </c>
      <c r="G358" s="675" t="s">
        <v>793</v>
      </c>
      <c r="H358" s="676" t="s">
        <v>1571</v>
      </c>
      <c r="I358" s="674">
        <v>2</v>
      </c>
      <c r="J358" s="675" t="s">
        <v>1634</v>
      </c>
      <c r="K358" s="677" t="s">
        <v>1586</v>
      </c>
      <c r="L358" s="674">
        <v>3</v>
      </c>
      <c r="M358" s="678" t="s">
        <v>1507</v>
      </c>
      <c r="N358" s="677" t="s">
        <v>1575</v>
      </c>
      <c r="O358" s="674">
        <v>4</v>
      </c>
      <c r="P358" s="678" t="s">
        <v>1498</v>
      </c>
      <c r="Q358" s="677" t="s">
        <v>2064</v>
      </c>
      <c r="R358" s="674">
        <v>5</v>
      </c>
      <c r="S358" s="678" t="s">
        <v>3019</v>
      </c>
      <c r="T358" s="677" t="s">
        <v>2070</v>
      </c>
      <c r="U358" s="674"/>
      <c r="V358" s="680"/>
      <c r="W358" s="681"/>
      <c r="X358" s="674"/>
      <c r="Y358" s="680"/>
      <c r="Z358" s="681"/>
      <c r="AA358" s="674"/>
      <c r="AB358" s="680"/>
      <c r="AC358" s="681"/>
      <c r="AD358" s="674"/>
      <c r="AE358" s="680"/>
      <c r="AF358" s="681"/>
      <c r="AG358" s="674"/>
      <c r="AH358" s="680"/>
      <c r="AI358" s="681"/>
      <c r="AJ358" s="674"/>
      <c r="AK358" s="680"/>
      <c r="AL358" s="681"/>
    </row>
    <row r="359" spans="1:38" x14ac:dyDescent="0.55000000000000004">
      <c r="A359" s="686">
        <v>43777</v>
      </c>
      <c r="B359" s="682">
        <v>19356</v>
      </c>
      <c r="C359" s="675">
        <v>19116409</v>
      </c>
      <c r="D359" s="689" t="s">
        <v>1490</v>
      </c>
      <c r="E359" s="691"/>
      <c r="F359" s="674">
        <v>1</v>
      </c>
      <c r="G359" s="675" t="s">
        <v>793</v>
      </c>
      <c r="H359" s="676" t="s">
        <v>1571</v>
      </c>
      <c r="I359" s="674">
        <v>2</v>
      </c>
      <c r="J359" s="675" t="s">
        <v>740</v>
      </c>
      <c r="K359" s="677" t="s">
        <v>1571</v>
      </c>
      <c r="L359" s="674">
        <v>3</v>
      </c>
      <c r="M359" s="678" t="s">
        <v>1511</v>
      </c>
      <c r="N359" s="677" t="s">
        <v>1574</v>
      </c>
      <c r="O359" s="674">
        <v>4</v>
      </c>
      <c r="P359" s="678" t="s">
        <v>1507</v>
      </c>
      <c r="Q359" s="677" t="s">
        <v>1575</v>
      </c>
      <c r="R359" s="674">
        <v>5</v>
      </c>
      <c r="S359" s="678" t="s">
        <v>1498</v>
      </c>
      <c r="T359" s="677" t="s">
        <v>1593</v>
      </c>
      <c r="U359" s="674"/>
      <c r="V359" s="680"/>
      <c r="W359" s="681"/>
      <c r="X359" s="674"/>
      <c r="Y359" s="680"/>
      <c r="Z359" s="681"/>
      <c r="AA359" s="674"/>
      <c r="AB359" s="680"/>
      <c r="AC359" s="681"/>
      <c r="AD359" s="674"/>
      <c r="AE359" s="680"/>
      <c r="AF359" s="681"/>
      <c r="AG359" s="674"/>
      <c r="AH359" s="680"/>
      <c r="AI359" s="681"/>
      <c r="AJ359" s="674"/>
      <c r="AK359" s="680"/>
      <c r="AL359" s="681"/>
    </row>
    <row r="360" spans="1:38" x14ac:dyDescent="0.55000000000000004">
      <c r="A360" s="686">
        <v>43778</v>
      </c>
      <c r="B360" s="682">
        <v>19357</v>
      </c>
      <c r="C360" s="675">
        <v>19106403</v>
      </c>
      <c r="D360" s="689" t="s">
        <v>1348</v>
      </c>
      <c r="E360" s="691"/>
      <c r="F360" s="674">
        <v>1</v>
      </c>
      <c r="G360" s="675" t="s">
        <v>1606</v>
      </c>
      <c r="H360" s="676" t="s">
        <v>1581</v>
      </c>
      <c r="I360" s="674"/>
      <c r="J360" s="690"/>
      <c r="K360" s="681"/>
      <c r="L360" s="674"/>
      <c r="M360" s="680"/>
      <c r="N360" s="681"/>
      <c r="O360" s="674"/>
      <c r="P360" s="680"/>
      <c r="Q360" s="681"/>
      <c r="R360" s="674"/>
      <c r="S360" s="680"/>
      <c r="T360" s="681"/>
      <c r="U360" s="674"/>
      <c r="V360" s="680"/>
      <c r="W360" s="681"/>
      <c r="X360" s="674"/>
      <c r="Y360" s="680"/>
      <c r="Z360" s="681"/>
      <c r="AA360" s="674"/>
      <c r="AB360" s="680"/>
      <c r="AC360" s="681"/>
      <c r="AD360" s="674"/>
      <c r="AE360" s="680"/>
      <c r="AF360" s="681"/>
      <c r="AG360" s="674"/>
      <c r="AH360" s="680"/>
      <c r="AI360" s="681"/>
      <c r="AJ360" s="674"/>
      <c r="AK360" s="680"/>
      <c r="AL360" s="681"/>
    </row>
    <row r="361" spans="1:38" x14ac:dyDescent="0.55000000000000004">
      <c r="A361" s="686">
        <v>43778</v>
      </c>
      <c r="B361" s="682">
        <v>19358</v>
      </c>
      <c r="C361" s="675">
        <v>19096373</v>
      </c>
      <c r="D361" s="689" t="s">
        <v>3018</v>
      </c>
      <c r="E361" s="691"/>
      <c r="F361" s="674">
        <v>1</v>
      </c>
      <c r="G361" s="675" t="s">
        <v>651</v>
      </c>
      <c r="H361" s="676" t="s">
        <v>1571</v>
      </c>
      <c r="I361" s="674">
        <v>2</v>
      </c>
      <c r="J361" s="675" t="s">
        <v>1503</v>
      </c>
      <c r="K361" s="677" t="s">
        <v>1632</v>
      </c>
      <c r="L361" s="674"/>
      <c r="M361" s="680"/>
      <c r="N361" s="681"/>
      <c r="O361" s="674"/>
      <c r="P361" s="680"/>
      <c r="Q361" s="681"/>
      <c r="R361" s="674"/>
      <c r="S361" s="680"/>
      <c r="T361" s="681"/>
      <c r="U361" s="674"/>
      <c r="V361" s="680"/>
      <c r="W361" s="681"/>
      <c r="X361" s="674"/>
      <c r="Y361" s="680"/>
      <c r="Z361" s="681"/>
      <c r="AA361" s="674"/>
      <c r="AB361" s="680"/>
      <c r="AC361" s="681"/>
      <c r="AD361" s="674"/>
      <c r="AE361" s="680"/>
      <c r="AF361" s="681"/>
      <c r="AG361" s="674"/>
      <c r="AH361" s="680"/>
      <c r="AI361" s="681"/>
      <c r="AJ361" s="674"/>
      <c r="AK361" s="680"/>
      <c r="AL361" s="681"/>
    </row>
    <row r="362" spans="1:38" x14ac:dyDescent="0.55000000000000004">
      <c r="A362" s="686">
        <v>43782</v>
      </c>
      <c r="B362" s="682">
        <v>19359</v>
      </c>
      <c r="C362" s="675">
        <v>19106405</v>
      </c>
      <c r="D362" s="689" t="s">
        <v>1735</v>
      </c>
      <c r="E362" s="691"/>
      <c r="F362" s="674">
        <v>1</v>
      </c>
      <c r="G362" s="675" t="s">
        <v>2958</v>
      </c>
      <c r="H362" s="676" t="s">
        <v>1797</v>
      </c>
      <c r="I362" s="674">
        <v>2</v>
      </c>
      <c r="J362" s="675" t="s">
        <v>1634</v>
      </c>
      <c r="K362" s="677" t="s">
        <v>1633</v>
      </c>
      <c r="L362" s="674">
        <v>3</v>
      </c>
      <c r="M362" s="678" t="s">
        <v>1507</v>
      </c>
      <c r="N362" s="677" t="s">
        <v>1633</v>
      </c>
      <c r="O362" s="674">
        <v>4</v>
      </c>
      <c r="P362" s="678" t="s">
        <v>1498</v>
      </c>
      <c r="Q362" s="677" t="s">
        <v>2332</v>
      </c>
      <c r="R362" s="674"/>
      <c r="S362" s="680"/>
      <c r="T362" s="681"/>
      <c r="U362" s="674"/>
      <c r="V362" s="680"/>
      <c r="W362" s="681"/>
      <c r="X362" s="674"/>
      <c r="Y362" s="680"/>
      <c r="Z362" s="681"/>
      <c r="AA362" s="674"/>
      <c r="AB362" s="680"/>
      <c r="AC362" s="681"/>
      <c r="AD362" s="674"/>
      <c r="AE362" s="680"/>
      <c r="AF362" s="681"/>
      <c r="AG362" s="674"/>
      <c r="AH362" s="680"/>
      <c r="AI362" s="681"/>
      <c r="AJ362" s="674"/>
      <c r="AK362" s="680"/>
      <c r="AL362" s="681"/>
    </row>
    <row r="363" spans="1:38" x14ac:dyDescent="0.55000000000000004">
      <c r="A363" s="686">
        <v>43784</v>
      </c>
      <c r="B363" s="682">
        <v>19360</v>
      </c>
      <c r="C363" s="675">
        <v>19076294</v>
      </c>
      <c r="D363" s="689" t="s">
        <v>2668</v>
      </c>
      <c r="E363" s="691"/>
      <c r="F363" s="674">
        <v>1</v>
      </c>
      <c r="G363" s="1088" t="s">
        <v>3088</v>
      </c>
      <c r="H363" s="1089" t="s">
        <v>1571</v>
      </c>
      <c r="I363" s="674">
        <v>2</v>
      </c>
      <c r="J363" s="1088" t="s">
        <v>3089</v>
      </c>
      <c r="K363" s="697" t="s">
        <v>1571</v>
      </c>
      <c r="L363" s="674"/>
      <c r="M363" s="680"/>
      <c r="N363" s="681"/>
      <c r="O363" s="674"/>
      <c r="P363" s="680"/>
      <c r="Q363" s="681"/>
      <c r="R363" s="674"/>
      <c r="S363" s="680"/>
      <c r="T363" s="681"/>
      <c r="U363" s="674"/>
      <c r="V363" s="680"/>
      <c r="W363" s="681"/>
      <c r="X363" s="674"/>
      <c r="Y363" s="680"/>
      <c r="Z363" s="681"/>
      <c r="AA363" s="674"/>
      <c r="AB363" s="680"/>
      <c r="AC363" s="681"/>
      <c r="AD363" s="674"/>
      <c r="AE363" s="680"/>
      <c r="AF363" s="681"/>
      <c r="AG363" s="674"/>
      <c r="AH363" s="680"/>
      <c r="AI363" s="681"/>
      <c r="AJ363" s="674"/>
      <c r="AK363" s="680"/>
      <c r="AL363" s="681"/>
    </row>
    <row r="364" spans="1:38" x14ac:dyDescent="0.55000000000000004">
      <c r="A364" s="686">
        <v>43784</v>
      </c>
      <c r="B364" s="682">
        <v>19361</v>
      </c>
      <c r="C364" s="675">
        <v>19106394</v>
      </c>
      <c r="D364" s="689" t="s">
        <v>1735</v>
      </c>
      <c r="E364" s="691"/>
      <c r="F364" s="674">
        <v>1</v>
      </c>
      <c r="G364" s="1088" t="s">
        <v>2915</v>
      </c>
      <c r="H364" s="1089" t="s">
        <v>1571</v>
      </c>
      <c r="I364" s="674">
        <v>2</v>
      </c>
      <c r="J364" s="1088" t="s">
        <v>849</v>
      </c>
      <c r="K364" s="697" t="s">
        <v>1571</v>
      </c>
      <c r="L364" s="674">
        <v>3</v>
      </c>
      <c r="M364" s="696" t="s">
        <v>1634</v>
      </c>
      <c r="N364" s="697" t="s">
        <v>1583</v>
      </c>
      <c r="O364" s="674">
        <v>4</v>
      </c>
      <c r="P364" s="696" t="s">
        <v>1507</v>
      </c>
      <c r="Q364" s="697" t="s">
        <v>1575</v>
      </c>
      <c r="R364" s="674">
        <v>5</v>
      </c>
      <c r="S364" s="696" t="s">
        <v>1502</v>
      </c>
      <c r="T364" s="697" t="s">
        <v>1575</v>
      </c>
      <c r="U364" s="674">
        <v>6</v>
      </c>
      <c r="V364" s="696" t="s">
        <v>1498</v>
      </c>
      <c r="W364" s="697" t="s">
        <v>3087</v>
      </c>
      <c r="X364" s="674"/>
      <c r="Y364" s="680"/>
      <c r="Z364" s="681"/>
      <c r="AA364" s="674"/>
      <c r="AB364" s="680"/>
      <c r="AC364" s="681"/>
      <c r="AD364" s="674"/>
      <c r="AE364" s="680"/>
      <c r="AF364" s="681"/>
      <c r="AG364" s="674"/>
      <c r="AH364" s="680"/>
      <c r="AI364" s="681"/>
      <c r="AJ364" s="674"/>
      <c r="AK364" s="680"/>
      <c r="AL364" s="681"/>
    </row>
    <row r="365" spans="1:38" x14ac:dyDescent="0.55000000000000004">
      <c r="A365" s="670">
        <v>43788</v>
      </c>
      <c r="B365" s="692">
        <v>19362</v>
      </c>
      <c r="C365" s="672">
        <v>19106380</v>
      </c>
      <c r="D365" s="673" t="s">
        <v>3086</v>
      </c>
      <c r="E365" s="725"/>
      <c r="F365" s="674">
        <v>1</v>
      </c>
      <c r="G365" s="1088" t="s">
        <v>713</v>
      </c>
      <c r="H365" s="1089" t="s">
        <v>1571</v>
      </c>
      <c r="I365" s="674">
        <v>2</v>
      </c>
      <c r="J365" s="1088" t="s">
        <v>1503</v>
      </c>
      <c r="K365" s="697" t="s">
        <v>1584</v>
      </c>
      <c r="L365" s="674"/>
      <c r="M365" s="680"/>
      <c r="N365" s="681"/>
      <c r="O365" s="674"/>
      <c r="P365" s="680"/>
      <c r="Q365" s="681"/>
      <c r="R365" s="674"/>
      <c r="S365" s="680"/>
      <c r="T365" s="681"/>
      <c r="U365" s="674"/>
      <c r="V365" s="680"/>
      <c r="W365" s="681"/>
      <c r="X365" s="674"/>
      <c r="Y365" s="680"/>
      <c r="Z365" s="681"/>
      <c r="AA365" s="674"/>
      <c r="AB365" s="680"/>
      <c r="AC365" s="681"/>
      <c r="AD365" s="674"/>
      <c r="AE365" s="680"/>
      <c r="AF365" s="681"/>
      <c r="AG365" s="674"/>
      <c r="AH365" s="680"/>
      <c r="AI365" s="681"/>
      <c r="AJ365" s="674"/>
      <c r="AK365" s="680"/>
      <c r="AL365" s="681"/>
    </row>
    <row r="366" spans="1:38" x14ac:dyDescent="0.55000000000000004">
      <c r="A366" s="682"/>
      <c r="B366" s="682">
        <v>19363</v>
      </c>
      <c r="C366" s="684"/>
      <c r="D366" s="685"/>
      <c r="E366" s="695"/>
      <c r="F366" s="674">
        <v>1</v>
      </c>
      <c r="G366" s="1088" t="s">
        <v>713</v>
      </c>
      <c r="H366" s="1089" t="s">
        <v>1571</v>
      </c>
      <c r="I366" s="674">
        <v>2</v>
      </c>
      <c r="J366" s="1088" t="s">
        <v>1503</v>
      </c>
      <c r="K366" s="697" t="s">
        <v>1584</v>
      </c>
      <c r="L366" s="674"/>
      <c r="M366" s="680"/>
      <c r="N366" s="681"/>
      <c r="O366" s="674"/>
      <c r="P366" s="680"/>
      <c r="Q366" s="681"/>
      <c r="R366" s="674"/>
      <c r="S366" s="680"/>
      <c r="T366" s="681"/>
      <c r="U366" s="674"/>
      <c r="V366" s="680"/>
      <c r="W366" s="681"/>
      <c r="X366" s="674"/>
      <c r="Y366" s="680"/>
      <c r="Z366" s="681"/>
      <c r="AA366" s="674"/>
      <c r="AB366" s="680"/>
      <c r="AC366" s="681"/>
      <c r="AD366" s="674"/>
      <c r="AE366" s="680"/>
      <c r="AF366" s="681"/>
      <c r="AG366" s="674"/>
      <c r="AH366" s="680"/>
      <c r="AI366" s="681"/>
      <c r="AJ366" s="674"/>
      <c r="AK366" s="680"/>
      <c r="AL366" s="681"/>
    </row>
    <row r="367" spans="1:38" x14ac:dyDescent="0.55000000000000004">
      <c r="A367" s="670">
        <v>43790</v>
      </c>
      <c r="B367" s="692">
        <v>19364</v>
      </c>
      <c r="C367" s="672">
        <v>19116417</v>
      </c>
      <c r="D367" s="693" t="s">
        <v>1624</v>
      </c>
      <c r="E367" s="725"/>
      <c r="F367" s="674"/>
      <c r="G367" s="1088"/>
      <c r="H367" s="1089"/>
      <c r="I367" s="674"/>
      <c r="J367" s="1088"/>
      <c r="K367" s="697"/>
      <c r="L367" s="674"/>
      <c r="M367" s="696"/>
      <c r="N367" s="697"/>
      <c r="O367" s="674"/>
      <c r="P367" s="696"/>
      <c r="Q367" s="697"/>
      <c r="R367" s="674"/>
      <c r="S367" s="696"/>
      <c r="T367" s="697"/>
      <c r="U367" s="674"/>
      <c r="V367" s="696"/>
      <c r="W367" s="697"/>
      <c r="X367" s="674"/>
      <c r="Y367" s="696"/>
      <c r="Z367" s="697"/>
      <c r="AA367" s="674"/>
      <c r="AB367" s="696"/>
      <c r="AC367" s="697"/>
      <c r="AD367" s="674"/>
      <c r="AE367" s="696"/>
      <c r="AF367" s="697"/>
      <c r="AG367" s="674"/>
      <c r="AH367" s="696"/>
      <c r="AI367" s="697"/>
      <c r="AJ367" s="674"/>
      <c r="AK367" s="680"/>
      <c r="AL367" s="681"/>
    </row>
    <row r="368" spans="1:38" x14ac:dyDescent="0.55000000000000004">
      <c r="A368" s="682"/>
      <c r="B368" s="682">
        <v>19365</v>
      </c>
      <c r="C368" s="684"/>
      <c r="D368" s="685"/>
      <c r="E368" s="708"/>
      <c r="F368" s="674"/>
      <c r="G368" s="1088"/>
      <c r="H368" s="1089"/>
      <c r="I368" s="674"/>
      <c r="J368" s="1088"/>
      <c r="K368" s="697"/>
      <c r="L368" s="674"/>
      <c r="M368" s="696"/>
      <c r="N368" s="697"/>
      <c r="O368" s="674"/>
      <c r="P368" s="696"/>
      <c r="Q368" s="697"/>
      <c r="R368" s="674"/>
      <c r="S368" s="696"/>
      <c r="T368" s="697"/>
      <c r="U368" s="674"/>
      <c r="V368" s="696"/>
      <c r="W368" s="697"/>
      <c r="X368" s="674"/>
      <c r="Y368" s="696"/>
      <c r="Z368" s="697"/>
      <c r="AA368" s="674"/>
      <c r="AB368" s="696"/>
      <c r="AC368" s="697"/>
      <c r="AD368" s="674"/>
      <c r="AE368" s="696"/>
      <c r="AF368" s="697"/>
      <c r="AG368" s="674"/>
      <c r="AH368" s="696"/>
      <c r="AI368" s="697"/>
      <c r="AJ368" s="674"/>
      <c r="AK368" s="680"/>
      <c r="AL368" s="681"/>
    </row>
    <row r="369" spans="1:38" x14ac:dyDescent="0.55000000000000004">
      <c r="A369" s="670">
        <v>43790</v>
      </c>
      <c r="B369" s="692">
        <v>19366</v>
      </c>
      <c r="C369" s="672">
        <v>19086336</v>
      </c>
      <c r="D369" s="673" t="s">
        <v>2671</v>
      </c>
      <c r="E369" s="725"/>
      <c r="F369" s="674"/>
      <c r="G369" s="1088"/>
      <c r="H369" s="1089"/>
      <c r="I369" s="674"/>
      <c r="J369" s="1088"/>
      <c r="K369" s="697"/>
      <c r="L369" s="674"/>
      <c r="M369" s="696"/>
      <c r="N369" s="697"/>
      <c r="O369" s="674"/>
      <c r="P369" s="696"/>
      <c r="Q369" s="697"/>
      <c r="R369" s="674"/>
      <c r="S369" s="696"/>
      <c r="T369" s="697"/>
      <c r="U369" s="674"/>
      <c r="V369" s="696"/>
      <c r="W369" s="697"/>
      <c r="X369" s="674"/>
      <c r="Y369" s="696"/>
      <c r="Z369" s="697"/>
      <c r="AA369" s="674"/>
      <c r="AB369" s="696"/>
      <c r="AC369" s="697"/>
      <c r="AD369" s="674"/>
      <c r="AE369" s="696"/>
      <c r="AF369" s="697"/>
      <c r="AG369" s="674"/>
      <c r="AH369" s="696"/>
      <c r="AI369" s="697"/>
      <c r="AJ369" s="674"/>
      <c r="AK369" s="680"/>
      <c r="AL369" s="681"/>
    </row>
    <row r="370" spans="1:38" x14ac:dyDescent="0.55000000000000004">
      <c r="A370" s="682"/>
      <c r="B370" s="682">
        <v>19367</v>
      </c>
      <c r="C370" s="684"/>
      <c r="D370" s="685"/>
      <c r="E370" s="695"/>
      <c r="F370" s="674"/>
      <c r="G370" s="1088"/>
      <c r="H370" s="1089"/>
      <c r="I370" s="674"/>
      <c r="J370" s="1088"/>
      <c r="K370" s="697"/>
      <c r="L370" s="674"/>
      <c r="M370" s="696"/>
      <c r="N370" s="697"/>
      <c r="O370" s="674"/>
      <c r="P370" s="696"/>
      <c r="Q370" s="697"/>
      <c r="R370" s="674"/>
      <c r="S370" s="696"/>
      <c r="T370" s="697"/>
      <c r="U370" s="674"/>
      <c r="V370" s="696"/>
      <c r="W370" s="697"/>
      <c r="X370" s="674"/>
      <c r="Y370" s="696"/>
      <c r="Z370" s="697"/>
      <c r="AA370" s="674"/>
      <c r="AB370" s="696"/>
      <c r="AC370" s="697"/>
      <c r="AD370" s="674"/>
      <c r="AE370" s="696"/>
      <c r="AF370" s="697"/>
      <c r="AG370" s="674"/>
      <c r="AH370" s="696"/>
      <c r="AI370" s="697"/>
      <c r="AJ370" s="674"/>
      <c r="AK370" s="680"/>
      <c r="AL370" s="681"/>
    </row>
    <row r="371" spans="1:38" x14ac:dyDescent="0.55000000000000004">
      <c r="A371" s="686">
        <v>43791</v>
      </c>
      <c r="B371" s="682">
        <v>19368</v>
      </c>
      <c r="C371" s="675">
        <v>19116411</v>
      </c>
      <c r="D371" s="689" t="s">
        <v>1677</v>
      </c>
      <c r="E371" s="691"/>
      <c r="F371" s="674"/>
      <c r="G371" s="1088"/>
      <c r="H371" s="1089"/>
      <c r="I371" s="674"/>
      <c r="J371" s="1088"/>
      <c r="K371" s="697"/>
      <c r="L371" s="674"/>
      <c r="M371" s="696"/>
      <c r="N371" s="697"/>
      <c r="O371" s="674"/>
      <c r="P371" s="696"/>
      <c r="Q371" s="697"/>
      <c r="R371" s="674"/>
      <c r="S371" s="696"/>
      <c r="T371" s="697"/>
      <c r="U371" s="674"/>
      <c r="V371" s="696"/>
      <c r="W371" s="697"/>
      <c r="X371" s="674"/>
      <c r="Y371" s="696"/>
      <c r="Z371" s="697"/>
      <c r="AA371" s="674"/>
      <c r="AB371" s="696"/>
      <c r="AC371" s="697"/>
      <c r="AD371" s="674"/>
      <c r="AE371" s="696"/>
      <c r="AF371" s="697"/>
      <c r="AG371" s="674"/>
      <c r="AH371" s="696"/>
      <c r="AI371" s="697"/>
      <c r="AJ371" s="674"/>
      <c r="AK371" s="680"/>
      <c r="AL371" s="681"/>
    </row>
    <row r="372" spans="1:38" x14ac:dyDescent="0.55000000000000004">
      <c r="A372" s="686">
        <v>43792</v>
      </c>
      <c r="B372" s="682">
        <v>19369</v>
      </c>
      <c r="C372" s="688"/>
      <c r="D372" s="689" t="s">
        <v>3157</v>
      </c>
      <c r="E372" s="691" t="s">
        <v>1329</v>
      </c>
      <c r="F372" s="674"/>
      <c r="G372" s="1088"/>
      <c r="H372" s="1089"/>
      <c r="I372" s="674"/>
      <c r="J372" s="1088"/>
      <c r="K372" s="697"/>
      <c r="L372" s="674"/>
      <c r="M372" s="696"/>
      <c r="N372" s="697"/>
      <c r="O372" s="674"/>
      <c r="P372" s="696"/>
      <c r="Q372" s="697"/>
      <c r="R372" s="674"/>
      <c r="S372" s="696"/>
      <c r="T372" s="697"/>
      <c r="U372" s="674"/>
      <c r="V372" s="696"/>
      <c r="W372" s="697"/>
      <c r="X372" s="674"/>
      <c r="Y372" s="696"/>
      <c r="Z372" s="697"/>
      <c r="AA372" s="674"/>
      <c r="AB372" s="696"/>
      <c r="AC372" s="697"/>
      <c r="AD372" s="674"/>
      <c r="AE372" s="696"/>
      <c r="AF372" s="697"/>
      <c r="AG372" s="674"/>
      <c r="AH372" s="696"/>
      <c r="AI372" s="697"/>
      <c r="AJ372" s="674"/>
      <c r="AK372" s="680"/>
      <c r="AL372" s="681"/>
    </row>
    <row r="373" spans="1:38" x14ac:dyDescent="0.55000000000000004">
      <c r="A373" s="686">
        <v>43795</v>
      </c>
      <c r="B373" s="682">
        <v>19370</v>
      </c>
      <c r="C373" s="675">
        <v>19106400</v>
      </c>
      <c r="D373" s="689" t="s">
        <v>3158</v>
      </c>
      <c r="E373" s="691"/>
      <c r="F373" s="674"/>
      <c r="G373" s="1088"/>
      <c r="H373" s="1089"/>
      <c r="I373" s="674"/>
      <c r="J373" s="1088"/>
      <c r="K373" s="697"/>
      <c r="L373" s="674"/>
      <c r="M373" s="696"/>
      <c r="N373" s="697"/>
      <c r="O373" s="674"/>
      <c r="P373" s="696"/>
      <c r="Q373" s="697"/>
      <c r="R373" s="674"/>
      <c r="S373" s="696"/>
      <c r="T373" s="697"/>
      <c r="U373" s="674"/>
      <c r="V373" s="696"/>
      <c r="W373" s="697"/>
      <c r="X373" s="674"/>
      <c r="Y373" s="696"/>
      <c r="Z373" s="697"/>
      <c r="AA373" s="674"/>
      <c r="AB373" s="696"/>
      <c r="AC373" s="697"/>
      <c r="AD373" s="674"/>
      <c r="AE373" s="696"/>
      <c r="AF373" s="697"/>
      <c r="AG373" s="674"/>
      <c r="AH373" s="696"/>
      <c r="AI373" s="697"/>
      <c r="AJ373" s="674"/>
      <c r="AK373" s="680"/>
      <c r="AL373" s="681"/>
    </row>
    <row r="374" spans="1:38" x14ac:dyDescent="0.55000000000000004">
      <c r="A374" s="670">
        <v>43795</v>
      </c>
      <c r="B374" s="692">
        <v>19371</v>
      </c>
      <c r="C374" s="672">
        <v>19106408</v>
      </c>
      <c r="D374" s="673" t="s">
        <v>3159</v>
      </c>
      <c r="E374" s="725"/>
      <c r="F374" s="674"/>
      <c r="G374" s="1088"/>
      <c r="H374" s="1089"/>
      <c r="I374" s="674"/>
      <c r="J374" s="1088"/>
      <c r="K374" s="697"/>
      <c r="L374" s="674"/>
      <c r="M374" s="696"/>
      <c r="N374" s="697"/>
      <c r="O374" s="674"/>
      <c r="P374" s="696"/>
      <c r="Q374" s="697"/>
      <c r="R374" s="674"/>
      <c r="S374" s="696"/>
      <c r="T374" s="697"/>
      <c r="U374" s="674"/>
      <c r="V374" s="696"/>
      <c r="W374" s="697"/>
      <c r="X374" s="674"/>
      <c r="Y374" s="696"/>
      <c r="Z374" s="697"/>
      <c r="AA374" s="674"/>
      <c r="AB374" s="696"/>
      <c r="AC374" s="697"/>
      <c r="AD374" s="674"/>
      <c r="AE374" s="696"/>
      <c r="AF374" s="697"/>
      <c r="AG374" s="674"/>
      <c r="AH374" s="696"/>
      <c r="AI374" s="697"/>
      <c r="AJ374" s="674"/>
      <c r="AK374" s="680"/>
      <c r="AL374" s="681"/>
    </row>
    <row r="375" spans="1:38" x14ac:dyDescent="0.55000000000000004">
      <c r="A375" s="698"/>
      <c r="B375" s="703">
        <v>19372</v>
      </c>
      <c r="C375" s="700"/>
      <c r="D375" s="701"/>
      <c r="E375" s="726"/>
      <c r="F375" s="674"/>
      <c r="G375" s="1088"/>
      <c r="H375" s="1089"/>
      <c r="I375" s="674"/>
      <c r="J375" s="1088"/>
      <c r="K375" s="697"/>
      <c r="L375" s="674"/>
      <c r="M375" s="696"/>
      <c r="N375" s="697"/>
      <c r="O375" s="674"/>
      <c r="P375" s="696"/>
      <c r="Q375" s="697"/>
      <c r="R375" s="674"/>
      <c r="S375" s="696"/>
      <c r="T375" s="697"/>
      <c r="U375" s="674"/>
      <c r="V375" s="696"/>
      <c r="W375" s="697"/>
      <c r="X375" s="674"/>
      <c r="Y375" s="696"/>
      <c r="Z375" s="697"/>
      <c r="AA375" s="674"/>
      <c r="AB375" s="696"/>
      <c r="AC375" s="697"/>
      <c r="AD375" s="674"/>
      <c r="AE375" s="696"/>
      <c r="AF375" s="697"/>
      <c r="AG375" s="674"/>
      <c r="AH375" s="696"/>
      <c r="AI375" s="697"/>
      <c r="AJ375" s="674"/>
      <c r="AK375" s="680"/>
      <c r="AL375" s="681"/>
    </row>
    <row r="376" spans="1:38" x14ac:dyDescent="0.55000000000000004">
      <c r="A376" s="682"/>
      <c r="B376" s="682">
        <v>19373</v>
      </c>
      <c r="C376" s="684"/>
      <c r="D376" s="685"/>
      <c r="E376" s="695"/>
      <c r="F376" s="674"/>
      <c r="G376" s="1088"/>
      <c r="H376" s="1089"/>
      <c r="I376" s="674"/>
      <c r="J376" s="1088"/>
      <c r="K376" s="697"/>
      <c r="L376" s="674"/>
      <c r="M376" s="696"/>
      <c r="N376" s="697"/>
      <c r="O376" s="674"/>
      <c r="P376" s="696"/>
      <c r="Q376" s="697"/>
      <c r="R376" s="674"/>
      <c r="S376" s="696"/>
      <c r="T376" s="697"/>
      <c r="U376" s="674"/>
      <c r="V376" s="696"/>
      <c r="W376" s="697"/>
      <c r="X376" s="674"/>
      <c r="Y376" s="696"/>
      <c r="Z376" s="697"/>
      <c r="AA376" s="674"/>
      <c r="AB376" s="696"/>
      <c r="AC376" s="697"/>
      <c r="AD376" s="674"/>
      <c r="AE376" s="696"/>
      <c r="AF376" s="697"/>
      <c r="AG376" s="674"/>
      <c r="AH376" s="696"/>
      <c r="AI376" s="697"/>
      <c r="AJ376" s="674"/>
      <c r="AK376" s="680"/>
      <c r="AL376" s="681"/>
    </row>
    <row r="377" spans="1:38" x14ac:dyDescent="0.55000000000000004">
      <c r="A377" s="670">
        <v>43797</v>
      </c>
      <c r="B377" s="692">
        <v>19374</v>
      </c>
      <c r="C377" s="672">
        <v>19116422</v>
      </c>
      <c r="D377" s="673" t="s">
        <v>3160</v>
      </c>
      <c r="E377" s="725"/>
      <c r="F377" s="674"/>
      <c r="G377" s="1088"/>
      <c r="H377" s="1089"/>
      <c r="I377" s="674"/>
      <c r="J377" s="1088"/>
      <c r="K377" s="697"/>
      <c r="L377" s="674"/>
      <c r="M377" s="696"/>
      <c r="N377" s="697"/>
      <c r="O377" s="674"/>
      <c r="P377" s="696"/>
      <c r="Q377" s="697"/>
      <c r="R377" s="674"/>
      <c r="S377" s="696"/>
      <c r="T377" s="697"/>
      <c r="U377" s="674"/>
      <c r="V377" s="696"/>
      <c r="W377" s="697"/>
      <c r="X377" s="674"/>
      <c r="Y377" s="696"/>
      <c r="Z377" s="697"/>
      <c r="AA377" s="674"/>
      <c r="AB377" s="696"/>
      <c r="AC377" s="697"/>
      <c r="AD377" s="674"/>
      <c r="AE377" s="696"/>
      <c r="AF377" s="697"/>
      <c r="AG377" s="674"/>
      <c r="AH377" s="696"/>
      <c r="AI377" s="697"/>
      <c r="AJ377" s="674"/>
      <c r="AK377" s="680"/>
      <c r="AL377" s="681"/>
    </row>
    <row r="378" spans="1:38" x14ac:dyDescent="0.55000000000000004">
      <c r="A378" s="698"/>
      <c r="B378" s="703">
        <v>19375</v>
      </c>
      <c r="C378" s="700"/>
      <c r="D378" s="701"/>
      <c r="E378" s="726"/>
      <c r="F378" s="674"/>
      <c r="G378" s="1088"/>
      <c r="H378" s="1089"/>
      <c r="I378" s="674"/>
      <c r="J378" s="1088"/>
      <c r="K378" s="697"/>
      <c r="L378" s="674"/>
      <c r="M378" s="696"/>
      <c r="N378" s="697"/>
      <c r="O378" s="674"/>
      <c r="P378" s="696"/>
      <c r="Q378" s="697"/>
      <c r="R378" s="674"/>
      <c r="S378" s="696"/>
      <c r="T378" s="697"/>
      <c r="U378" s="674"/>
      <c r="V378" s="696"/>
      <c r="W378" s="697"/>
      <c r="X378" s="674"/>
      <c r="Y378" s="696"/>
      <c r="Z378" s="697"/>
      <c r="AA378" s="674"/>
      <c r="AB378" s="696"/>
      <c r="AC378" s="697"/>
      <c r="AD378" s="674"/>
      <c r="AE378" s="696"/>
      <c r="AF378" s="697"/>
      <c r="AG378" s="674"/>
      <c r="AH378" s="696"/>
      <c r="AI378" s="697"/>
      <c r="AJ378" s="674"/>
      <c r="AK378" s="680"/>
      <c r="AL378" s="681"/>
    </row>
    <row r="379" spans="1:38" x14ac:dyDescent="0.55000000000000004">
      <c r="A379" s="698"/>
      <c r="B379" s="703">
        <v>19376</v>
      </c>
      <c r="C379" s="700"/>
      <c r="D379" s="701"/>
      <c r="E379" s="726"/>
      <c r="F379" s="674"/>
      <c r="G379" s="1088"/>
      <c r="H379" s="1089"/>
      <c r="I379" s="674"/>
      <c r="J379" s="1088"/>
      <c r="K379" s="697"/>
      <c r="L379" s="674"/>
      <c r="M379" s="696"/>
      <c r="N379" s="697"/>
      <c r="O379" s="674"/>
      <c r="P379" s="696"/>
      <c r="Q379" s="697"/>
      <c r="R379" s="674"/>
      <c r="S379" s="696"/>
      <c r="T379" s="697"/>
      <c r="U379" s="674"/>
      <c r="V379" s="696"/>
      <c r="W379" s="697"/>
      <c r="X379" s="674"/>
      <c r="Y379" s="696"/>
      <c r="Z379" s="697"/>
      <c r="AA379" s="674"/>
      <c r="AB379" s="696"/>
      <c r="AC379" s="697"/>
      <c r="AD379" s="674"/>
      <c r="AE379" s="696"/>
      <c r="AF379" s="697"/>
      <c r="AG379" s="674"/>
      <c r="AH379" s="696"/>
      <c r="AI379" s="697"/>
      <c r="AJ379" s="674"/>
      <c r="AK379" s="680"/>
      <c r="AL379" s="681"/>
    </row>
    <row r="380" spans="1:38" x14ac:dyDescent="0.55000000000000004">
      <c r="A380" s="682"/>
      <c r="B380" s="682">
        <v>19377</v>
      </c>
      <c r="C380" s="684"/>
      <c r="D380" s="685"/>
      <c r="E380" s="695"/>
      <c r="F380" s="674"/>
      <c r="G380" s="1088"/>
      <c r="H380" s="1089"/>
      <c r="I380" s="674"/>
      <c r="J380" s="1088"/>
      <c r="K380" s="697"/>
      <c r="L380" s="674"/>
      <c r="M380" s="696"/>
      <c r="N380" s="697"/>
      <c r="O380" s="674"/>
      <c r="P380" s="696"/>
      <c r="Q380" s="697"/>
      <c r="R380" s="674"/>
      <c r="S380" s="696"/>
      <c r="T380" s="697"/>
      <c r="U380" s="674"/>
      <c r="V380" s="696"/>
      <c r="W380" s="697"/>
      <c r="X380" s="674"/>
      <c r="Y380" s="696"/>
      <c r="Z380" s="697"/>
      <c r="AA380" s="674"/>
      <c r="AB380" s="696"/>
      <c r="AC380" s="697"/>
      <c r="AD380" s="674"/>
      <c r="AE380" s="696"/>
      <c r="AF380" s="697"/>
      <c r="AG380" s="674"/>
      <c r="AH380" s="696"/>
      <c r="AI380" s="697"/>
      <c r="AJ380" s="674"/>
      <c r="AK380" s="680"/>
      <c r="AL380" s="681"/>
    </row>
    <row r="381" spans="1:38" x14ac:dyDescent="0.55000000000000004">
      <c r="A381" s="686">
        <v>43798</v>
      </c>
      <c r="B381" s="682">
        <v>19378</v>
      </c>
      <c r="C381" s="675">
        <v>19116423</v>
      </c>
      <c r="D381" s="689" t="s">
        <v>3213</v>
      </c>
      <c r="E381" s="691"/>
      <c r="F381" s="674"/>
      <c r="G381" s="1088"/>
      <c r="H381" s="1089"/>
      <c r="I381" s="674"/>
      <c r="J381" s="1088"/>
      <c r="K381" s="697"/>
      <c r="L381" s="674"/>
      <c r="M381" s="696"/>
      <c r="N381" s="697"/>
      <c r="O381" s="674"/>
      <c r="P381" s="696"/>
      <c r="Q381" s="697"/>
      <c r="R381" s="674"/>
      <c r="S381" s="696"/>
      <c r="T381" s="697"/>
      <c r="U381" s="674"/>
      <c r="V381" s="696"/>
      <c r="W381" s="697"/>
      <c r="X381" s="674"/>
      <c r="Y381" s="696"/>
      <c r="Z381" s="697"/>
      <c r="AA381" s="674"/>
      <c r="AB381" s="696"/>
      <c r="AC381" s="697"/>
      <c r="AD381" s="674"/>
      <c r="AE381" s="696"/>
      <c r="AF381" s="697"/>
      <c r="AG381" s="674"/>
      <c r="AH381" s="696"/>
      <c r="AI381" s="697"/>
      <c r="AJ381" s="674"/>
      <c r="AK381" s="680"/>
      <c r="AL381" s="681"/>
    </row>
    <row r="382" spans="1:38" x14ac:dyDescent="0.55000000000000004">
      <c r="A382" s="686">
        <v>43798</v>
      </c>
      <c r="B382" s="682">
        <v>19379</v>
      </c>
      <c r="C382" s="675">
        <v>19116431</v>
      </c>
      <c r="D382" s="689" t="s">
        <v>3214</v>
      </c>
      <c r="E382" s="691"/>
      <c r="F382" s="674"/>
      <c r="G382" s="1088"/>
      <c r="H382" s="1089"/>
      <c r="I382" s="674"/>
      <c r="J382" s="1088"/>
      <c r="K382" s="697"/>
      <c r="L382" s="674"/>
      <c r="M382" s="696"/>
      <c r="N382" s="697"/>
      <c r="O382" s="674"/>
      <c r="P382" s="696"/>
      <c r="Q382" s="697"/>
      <c r="R382" s="674"/>
      <c r="S382" s="696"/>
      <c r="T382" s="697"/>
      <c r="U382" s="674"/>
      <c r="V382" s="696"/>
      <c r="W382" s="697"/>
      <c r="X382" s="674"/>
      <c r="Y382" s="696"/>
      <c r="Z382" s="697"/>
      <c r="AA382" s="674"/>
      <c r="AB382" s="696"/>
      <c r="AC382" s="697"/>
      <c r="AD382" s="674"/>
      <c r="AE382" s="696"/>
      <c r="AF382" s="697"/>
      <c r="AG382" s="674"/>
      <c r="AH382" s="696"/>
      <c r="AI382" s="697"/>
      <c r="AJ382" s="674"/>
      <c r="AK382" s="680"/>
      <c r="AL382" s="681"/>
    </row>
    <row r="383" spans="1:38" x14ac:dyDescent="0.55000000000000004">
      <c r="A383" s="670">
        <v>43808</v>
      </c>
      <c r="B383" s="692">
        <v>19380</v>
      </c>
      <c r="C383" s="672">
        <v>19106395</v>
      </c>
      <c r="D383" s="673" t="s">
        <v>2669</v>
      </c>
      <c r="E383" s="725"/>
      <c r="F383" s="674"/>
      <c r="G383" s="1088"/>
      <c r="H383" s="1089"/>
      <c r="I383" s="674"/>
      <c r="J383" s="1088"/>
      <c r="K383" s="697"/>
      <c r="L383" s="674"/>
      <c r="M383" s="696"/>
      <c r="N383" s="697"/>
      <c r="O383" s="674"/>
      <c r="P383" s="696"/>
      <c r="Q383" s="697"/>
      <c r="R383" s="674"/>
      <c r="S383" s="696"/>
      <c r="T383" s="697"/>
      <c r="U383" s="674"/>
      <c r="V383" s="696"/>
      <c r="W383" s="697"/>
      <c r="X383" s="674"/>
      <c r="Y383" s="696"/>
      <c r="Z383" s="697"/>
      <c r="AA383" s="674"/>
      <c r="AB383" s="696"/>
      <c r="AC383" s="697"/>
      <c r="AD383" s="674"/>
      <c r="AE383" s="696"/>
      <c r="AF383" s="697"/>
      <c r="AG383" s="674"/>
      <c r="AH383" s="696"/>
      <c r="AI383" s="697"/>
      <c r="AJ383" s="674"/>
      <c r="AK383" s="680"/>
      <c r="AL383" s="681"/>
    </row>
    <row r="384" spans="1:38" x14ac:dyDescent="0.55000000000000004">
      <c r="A384" s="698"/>
      <c r="B384" s="703">
        <v>19381</v>
      </c>
      <c r="C384" s="700"/>
      <c r="D384" s="701"/>
      <c r="E384" s="726"/>
      <c r="F384" s="674"/>
      <c r="G384" s="1088"/>
      <c r="H384" s="1089"/>
      <c r="I384" s="674"/>
      <c r="J384" s="1088"/>
      <c r="K384" s="697"/>
      <c r="L384" s="674"/>
      <c r="M384" s="696"/>
      <c r="N384" s="697"/>
      <c r="O384" s="674"/>
      <c r="P384" s="696"/>
      <c r="Q384" s="697"/>
      <c r="R384" s="674"/>
      <c r="S384" s="696"/>
      <c r="T384" s="697"/>
      <c r="U384" s="674"/>
      <c r="V384" s="696"/>
      <c r="W384" s="697"/>
      <c r="X384" s="674"/>
      <c r="Y384" s="696"/>
      <c r="Z384" s="697"/>
      <c r="AA384" s="674"/>
      <c r="AB384" s="696"/>
      <c r="AC384" s="697"/>
      <c r="AD384" s="674"/>
      <c r="AE384" s="696"/>
      <c r="AF384" s="697"/>
      <c r="AG384" s="674"/>
      <c r="AH384" s="696"/>
      <c r="AI384" s="697"/>
      <c r="AJ384" s="674"/>
      <c r="AK384" s="680"/>
      <c r="AL384" s="681"/>
    </row>
    <row r="385" spans="1:38" x14ac:dyDescent="0.55000000000000004">
      <c r="A385" s="682"/>
      <c r="B385" s="682">
        <v>19382</v>
      </c>
      <c r="C385" s="684"/>
      <c r="D385" s="685"/>
      <c r="E385" s="695"/>
      <c r="F385" s="674">
        <v>1</v>
      </c>
      <c r="G385" s="1088" t="s">
        <v>847</v>
      </c>
      <c r="H385" s="1089" t="s">
        <v>1571</v>
      </c>
      <c r="I385" s="674">
        <v>2</v>
      </c>
      <c r="J385" s="1088" t="s">
        <v>1503</v>
      </c>
      <c r="K385" s="697" t="s">
        <v>1585</v>
      </c>
      <c r="L385" s="674"/>
      <c r="M385" s="680"/>
      <c r="N385" s="681"/>
      <c r="O385" s="674"/>
      <c r="P385" s="680"/>
      <c r="Q385" s="681"/>
      <c r="R385" s="674"/>
      <c r="S385" s="680"/>
      <c r="T385" s="681"/>
      <c r="U385" s="674"/>
      <c r="V385" s="680"/>
      <c r="W385" s="681"/>
      <c r="X385" s="674"/>
      <c r="Y385" s="680"/>
      <c r="Z385" s="681"/>
      <c r="AA385" s="674"/>
      <c r="AB385" s="680"/>
      <c r="AC385" s="681"/>
      <c r="AD385" s="674"/>
      <c r="AE385" s="680"/>
      <c r="AF385" s="681"/>
      <c r="AG385" s="674"/>
      <c r="AH385" s="680"/>
      <c r="AI385" s="681"/>
      <c r="AJ385" s="674"/>
      <c r="AK385" s="680"/>
      <c r="AL385" s="681"/>
    </row>
    <row r="386" spans="1:38" x14ac:dyDescent="0.55000000000000004">
      <c r="A386" s="686">
        <v>43808</v>
      </c>
      <c r="B386" s="682">
        <v>19383</v>
      </c>
      <c r="C386" s="675">
        <v>19106387</v>
      </c>
      <c r="D386" s="689" t="s">
        <v>3214</v>
      </c>
      <c r="E386" s="691"/>
      <c r="F386" s="674">
        <v>1</v>
      </c>
      <c r="G386" s="1088" t="s">
        <v>598</v>
      </c>
      <c r="H386" s="1089" t="s">
        <v>1571</v>
      </c>
      <c r="I386" s="674"/>
      <c r="J386" s="690"/>
      <c r="K386" s="681"/>
      <c r="L386" s="674"/>
      <c r="M386" s="680"/>
      <c r="N386" s="681"/>
      <c r="O386" s="674"/>
      <c r="P386" s="680"/>
      <c r="Q386" s="681"/>
      <c r="R386" s="674"/>
      <c r="S386" s="680"/>
      <c r="T386" s="681"/>
      <c r="U386" s="674"/>
      <c r="V386" s="680"/>
      <c r="W386" s="681"/>
      <c r="X386" s="674"/>
      <c r="Y386" s="680"/>
      <c r="Z386" s="681"/>
      <c r="AA386" s="674"/>
      <c r="AB386" s="680"/>
      <c r="AC386" s="681"/>
      <c r="AD386" s="674"/>
      <c r="AE386" s="680"/>
      <c r="AF386" s="681"/>
      <c r="AG386" s="674"/>
      <c r="AH386" s="680"/>
      <c r="AI386" s="681"/>
      <c r="AJ386" s="674"/>
      <c r="AK386" s="680"/>
      <c r="AL386" s="681"/>
    </row>
    <row r="387" spans="1:38" x14ac:dyDescent="0.55000000000000004">
      <c r="A387" s="670">
        <v>43808</v>
      </c>
      <c r="B387" s="692">
        <v>19384</v>
      </c>
      <c r="C387" s="672">
        <v>19116413</v>
      </c>
      <c r="D387" s="673" t="s">
        <v>3160</v>
      </c>
      <c r="E387" s="725"/>
      <c r="F387" s="674">
        <v>1</v>
      </c>
      <c r="G387" s="1088" t="s">
        <v>3388</v>
      </c>
      <c r="H387" s="1089" t="s">
        <v>1571</v>
      </c>
      <c r="I387" s="674">
        <v>2</v>
      </c>
      <c r="J387" s="1088" t="s">
        <v>1634</v>
      </c>
      <c r="K387" s="697" t="s">
        <v>1574</v>
      </c>
      <c r="L387" s="674">
        <v>3</v>
      </c>
      <c r="M387" s="696" t="s">
        <v>1502</v>
      </c>
      <c r="N387" s="697" t="s">
        <v>1575</v>
      </c>
      <c r="O387" s="674"/>
      <c r="P387" s="680"/>
      <c r="Q387" s="681"/>
      <c r="R387" s="674"/>
      <c r="S387" s="680"/>
      <c r="T387" s="681"/>
      <c r="U387" s="674"/>
      <c r="V387" s="680"/>
      <c r="W387" s="681"/>
      <c r="X387" s="674"/>
      <c r="Y387" s="680"/>
      <c r="Z387" s="681"/>
      <c r="AA387" s="674"/>
      <c r="AB387" s="680"/>
      <c r="AC387" s="681"/>
      <c r="AD387" s="674"/>
      <c r="AE387" s="680"/>
      <c r="AF387" s="681"/>
      <c r="AG387" s="674"/>
      <c r="AH387" s="680"/>
      <c r="AI387" s="681"/>
      <c r="AJ387" s="674"/>
      <c r="AK387" s="680"/>
      <c r="AL387" s="681"/>
    </row>
    <row r="388" spans="1:38" x14ac:dyDescent="0.55000000000000004">
      <c r="A388" s="682"/>
      <c r="B388" s="682">
        <v>19385</v>
      </c>
      <c r="C388" s="684"/>
      <c r="D388" s="685"/>
      <c r="E388" s="695"/>
      <c r="F388" s="674">
        <v>1</v>
      </c>
      <c r="G388" s="1088" t="s">
        <v>3389</v>
      </c>
      <c r="H388" s="1089" t="s">
        <v>1571</v>
      </c>
      <c r="I388" s="674">
        <v>2</v>
      </c>
      <c r="J388" s="1088" t="s">
        <v>1634</v>
      </c>
      <c r="K388" s="697" t="s">
        <v>1575</v>
      </c>
      <c r="L388" s="674">
        <v>3</v>
      </c>
      <c r="M388" s="696" t="s">
        <v>1502</v>
      </c>
      <c r="N388" s="697" t="s">
        <v>1575</v>
      </c>
      <c r="O388" s="674">
        <v>4</v>
      </c>
      <c r="P388" s="696" t="s">
        <v>1498</v>
      </c>
      <c r="Q388" s="697" t="s">
        <v>3390</v>
      </c>
      <c r="R388" s="674">
        <v>5</v>
      </c>
      <c r="S388" s="696" t="s">
        <v>1503</v>
      </c>
      <c r="T388" s="697" t="s">
        <v>1801</v>
      </c>
      <c r="U388" s="674"/>
      <c r="V388" s="680"/>
      <c r="W388" s="681"/>
      <c r="X388" s="674"/>
      <c r="Y388" s="680"/>
      <c r="Z388" s="681"/>
      <c r="AA388" s="674"/>
      <c r="AB388" s="680"/>
      <c r="AC388" s="681"/>
      <c r="AD388" s="674"/>
      <c r="AE388" s="680"/>
      <c r="AF388" s="681"/>
      <c r="AG388" s="674"/>
      <c r="AH388" s="680"/>
      <c r="AI388" s="681"/>
      <c r="AJ388" s="674"/>
      <c r="AK388" s="680"/>
      <c r="AL388" s="681"/>
    </row>
    <row r="389" spans="1:38" x14ac:dyDescent="0.55000000000000004">
      <c r="A389" s="670">
        <v>43809</v>
      </c>
      <c r="B389" s="692">
        <v>19386</v>
      </c>
      <c r="C389" s="672">
        <v>19086324</v>
      </c>
      <c r="D389" s="673" t="s">
        <v>2402</v>
      </c>
      <c r="E389" s="725"/>
      <c r="F389" s="674">
        <v>1</v>
      </c>
      <c r="G389" s="1088" t="s">
        <v>784</v>
      </c>
      <c r="H389" s="1089" t="s">
        <v>1797</v>
      </c>
      <c r="I389" s="674">
        <v>2</v>
      </c>
      <c r="J389" s="1088" t="s">
        <v>1634</v>
      </c>
      <c r="K389" s="697" t="s">
        <v>1633</v>
      </c>
      <c r="L389" s="674">
        <v>3</v>
      </c>
      <c r="M389" s="696" t="s">
        <v>1507</v>
      </c>
      <c r="N389" s="697" t="s">
        <v>1633</v>
      </c>
      <c r="O389" s="674">
        <v>4</v>
      </c>
      <c r="P389" s="696" t="s">
        <v>1498</v>
      </c>
      <c r="Q389" s="697" t="s">
        <v>2456</v>
      </c>
      <c r="R389" s="674"/>
      <c r="S389" s="680"/>
      <c r="T389" s="681"/>
      <c r="U389" s="674"/>
      <c r="V389" s="680"/>
      <c r="W389" s="681"/>
      <c r="X389" s="674"/>
      <c r="Y389" s="680"/>
      <c r="Z389" s="681"/>
      <c r="AA389" s="674"/>
      <c r="AB389" s="680"/>
      <c r="AC389" s="681"/>
      <c r="AD389" s="674"/>
      <c r="AE389" s="680"/>
      <c r="AF389" s="681"/>
      <c r="AG389" s="674"/>
      <c r="AH389" s="680"/>
      <c r="AI389" s="681"/>
      <c r="AJ389" s="674"/>
      <c r="AK389" s="680"/>
      <c r="AL389" s="681"/>
    </row>
    <row r="390" spans="1:38" x14ac:dyDescent="0.55000000000000004">
      <c r="A390" s="682"/>
      <c r="B390" s="682">
        <v>19387</v>
      </c>
      <c r="C390" s="684"/>
      <c r="D390" s="685"/>
      <c r="E390" s="695"/>
      <c r="F390" s="674">
        <v>1</v>
      </c>
      <c r="G390" s="1088" t="s">
        <v>784</v>
      </c>
      <c r="H390" s="1089" t="s">
        <v>1797</v>
      </c>
      <c r="I390" s="674">
        <v>2</v>
      </c>
      <c r="J390" s="1088" t="s">
        <v>1634</v>
      </c>
      <c r="K390" s="697" t="s">
        <v>1633</v>
      </c>
      <c r="L390" s="674">
        <v>3</v>
      </c>
      <c r="M390" s="696" t="s">
        <v>1507</v>
      </c>
      <c r="N390" s="697" t="s">
        <v>1633</v>
      </c>
      <c r="O390" s="674">
        <v>4</v>
      </c>
      <c r="P390" s="696" t="s">
        <v>1498</v>
      </c>
      <c r="Q390" s="697" t="s">
        <v>2456</v>
      </c>
      <c r="R390" s="674"/>
      <c r="S390" s="680"/>
      <c r="T390" s="681"/>
      <c r="U390" s="674"/>
      <c r="V390" s="680"/>
      <c r="W390" s="681"/>
      <c r="X390" s="674"/>
      <c r="Y390" s="680"/>
      <c r="Z390" s="681"/>
      <c r="AA390" s="674"/>
      <c r="AB390" s="680"/>
      <c r="AC390" s="681"/>
      <c r="AD390" s="674"/>
      <c r="AE390" s="680"/>
      <c r="AF390" s="681"/>
      <c r="AG390" s="674"/>
      <c r="AH390" s="680"/>
      <c r="AI390" s="681"/>
      <c r="AJ390" s="674"/>
      <c r="AK390" s="680"/>
      <c r="AL390" s="681"/>
    </row>
    <row r="391" spans="1:38" x14ac:dyDescent="0.55000000000000004">
      <c r="A391" s="686">
        <v>43809</v>
      </c>
      <c r="B391" s="682">
        <v>19388</v>
      </c>
      <c r="C391" s="675">
        <v>19116421</v>
      </c>
      <c r="D391" s="689" t="s">
        <v>1452</v>
      </c>
      <c r="E391" s="691"/>
      <c r="F391" s="674">
        <v>1</v>
      </c>
      <c r="G391" s="1088" t="s">
        <v>3156</v>
      </c>
      <c r="H391" s="1089" t="s">
        <v>1571</v>
      </c>
      <c r="I391" s="674">
        <v>2</v>
      </c>
      <c r="J391" s="1088" t="s">
        <v>1511</v>
      </c>
      <c r="K391" s="697" t="s">
        <v>1574</v>
      </c>
      <c r="L391" s="674">
        <v>3</v>
      </c>
      <c r="M391" s="696" t="s">
        <v>1502</v>
      </c>
      <c r="N391" s="697" t="s">
        <v>1574</v>
      </c>
      <c r="O391" s="674">
        <v>4</v>
      </c>
      <c r="P391" s="696" t="s">
        <v>1498</v>
      </c>
      <c r="Q391" s="697" t="s">
        <v>1588</v>
      </c>
      <c r="R391" s="674">
        <v>5</v>
      </c>
      <c r="S391" s="696" t="s">
        <v>1503</v>
      </c>
      <c r="T391" s="697" t="s">
        <v>1597</v>
      </c>
      <c r="U391" s="674"/>
      <c r="V391" s="680"/>
      <c r="W391" s="681"/>
      <c r="X391" s="674"/>
      <c r="Y391" s="680"/>
      <c r="Z391" s="681"/>
      <c r="AA391" s="674"/>
      <c r="AB391" s="680"/>
      <c r="AC391" s="681"/>
      <c r="AD391" s="674"/>
      <c r="AE391" s="680"/>
      <c r="AF391" s="681"/>
      <c r="AG391" s="674"/>
      <c r="AH391" s="680"/>
      <c r="AI391" s="681"/>
      <c r="AJ391" s="674"/>
      <c r="AK391" s="680"/>
      <c r="AL391" s="681"/>
    </row>
    <row r="392" spans="1:38" x14ac:dyDescent="0.55000000000000004">
      <c r="A392" s="686">
        <v>43809</v>
      </c>
      <c r="B392" s="682">
        <v>19389</v>
      </c>
      <c r="C392" s="675">
        <v>19116419</v>
      </c>
      <c r="D392" s="689" t="s">
        <v>1926</v>
      </c>
      <c r="E392" s="691"/>
      <c r="F392" s="674">
        <v>1</v>
      </c>
      <c r="G392" s="1088" t="s">
        <v>2427</v>
      </c>
      <c r="H392" s="1089" t="s">
        <v>1571</v>
      </c>
      <c r="I392" s="674">
        <v>2</v>
      </c>
      <c r="J392" s="1088" t="s">
        <v>1511</v>
      </c>
      <c r="K392" s="697" t="s">
        <v>1575</v>
      </c>
      <c r="L392" s="674">
        <v>3</v>
      </c>
      <c r="M392" s="696" t="s">
        <v>1503</v>
      </c>
      <c r="N392" s="697" t="s">
        <v>1585</v>
      </c>
      <c r="O392" s="674"/>
      <c r="P392" s="680"/>
      <c r="Q392" s="681"/>
      <c r="R392" s="674"/>
      <c r="S392" s="680"/>
      <c r="T392" s="681"/>
      <c r="U392" s="674"/>
      <c r="V392" s="680"/>
      <c r="W392" s="681"/>
      <c r="X392" s="674"/>
      <c r="Y392" s="680"/>
      <c r="Z392" s="681"/>
      <c r="AA392" s="674"/>
      <c r="AB392" s="680"/>
      <c r="AC392" s="681"/>
      <c r="AD392" s="674"/>
      <c r="AE392" s="680"/>
      <c r="AF392" s="681"/>
      <c r="AG392" s="674"/>
      <c r="AH392" s="680"/>
      <c r="AI392" s="681"/>
      <c r="AJ392" s="674"/>
      <c r="AK392" s="680"/>
      <c r="AL392" s="681"/>
    </row>
    <row r="393" spans="1:38" x14ac:dyDescent="0.55000000000000004">
      <c r="A393" s="686">
        <v>43809</v>
      </c>
      <c r="B393" s="682">
        <v>19390</v>
      </c>
      <c r="C393" s="675">
        <v>19116427</v>
      </c>
      <c r="D393" s="689" t="s">
        <v>1738</v>
      </c>
      <c r="E393" s="691"/>
      <c r="F393" s="674">
        <v>1</v>
      </c>
      <c r="G393" s="1088" t="s">
        <v>3141</v>
      </c>
      <c r="H393" s="1089" t="s">
        <v>1572</v>
      </c>
      <c r="I393" s="674">
        <v>2</v>
      </c>
      <c r="J393" s="1088" t="s">
        <v>1929</v>
      </c>
      <c r="K393" s="697" t="s">
        <v>1931</v>
      </c>
      <c r="L393" s="674">
        <v>3</v>
      </c>
      <c r="M393" s="696" t="s">
        <v>1502</v>
      </c>
      <c r="N393" s="697" t="s">
        <v>1931</v>
      </c>
      <c r="O393" s="674">
        <v>4</v>
      </c>
      <c r="P393" s="696" t="s">
        <v>1498</v>
      </c>
      <c r="Q393" s="697" t="s">
        <v>3391</v>
      </c>
      <c r="R393" s="674"/>
      <c r="S393" s="680"/>
      <c r="T393" s="681"/>
      <c r="U393" s="674"/>
      <c r="V393" s="680"/>
      <c r="W393" s="681"/>
      <c r="X393" s="674"/>
      <c r="Y393" s="680"/>
      <c r="Z393" s="681"/>
      <c r="AA393" s="674"/>
      <c r="AB393" s="680"/>
      <c r="AC393" s="681"/>
      <c r="AD393" s="674"/>
      <c r="AE393" s="680"/>
      <c r="AF393" s="681"/>
      <c r="AG393" s="674"/>
      <c r="AH393" s="680"/>
      <c r="AI393" s="681"/>
      <c r="AJ393" s="674"/>
      <c r="AK393" s="680"/>
      <c r="AL393" s="681"/>
    </row>
    <row r="394" spans="1:38" x14ac:dyDescent="0.55000000000000004">
      <c r="A394" s="670">
        <v>43810</v>
      </c>
      <c r="B394" s="692">
        <v>19391</v>
      </c>
      <c r="C394" s="672">
        <v>19116413</v>
      </c>
      <c r="D394" s="673" t="s">
        <v>3160</v>
      </c>
      <c r="E394" s="725"/>
      <c r="F394" s="674">
        <v>1</v>
      </c>
      <c r="G394" s="1088" t="s">
        <v>3389</v>
      </c>
      <c r="H394" s="1089" t="s">
        <v>1571</v>
      </c>
      <c r="I394" s="674">
        <v>2</v>
      </c>
      <c r="J394" s="1088" t="s">
        <v>1634</v>
      </c>
      <c r="K394" s="697" t="s">
        <v>1575</v>
      </c>
      <c r="L394" s="674">
        <v>3</v>
      </c>
      <c r="M394" s="696" t="s">
        <v>1502</v>
      </c>
      <c r="N394" s="697" t="s">
        <v>1575</v>
      </c>
      <c r="O394" s="674">
        <v>4</v>
      </c>
      <c r="P394" s="696" t="s">
        <v>3392</v>
      </c>
      <c r="Q394" s="697" t="s">
        <v>1575</v>
      </c>
      <c r="R394" s="674">
        <v>5</v>
      </c>
      <c r="S394" s="696" t="s">
        <v>3393</v>
      </c>
      <c r="T394" s="697" t="s">
        <v>1575</v>
      </c>
      <c r="U394" s="674">
        <v>6</v>
      </c>
      <c r="V394" s="696" t="s">
        <v>1503</v>
      </c>
      <c r="W394" s="697" t="s">
        <v>1801</v>
      </c>
      <c r="X394" s="674"/>
      <c r="Y394" s="680"/>
      <c r="Z394" s="681"/>
      <c r="AA394" s="674"/>
      <c r="AB394" s="680"/>
      <c r="AC394" s="681"/>
      <c r="AD394" s="674"/>
      <c r="AE394" s="680"/>
      <c r="AF394" s="681"/>
      <c r="AG394" s="674"/>
      <c r="AH394" s="680"/>
      <c r="AI394" s="681"/>
      <c r="AJ394" s="674"/>
      <c r="AK394" s="680"/>
      <c r="AL394" s="681"/>
    </row>
    <row r="395" spans="1:38" x14ac:dyDescent="0.55000000000000004">
      <c r="A395" s="682"/>
      <c r="B395" s="682">
        <v>19392</v>
      </c>
      <c r="C395" s="684"/>
      <c r="D395" s="685"/>
      <c r="E395" s="695"/>
      <c r="F395" s="674">
        <v>1</v>
      </c>
      <c r="G395" s="1088" t="s">
        <v>3394</v>
      </c>
      <c r="H395" s="1089" t="s">
        <v>1571</v>
      </c>
      <c r="I395" s="674">
        <v>2</v>
      </c>
      <c r="J395" s="1088" t="s">
        <v>1634</v>
      </c>
      <c r="K395" s="697" t="s">
        <v>1586</v>
      </c>
      <c r="L395" s="674">
        <v>3</v>
      </c>
      <c r="M395" s="696" t="s">
        <v>1502</v>
      </c>
      <c r="N395" s="697" t="s">
        <v>3390</v>
      </c>
      <c r="O395" s="674">
        <v>4</v>
      </c>
      <c r="P395" s="696" t="s">
        <v>1498</v>
      </c>
      <c r="Q395" s="697" t="s">
        <v>3390</v>
      </c>
      <c r="R395" s="674">
        <v>5</v>
      </c>
      <c r="S395" s="696" t="s">
        <v>1503</v>
      </c>
      <c r="T395" s="697" t="s">
        <v>1801</v>
      </c>
      <c r="U395" s="674"/>
      <c r="V395" s="680"/>
      <c r="W395" s="681"/>
      <c r="X395" s="674"/>
      <c r="Y395" s="680"/>
      <c r="Z395" s="681"/>
      <c r="AA395" s="674"/>
      <c r="AB395" s="680"/>
      <c r="AC395" s="681"/>
      <c r="AD395" s="674"/>
      <c r="AE395" s="680"/>
      <c r="AF395" s="681"/>
      <c r="AG395" s="674"/>
      <c r="AH395" s="680"/>
      <c r="AI395" s="681"/>
      <c r="AJ395" s="674"/>
      <c r="AK395" s="680"/>
      <c r="AL395" s="681"/>
    </row>
    <row r="396" spans="1:38" x14ac:dyDescent="0.55000000000000004">
      <c r="A396" s="686">
        <v>43811</v>
      </c>
      <c r="B396" s="682">
        <v>19393</v>
      </c>
      <c r="C396" s="675">
        <v>19086324</v>
      </c>
      <c r="D396" s="689" t="s">
        <v>2402</v>
      </c>
      <c r="E396" s="691"/>
      <c r="F396" s="674">
        <v>1</v>
      </c>
      <c r="G396" s="1088" t="s">
        <v>784</v>
      </c>
      <c r="H396" s="1089" t="s">
        <v>1579</v>
      </c>
      <c r="I396" s="674">
        <v>2</v>
      </c>
      <c r="J396" s="1088" t="s">
        <v>1634</v>
      </c>
      <c r="K396" s="697" t="s">
        <v>1583</v>
      </c>
      <c r="L396" s="674">
        <v>3</v>
      </c>
      <c r="M396" s="696" t="s">
        <v>1507</v>
      </c>
      <c r="N396" s="697" t="s">
        <v>1583</v>
      </c>
      <c r="O396" s="674">
        <v>4</v>
      </c>
      <c r="P396" s="696" t="s">
        <v>1498</v>
      </c>
      <c r="Q396" s="697" t="s">
        <v>1629</v>
      </c>
      <c r="R396" s="674"/>
      <c r="S396" s="680"/>
      <c r="T396" s="681"/>
      <c r="U396" s="674"/>
      <c r="V396" s="680"/>
      <c r="W396" s="681"/>
      <c r="X396" s="674"/>
      <c r="Y396" s="680"/>
      <c r="Z396" s="681"/>
      <c r="AA396" s="674"/>
      <c r="AB396" s="680"/>
      <c r="AC396" s="681"/>
      <c r="AD396" s="674"/>
      <c r="AE396" s="680"/>
      <c r="AF396" s="681"/>
      <c r="AG396" s="674"/>
      <c r="AH396" s="680"/>
      <c r="AI396" s="681"/>
      <c r="AJ396" s="674"/>
      <c r="AK396" s="680"/>
      <c r="AL396" s="681"/>
    </row>
    <row r="397" spans="1:38" x14ac:dyDescent="0.55000000000000004">
      <c r="A397" s="686">
        <v>43811</v>
      </c>
      <c r="B397" s="682">
        <v>19394</v>
      </c>
      <c r="C397" s="675" t="s">
        <v>3132</v>
      </c>
      <c r="D397" s="689" t="s">
        <v>1494</v>
      </c>
      <c r="E397" s="691"/>
      <c r="F397" s="674">
        <v>1</v>
      </c>
      <c r="G397" s="1088" t="s">
        <v>835</v>
      </c>
      <c r="H397" s="1089" t="s">
        <v>1571</v>
      </c>
      <c r="I397" s="674">
        <v>2</v>
      </c>
      <c r="J397" s="1088" t="s">
        <v>3167</v>
      </c>
      <c r="K397" s="697" t="s">
        <v>1571</v>
      </c>
      <c r="L397" s="674">
        <v>3</v>
      </c>
      <c r="M397" s="696" t="s">
        <v>1634</v>
      </c>
      <c r="N397" s="697" t="s">
        <v>1583</v>
      </c>
      <c r="O397" s="674">
        <v>4</v>
      </c>
      <c r="P397" s="696" t="s">
        <v>1502</v>
      </c>
      <c r="Q397" s="697" t="s">
        <v>1575</v>
      </c>
      <c r="R397" s="674">
        <v>5</v>
      </c>
      <c r="S397" s="696" t="s">
        <v>1507</v>
      </c>
      <c r="T397" s="697" t="s">
        <v>1575</v>
      </c>
      <c r="U397" s="674">
        <v>6</v>
      </c>
      <c r="V397" s="696" t="s">
        <v>1498</v>
      </c>
      <c r="W397" s="697" t="s">
        <v>3395</v>
      </c>
      <c r="X397" s="674">
        <v>7</v>
      </c>
      <c r="Y397" s="696" t="s">
        <v>1630</v>
      </c>
      <c r="Z397" s="697" t="s">
        <v>1575</v>
      </c>
      <c r="AA397" s="674">
        <v>8</v>
      </c>
      <c r="AB397" s="696" t="s">
        <v>1503</v>
      </c>
      <c r="AC397" s="697" t="s">
        <v>1584</v>
      </c>
      <c r="AD397" s="674"/>
      <c r="AE397" s="680"/>
      <c r="AF397" s="681"/>
      <c r="AG397" s="674"/>
      <c r="AH397" s="680"/>
      <c r="AI397" s="681"/>
      <c r="AJ397" s="674"/>
      <c r="AK397" s="680"/>
      <c r="AL397" s="681"/>
    </row>
    <row r="398" spans="1:38" x14ac:dyDescent="0.55000000000000004">
      <c r="A398" s="686">
        <v>43811</v>
      </c>
      <c r="B398" s="682">
        <v>19395</v>
      </c>
      <c r="C398" s="675">
        <v>19086308</v>
      </c>
      <c r="D398" s="689" t="s">
        <v>2672</v>
      </c>
      <c r="E398" s="691"/>
      <c r="F398" s="674">
        <v>1</v>
      </c>
      <c r="G398" s="1088" t="s">
        <v>1499</v>
      </c>
      <c r="H398" s="1089" t="s">
        <v>1579</v>
      </c>
      <c r="I398" s="674"/>
      <c r="J398" s="690"/>
      <c r="K398" s="681"/>
      <c r="L398" s="674"/>
      <c r="M398" s="680"/>
      <c r="N398" s="681"/>
      <c r="O398" s="674"/>
      <c r="P398" s="680"/>
      <c r="Q398" s="681"/>
      <c r="R398" s="674"/>
      <c r="S398" s="680"/>
      <c r="T398" s="681"/>
      <c r="U398" s="674"/>
      <c r="V398" s="680"/>
      <c r="W398" s="681"/>
      <c r="X398" s="674"/>
      <c r="Y398" s="680"/>
      <c r="Z398" s="681"/>
      <c r="AA398" s="674"/>
      <c r="AB398" s="680"/>
      <c r="AC398" s="681"/>
      <c r="AD398" s="674"/>
      <c r="AE398" s="680"/>
      <c r="AF398" s="681"/>
      <c r="AG398" s="674"/>
      <c r="AH398" s="680"/>
      <c r="AI398" s="681"/>
      <c r="AJ398" s="674"/>
      <c r="AK398" s="680"/>
      <c r="AL398" s="681"/>
    </row>
    <row r="399" spans="1:38" x14ac:dyDescent="0.55000000000000004">
      <c r="A399" s="686">
        <v>43811</v>
      </c>
      <c r="B399" s="682">
        <v>19396</v>
      </c>
      <c r="C399" s="675">
        <v>19106408</v>
      </c>
      <c r="D399" s="689" t="s">
        <v>3159</v>
      </c>
      <c r="E399" s="691"/>
      <c r="F399" s="674">
        <v>1</v>
      </c>
      <c r="G399" s="1088" t="s">
        <v>755</v>
      </c>
      <c r="H399" s="1089" t="s">
        <v>1571</v>
      </c>
      <c r="I399" s="674">
        <v>2</v>
      </c>
      <c r="J399" s="1088" t="s">
        <v>849</v>
      </c>
      <c r="K399" s="697" t="s">
        <v>2325</v>
      </c>
      <c r="L399" s="674">
        <v>3</v>
      </c>
      <c r="M399" s="696" t="s">
        <v>1634</v>
      </c>
      <c r="N399" s="697" t="s">
        <v>1633</v>
      </c>
      <c r="O399" s="674">
        <v>4</v>
      </c>
      <c r="P399" s="696" t="s">
        <v>1507</v>
      </c>
      <c r="Q399" s="697" t="s">
        <v>3092</v>
      </c>
      <c r="R399" s="674">
        <v>5</v>
      </c>
      <c r="S399" s="696" t="s">
        <v>1498</v>
      </c>
      <c r="T399" s="697" t="s">
        <v>2466</v>
      </c>
      <c r="U399" s="674"/>
      <c r="V399" s="680"/>
      <c r="W399" s="681"/>
      <c r="X399" s="674"/>
      <c r="Y399" s="680"/>
      <c r="Z399" s="681"/>
      <c r="AA399" s="674"/>
      <c r="AB399" s="680"/>
      <c r="AC399" s="681"/>
      <c r="AD399" s="674"/>
      <c r="AE399" s="680"/>
      <c r="AF399" s="681"/>
      <c r="AG399" s="674"/>
      <c r="AH399" s="680"/>
      <c r="AI399" s="681"/>
      <c r="AJ399" s="674"/>
      <c r="AK399" s="680"/>
      <c r="AL399" s="681"/>
    </row>
    <row r="400" spans="1:38" x14ac:dyDescent="0.55000000000000004">
      <c r="A400" s="686">
        <v>43812</v>
      </c>
      <c r="B400" s="682">
        <v>19397</v>
      </c>
      <c r="C400" s="675" t="s">
        <v>3161</v>
      </c>
      <c r="D400" s="689" t="s">
        <v>1494</v>
      </c>
      <c r="E400" s="691"/>
      <c r="F400" s="674">
        <v>1</v>
      </c>
      <c r="G400" s="1088" t="s">
        <v>3164</v>
      </c>
      <c r="H400" s="1089" t="s">
        <v>1571</v>
      </c>
      <c r="I400" s="674">
        <v>2</v>
      </c>
      <c r="J400" s="1088" t="s">
        <v>1634</v>
      </c>
      <c r="K400" s="697" t="s">
        <v>1575</v>
      </c>
      <c r="L400" s="674">
        <v>3</v>
      </c>
      <c r="M400" s="696" t="s">
        <v>1502</v>
      </c>
      <c r="N400" s="697" t="s">
        <v>1575</v>
      </c>
      <c r="O400" s="674">
        <v>4</v>
      </c>
      <c r="P400" s="696" t="s">
        <v>1503</v>
      </c>
      <c r="Q400" s="697" t="s">
        <v>1584</v>
      </c>
      <c r="R400" s="674"/>
      <c r="S400" s="680"/>
      <c r="T400" s="681"/>
      <c r="U400" s="674"/>
      <c r="V400" s="680"/>
      <c r="W400" s="681"/>
      <c r="X400" s="674"/>
      <c r="Y400" s="680"/>
      <c r="Z400" s="681"/>
      <c r="AA400" s="674"/>
      <c r="AB400" s="680"/>
      <c r="AC400" s="681"/>
      <c r="AD400" s="674"/>
      <c r="AE400" s="680"/>
      <c r="AF400" s="681"/>
      <c r="AG400" s="674"/>
      <c r="AH400" s="680"/>
      <c r="AI400" s="681"/>
      <c r="AJ400" s="674"/>
      <c r="AK400" s="680"/>
      <c r="AL400" s="681"/>
    </row>
    <row r="401" spans="1:38" x14ac:dyDescent="0.55000000000000004">
      <c r="A401" s="686">
        <v>43812</v>
      </c>
      <c r="B401" s="682">
        <v>19398</v>
      </c>
      <c r="C401" s="675">
        <v>19126441</v>
      </c>
      <c r="D401" s="689" t="s">
        <v>1490</v>
      </c>
      <c r="E401" s="691"/>
      <c r="F401" s="674">
        <v>1</v>
      </c>
      <c r="G401" s="1088" t="s">
        <v>3201</v>
      </c>
      <c r="H401" s="1089" t="s">
        <v>1571</v>
      </c>
      <c r="I401" s="674">
        <v>2</v>
      </c>
      <c r="J401" s="1088" t="s">
        <v>1511</v>
      </c>
      <c r="K401" s="697" t="s">
        <v>1583</v>
      </c>
      <c r="L401" s="674">
        <v>3</v>
      </c>
      <c r="M401" s="696" t="s">
        <v>1631</v>
      </c>
      <c r="N401" s="697" t="s">
        <v>1586</v>
      </c>
      <c r="O401" s="674">
        <v>4</v>
      </c>
      <c r="P401" s="696" t="s">
        <v>1502</v>
      </c>
      <c r="Q401" s="697" t="s">
        <v>1583</v>
      </c>
      <c r="R401" s="674">
        <v>5</v>
      </c>
      <c r="S401" s="696" t="s">
        <v>1498</v>
      </c>
      <c r="T401" s="697" t="s">
        <v>3396</v>
      </c>
      <c r="U401" s="674">
        <v>6</v>
      </c>
      <c r="V401" s="696" t="s">
        <v>1503</v>
      </c>
      <c r="W401" s="697" t="s">
        <v>1597</v>
      </c>
      <c r="X401" s="674"/>
      <c r="Y401" s="680"/>
      <c r="Z401" s="681"/>
      <c r="AA401" s="674"/>
      <c r="AB401" s="680"/>
      <c r="AC401" s="681"/>
      <c r="AD401" s="674"/>
      <c r="AE401" s="680"/>
      <c r="AF401" s="681"/>
      <c r="AG401" s="674"/>
      <c r="AH401" s="680"/>
      <c r="AI401" s="681"/>
      <c r="AJ401" s="674"/>
      <c r="AK401" s="680"/>
      <c r="AL401" s="681"/>
    </row>
    <row r="402" spans="1:38" x14ac:dyDescent="0.55000000000000004">
      <c r="A402" s="686">
        <v>43812</v>
      </c>
      <c r="B402" s="682">
        <v>19399</v>
      </c>
      <c r="C402" s="675">
        <v>19116429</v>
      </c>
      <c r="D402" s="689" t="s">
        <v>1924</v>
      </c>
      <c r="E402" s="691"/>
      <c r="F402" s="674"/>
      <c r="G402" s="1088"/>
      <c r="H402" s="1089"/>
      <c r="I402" s="674"/>
      <c r="J402" s="1088"/>
      <c r="K402" s="697"/>
      <c r="L402" s="674"/>
      <c r="M402" s="696"/>
      <c r="N402" s="697"/>
      <c r="O402" s="674"/>
      <c r="P402" s="696"/>
      <c r="Q402" s="697"/>
      <c r="R402" s="674"/>
      <c r="S402" s="696"/>
      <c r="T402" s="697"/>
      <c r="U402" s="674"/>
      <c r="V402" s="696"/>
      <c r="W402" s="697"/>
      <c r="X402" s="674"/>
      <c r="Y402" s="696"/>
      <c r="Z402" s="697"/>
      <c r="AA402" s="674"/>
      <c r="AB402" s="696"/>
      <c r="AC402" s="697"/>
      <c r="AD402" s="674"/>
      <c r="AE402" s="696"/>
      <c r="AF402" s="697"/>
      <c r="AG402" s="674"/>
      <c r="AH402" s="696"/>
      <c r="AI402" s="697"/>
      <c r="AJ402" s="674"/>
      <c r="AK402" s="680"/>
      <c r="AL402" s="681"/>
    </row>
    <row r="403" spans="1:38" x14ac:dyDescent="0.55000000000000004">
      <c r="A403" s="686">
        <v>43815</v>
      </c>
      <c r="B403" s="682">
        <v>19400</v>
      </c>
      <c r="C403" s="688"/>
      <c r="D403" s="689" t="s">
        <v>3215</v>
      </c>
      <c r="E403" s="691" t="s">
        <v>1329</v>
      </c>
      <c r="F403" s="674"/>
      <c r="G403" s="1088"/>
      <c r="H403" s="1089"/>
      <c r="I403" s="674"/>
      <c r="J403" s="1088"/>
      <c r="K403" s="697"/>
      <c r="L403" s="674"/>
      <c r="M403" s="696"/>
      <c r="N403" s="697"/>
      <c r="O403" s="674"/>
      <c r="P403" s="696"/>
      <c r="Q403" s="697"/>
      <c r="R403" s="674"/>
      <c r="S403" s="696"/>
      <c r="T403" s="697"/>
      <c r="U403" s="674"/>
      <c r="V403" s="696"/>
      <c r="W403" s="697"/>
      <c r="X403" s="674"/>
      <c r="Y403" s="696"/>
      <c r="Z403" s="697"/>
      <c r="AA403" s="674"/>
      <c r="AB403" s="696"/>
      <c r="AC403" s="697"/>
      <c r="AD403" s="674"/>
      <c r="AE403" s="696"/>
      <c r="AF403" s="697"/>
      <c r="AG403" s="674"/>
      <c r="AH403" s="696"/>
      <c r="AI403" s="697"/>
      <c r="AJ403" s="674"/>
      <c r="AK403" s="680"/>
      <c r="AL403" s="681"/>
    </row>
    <row r="404" spans="1:38" x14ac:dyDescent="0.55000000000000004">
      <c r="A404" s="686">
        <v>43815</v>
      </c>
      <c r="B404" s="682">
        <v>19401</v>
      </c>
      <c r="C404" s="675">
        <v>19126440</v>
      </c>
      <c r="D404" s="689" t="s">
        <v>1624</v>
      </c>
      <c r="E404" s="691"/>
      <c r="F404" s="674"/>
      <c r="G404" s="1088"/>
      <c r="H404" s="1089"/>
      <c r="I404" s="674"/>
      <c r="J404" s="1088"/>
      <c r="K404" s="697"/>
      <c r="L404" s="674"/>
      <c r="M404" s="696"/>
      <c r="N404" s="697"/>
      <c r="O404" s="674"/>
      <c r="P404" s="696"/>
      <c r="Q404" s="697"/>
      <c r="R404" s="674"/>
      <c r="S404" s="696"/>
      <c r="T404" s="697"/>
      <c r="U404" s="674"/>
      <c r="V404" s="696"/>
      <c r="W404" s="697"/>
      <c r="X404" s="674"/>
      <c r="Y404" s="696"/>
      <c r="Z404" s="697"/>
      <c r="AA404" s="674"/>
      <c r="AB404" s="696"/>
      <c r="AC404" s="697"/>
      <c r="AD404" s="674"/>
      <c r="AE404" s="696"/>
      <c r="AF404" s="697"/>
      <c r="AG404" s="674"/>
      <c r="AH404" s="696"/>
      <c r="AI404" s="697"/>
      <c r="AJ404" s="674"/>
      <c r="AK404" s="680"/>
      <c r="AL404" s="681"/>
    </row>
    <row r="405" spans="1:38" x14ac:dyDescent="0.55000000000000004">
      <c r="A405" s="670">
        <v>43815</v>
      </c>
      <c r="B405" s="692">
        <v>19402</v>
      </c>
      <c r="C405" s="672">
        <v>19116413</v>
      </c>
      <c r="D405" s="673" t="s">
        <v>3160</v>
      </c>
      <c r="E405" s="725"/>
      <c r="F405" s="674"/>
      <c r="G405" s="1088"/>
      <c r="H405" s="1089"/>
      <c r="I405" s="674"/>
      <c r="J405" s="1088"/>
      <c r="K405" s="697"/>
      <c r="L405" s="674"/>
      <c r="M405" s="696"/>
      <c r="N405" s="697"/>
      <c r="O405" s="674"/>
      <c r="P405" s="696"/>
      <c r="Q405" s="697"/>
      <c r="R405" s="674"/>
      <c r="S405" s="696"/>
      <c r="T405" s="697"/>
      <c r="U405" s="674"/>
      <c r="V405" s="696"/>
      <c r="W405" s="697"/>
      <c r="X405" s="674"/>
      <c r="Y405" s="696"/>
      <c r="Z405" s="697"/>
      <c r="AA405" s="674"/>
      <c r="AB405" s="696"/>
      <c r="AC405" s="697"/>
      <c r="AD405" s="674"/>
      <c r="AE405" s="696"/>
      <c r="AF405" s="697"/>
      <c r="AG405" s="674"/>
      <c r="AH405" s="696"/>
      <c r="AI405" s="697"/>
      <c r="AJ405" s="674"/>
      <c r="AK405" s="680"/>
      <c r="AL405" s="681"/>
    </row>
    <row r="406" spans="1:38" x14ac:dyDescent="0.55000000000000004">
      <c r="A406" s="682"/>
      <c r="B406" s="682">
        <v>19403</v>
      </c>
      <c r="C406" s="684"/>
      <c r="D406" s="685"/>
      <c r="E406" s="695"/>
      <c r="F406" s="674"/>
      <c r="G406" s="1088"/>
      <c r="H406" s="1089"/>
      <c r="I406" s="674"/>
      <c r="J406" s="1088"/>
      <c r="K406" s="697"/>
      <c r="L406" s="674"/>
      <c r="M406" s="696"/>
      <c r="N406" s="697"/>
      <c r="O406" s="674"/>
      <c r="P406" s="696"/>
      <c r="Q406" s="697"/>
      <c r="R406" s="674"/>
      <c r="S406" s="696"/>
      <c r="T406" s="697"/>
      <c r="U406" s="674"/>
      <c r="V406" s="696"/>
      <c r="W406" s="697"/>
      <c r="X406" s="674"/>
      <c r="Y406" s="696"/>
      <c r="Z406" s="697"/>
      <c r="AA406" s="674"/>
      <c r="AB406" s="696"/>
      <c r="AC406" s="697"/>
      <c r="AD406" s="674"/>
      <c r="AE406" s="696"/>
      <c r="AF406" s="697"/>
      <c r="AG406" s="674"/>
      <c r="AH406" s="696"/>
      <c r="AI406" s="697"/>
      <c r="AJ406" s="674"/>
      <c r="AK406" s="680"/>
      <c r="AL406" s="681"/>
    </row>
    <row r="407" spans="1:38" x14ac:dyDescent="0.55000000000000004">
      <c r="A407" s="686">
        <v>43816</v>
      </c>
      <c r="B407" s="682">
        <v>19404</v>
      </c>
      <c r="C407" s="688"/>
      <c r="D407" s="689" t="s">
        <v>3183</v>
      </c>
      <c r="E407" s="691" t="s">
        <v>1329</v>
      </c>
      <c r="F407" s="674"/>
      <c r="G407" s="1088"/>
      <c r="H407" s="1089"/>
      <c r="I407" s="674"/>
      <c r="J407" s="1088"/>
      <c r="K407" s="697"/>
      <c r="L407" s="674"/>
      <c r="M407" s="696"/>
      <c r="N407" s="697"/>
      <c r="O407" s="674"/>
      <c r="P407" s="696"/>
      <c r="Q407" s="697"/>
      <c r="R407" s="674"/>
      <c r="S407" s="696"/>
      <c r="T407" s="697"/>
      <c r="U407" s="674"/>
      <c r="V407" s="696"/>
      <c r="W407" s="697"/>
      <c r="X407" s="674"/>
      <c r="Y407" s="696"/>
      <c r="Z407" s="697"/>
      <c r="AA407" s="674"/>
      <c r="AB407" s="696"/>
      <c r="AC407" s="697"/>
      <c r="AD407" s="674"/>
      <c r="AE407" s="696"/>
      <c r="AF407" s="697"/>
      <c r="AG407" s="674"/>
      <c r="AH407" s="696"/>
      <c r="AI407" s="697"/>
      <c r="AJ407" s="674"/>
      <c r="AK407" s="680"/>
      <c r="AL407" s="681"/>
    </row>
    <row r="408" spans="1:38" x14ac:dyDescent="0.55000000000000004">
      <c r="A408" s="686">
        <v>43816</v>
      </c>
      <c r="B408" s="682">
        <v>19405</v>
      </c>
      <c r="C408" s="675" t="s">
        <v>3181</v>
      </c>
      <c r="D408" s="689" t="s">
        <v>3183</v>
      </c>
      <c r="E408" s="691"/>
      <c r="F408" s="674"/>
      <c r="G408" s="1088"/>
      <c r="H408" s="1089"/>
      <c r="I408" s="674"/>
      <c r="J408" s="1088"/>
      <c r="K408" s="697"/>
      <c r="L408" s="674"/>
      <c r="M408" s="696"/>
      <c r="N408" s="697"/>
      <c r="O408" s="674"/>
      <c r="P408" s="696"/>
      <c r="Q408" s="697"/>
      <c r="R408" s="674"/>
      <c r="S408" s="696"/>
      <c r="T408" s="697"/>
      <c r="U408" s="674"/>
      <c r="V408" s="696"/>
      <c r="W408" s="697"/>
      <c r="X408" s="674"/>
      <c r="Y408" s="696"/>
      <c r="Z408" s="697"/>
      <c r="AA408" s="674"/>
      <c r="AB408" s="696"/>
      <c r="AC408" s="697"/>
      <c r="AD408" s="674"/>
      <c r="AE408" s="696"/>
      <c r="AF408" s="697"/>
      <c r="AG408" s="674"/>
      <c r="AH408" s="696"/>
      <c r="AI408" s="697"/>
      <c r="AJ408" s="674"/>
      <c r="AK408" s="680"/>
      <c r="AL408" s="681"/>
    </row>
    <row r="409" spans="1:38" x14ac:dyDescent="0.55000000000000004">
      <c r="A409" s="686">
        <v>43816</v>
      </c>
      <c r="B409" s="682">
        <v>19406</v>
      </c>
      <c r="C409" s="675">
        <v>19126448</v>
      </c>
      <c r="D409" s="689" t="s">
        <v>3216</v>
      </c>
      <c r="E409" s="691"/>
      <c r="F409" s="674"/>
      <c r="G409" s="1088"/>
      <c r="H409" s="1089"/>
      <c r="I409" s="674"/>
      <c r="J409" s="1088"/>
      <c r="K409" s="697"/>
      <c r="L409" s="674"/>
      <c r="M409" s="696"/>
      <c r="N409" s="697"/>
      <c r="O409" s="674"/>
      <c r="P409" s="696"/>
      <c r="Q409" s="697"/>
      <c r="R409" s="674"/>
      <c r="S409" s="696"/>
      <c r="T409" s="697"/>
      <c r="U409" s="674"/>
      <c r="V409" s="696"/>
      <c r="W409" s="697"/>
      <c r="X409" s="674"/>
      <c r="Y409" s="696"/>
      <c r="Z409" s="697"/>
      <c r="AA409" s="674"/>
      <c r="AB409" s="696"/>
      <c r="AC409" s="697"/>
      <c r="AD409" s="674"/>
      <c r="AE409" s="696"/>
      <c r="AF409" s="697"/>
      <c r="AG409" s="674"/>
      <c r="AH409" s="696"/>
      <c r="AI409" s="697"/>
      <c r="AJ409" s="674"/>
      <c r="AK409" s="680"/>
      <c r="AL409" s="681"/>
    </row>
    <row r="410" spans="1:38" x14ac:dyDescent="0.55000000000000004">
      <c r="A410" s="686">
        <v>43818</v>
      </c>
      <c r="B410" s="682">
        <v>19407</v>
      </c>
      <c r="C410" s="675">
        <v>19126440</v>
      </c>
      <c r="D410" s="689" t="s">
        <v>1624</v>
      </c>
      <c r="E410" s="691" t="s">
        <v>3217</v>
      </c>
      <c r="F410" s="674">
        <v>1</v>
      </c>
      <c r="G410" s="1088" t="s">
        <v>803</v>
      </c>
      <c r="H410" s="1089" t="s">
        <v>1571</v>
      </c>
      <c r="I410" s="674"/>
      <c r="J410" s="690"/>
      <c r="K410" s="681"/>
      <c r="L410" s="674"/>
      <c r="M410" s="680"/>
      <c r="N410" s="681"/>
      <c r="O410" s="674"/>
      <c r="P410" s="680"/>
      <c r="Q410" s="681"/>
      <c r="R410" s="674"/>
      <c r="S410" s="680"/>
      <c r="T410" s="681"/>
      <c r="U410" s="674"/>
      <c r="V410" s="680"/>
      <c r="W410" s="681"/>
      <c r="X410" s="674"/>
      <c r="Y410" s="680"/>
      <c r="Z410" s="681"/>
      <c r="AA410" s="674"/>
      <c r="AB410" s="680"/>
      <c r="AC410" s="681"/>
      <c r="AD410" s="674"/>
      <c r="AE410" s="680"/>
      <c r="AF410" s="681"/>
      <c r="AG410" s="674"/>
      <c r="AH410" s="680"/>
      <c r="AI410" s="681"/>
      <c r="AJ410" s="674"/>
      <c r="AK410" s="680"/>
      <c r="AL410" s="681"/>
    </row>
    <row r="411" spans="1:38" x14ac:dyDescent="0.55000000000000004">
      <c r="A411" s="686">
        <v>43819</v>
      </c>
      <c r="B411" s="682">
        <v>19408</v>
      </c>
      <c r="C411" s="675" t="s">
        <v>3279</v>
      </c>
      <c r="D411" s="689" t="s">
        <v>3376</v>
      </c>
      <c r="E411" s="691"/>
      <c r="F411" s="674"/>
      <c r="G411" s="1088"/>
      <c r="H411" s="1089"/>
      <c r="I411" s="674"/>
      <c r="J411" s="1088"/>
      <c r="K411" s="697"/>
      <c r="L411" s="674"/>
      <c r="M411" s="696"/>
      <c r="N411" s="697"/>
      <c r="O411" s="674"/>
      <c r="P411" s="696"/>
      <c r="Q411" s="697"/>
      <c r="R411" s="674"/>
      <c r="S411" s="696"/>
      <c r="T411" s="697"/>
      <c r="U411" s="674"/>
      <c r="V411" s="696"/>
      <c r="W411" s="697"/>
      <c r="X411" s="674"/>
      <c r="Y411" s="696"/>
      <c r="Z411" s="697"/>
      <c r="AA411" s="674"/>
      <c r="AB411" s="696"/>
      <c r="AC411" s="697"/>
      <c r="AD411" s="674"/>
      <c r="AE411" s="696"/>
      <c r="AF411" s="697"/>
      <c r="AG411" s="674"/>
      <c r="AH411" s="696"/>
      <c r="AI411" s="697"/>
      <c r="AJ411" s="674"/>
      <c r="AK411" s="680"/>
      <c r="AL411" s="681"/>
    </row>
    <row r="412" spans="1:38" x14ac:dyDescent="0.55000000000000004">
      <c r="A412" s="686">
        <v>43820</v>
      </c>
      <c r="B412" s="682">
        <v>19409</v>
      </c>
      <c r="C412" s="675">
        <v>19096359</v>
      </c>
      <c r="D412" s="689" t="s">
        <v>3377</v>
      </c>
      <c r="E412" s="691"/>
      <c r="F412" s="674"/>
      <c r="G412" s="1088"/>
      <c r="H412" s="1089"/>
      <c r="I412" s="674"/>
      <c r="J412" s="1088"/>
      <c r="K412" s="697"/>
      <c r="L412" s="674"/>
      <c r="M412" s="696"/>
      <c r="N412" s="697"/>
      <c r="O412" s="674"/>
      <c r="P412" s="696"/>
      <c r="Q412" s="697"/>
      <c r="R412" s="674"/>
      <c r="S412" s="696"/>
      <c r="T412" s="697"/>
      <c r="U412" s="674"/>
      <c r="V412" s="696"/>
      <c r="W412" s="697"/>
      <c r="X412" s="674"/>
      <c r="Y412" s="696"/>
      <c r="Z412" s="697"/>
      <c r="AA412" s="674"/>
      <c r="AB412" s="696"/>
      <c r="AC412" s="697"/>
      <c r="AD412" s="674"/>
      <c r="AE412" s="696"/>
      <c r="AF412" s="697"/>
      <c r="AG412" s="674"/>
      <c r="AH412" s="696"/>
      <c r="AI412" s="697"/>
      <c r="AJ412" s="674"/>
      <c r="AK412" s="680"/>
      <c r="AL412" s="681"/>
    </row>
    <row r="413" spans="1:38" x14ac:dyDescent="0.55000000000000004">
      <c r="A413" s="687"/>
      <c r="B413" s="682"/>
      <c r="C413" s="675"/>
      <c r="D413" s="689"/>
      <c r="E413" s="691"/>
      <c r="F413" s="674"/>
      <c r="G413" s="1088"/>
      <c r="H413" s="1089"/>
      <c r="I413" s="674"/>
      <c r="J413" s="1088"/>
      <c r="K413" s="697"/>
      <c r="L413" s="674"/>
      <c r="M413" s="696"/>
      <c r="N413" s="697"/>
      <c r="O413" s="674"/>
      <c r="P413" s="696"/>
      <c r="Q413" s="697"/>
      <c r="R413" s="674"/>
      <c r="S413" s="696"/>
      <c r="T413" s="697"/>
      <c r="U413" s="674"/>
      <c r="V413" s="696"/>
      <c r="W413" s="697"/>
      <c r="X413" s="674"/>
      <c r="Y413" s="696"/>
      <c r="Z413" s="697"/>
      <c r="AA413" s="674"/>
      <c r="AB413" s="696"/>
      <c r="AC413" s="697"/>
      <c r="AD413" s="674"/>
      <c r="AE413" s="696"/>
      <c r="AF413" s="697"/>
      <c r="AG413" s="674"/>
      <c r="AH413" s="696"/>
      <c r="AI413" s="697"/>
      <c r="AJ413" s="674"/>
      <c r="AK413" s="680"/>
      <c r="AL413" s="681"/>
    </row>
    <row r="414" spans="1:38" x14ac:dyDescent="0.55000000000000004">
      <c r="A414" s="687"/>
      <c r="B414" s="682"/>
      <c r="C414" s="675"/>
      <c r="D414" s="689"/>
      <c r="E414" s="691"/>
      <c r="F414" s="674"/>
      <c r="G414" s="1088"/>
      <c r="H414" s="1089"/>
      <c r="I414" s="674"/>
      <c r="J414" s="1088"/>
      <c r="K414" s="697"/>
      <c r="L414" s="674"/>
      <c r="M414" s="696"/>
      <c r="N414" s="697"/>
      <c r="O414" s="674"/>
      <c r="P414" s="696"/>
      <c r="Q414" s="697"/>
      <c r="R414" s="674"/>
      <c r="S414" s="696"/>
      <c r="T414" s="697"/>
      <c r="U414" s="674"/>
      <c r="V414" s="696"/>
      <c r="W414" s="697"/>
      <c r="X414" s="674"/>
      <c r="Y414" s="696"/>
      <c r="Z414" s="697"/>
      <c r="AA414" s="674"/>
      <c r="AB414" s="696"/>
      <c r="AC414" s="697"/>
      <c r="AD414" s="674"/>
      <c r="AE414" s="696"/>
      <c r="AF414" s="697"/>
      <c r="AG414" s="674"/>
      <c r="AH414" s="696"/>
      <c r="AI414" s="697"/>
      <c r="AJ414" s="674"/>
      <c r="AK414" s="680"/>
      <c r="AL414" s="681"/>
    </row>
    <row r="415" spans="1:38" x14ac:dyDescent="0.55000000000000004">
      <c r="A415" s="687"/>
      <c r="B415" s="682"/>
      <c r="C415" s="675"/>
      <c r="D415" s="689"/>
      <c r="E415" s="691"/>
      <c r="F415" s="674"/>
      <c r="G415" s="1088"/>
      <c r="H415" s="1089"/>
      <c r="I415" s="674"/>
      <c r="J415" s="1088"/>
      <c r="K415" s="697"/>
      <c r="L415" s="674"/>
      <c r="M415" s="696"/>
      <c r="N415" s="697"/>
      <c r="O415" s="674"/>
      <c r="P415" s="696"/>
      <c r="Q415" s="697"/>
      <c r="R415" s="674"/>
      <c r="S415" s="696"/>
      <c r="T415" s="697"/>
      <c r="U415" s="674"/>
      <c r="V415" s="696"/>
      <c r="W415" s="697"/>
      <c r="X415" s="674"/>
      <c r="Y415" s="696"/>
      <c r="Z415" s="697"/>
      <c r="AA415" s="674"/>
      <c r="AB415" s="696"/>
      <c r="AC415" s="697"/>
      <c r="AD415" s="674"/>
      <c r="AE415" s="696"/>
      <c r="AF415" s="697"/>
      <c r="AG415" s="674"/>
      <c r="AH415" s="696"/>
      <c r="AI415" s="697"/>
      <c r="AJ415" s="674"/>
      <c r="AK415" s="680"/>
      <c r="AL415" s="681"/>
    </row>
    <row r="416" spans="1:38" x14ac:dyDescent="0.55000000000000004">
      <c r="A416" s="687"/>
      <c r="B416" s="682"/>
      <c r="C416" s="675"/>
      <c r="D416" s="689"/>
      <c r="E416" s="691"/>
      <c r="F416" s="674"/>
      <c r="G416" s="1088"/>
      <c r="H416" s="1089"/>
      <c r="I416" s="674"/>
      <c r="J416" s="1088"/>
      <c r="K416" s="697"/>
      <c r="L416" s="674"/>
      <c r="M416" s="696"/>
      <c r="N416" s="697"/>
      <c r="O416" s="674"/>
      <c r="P416" s="696"/>
      <c r="Q416" s="697"/>
      <c r="R416" s="674"/>
      <c r="S416" s="696"/>
      <c r="T416" s="697"/>
      <c r="U416" s="674"/>
      <c r="V416" s="696"/>
      <c r="W416" s="697"/>
      <c r="X416" s="674"/>
      <c r="Y416" s="696"/>
      <c r="Z416" s="697"/>
      <c r="AA416" s="674"/>
      <c r="AB416" s="696"/>
      <c r="AC416" s="697"/>
      <c r="AD416" s="674"/>
      <c r="AE416" s="696"/>
      <c r="AF416" s="697"/>
      <c r="AG416" s="674"/>
      <c r="AH416" s="696"/>
      <c r="AI416" s="697"/>
      <c r="AJ416" s="674"/>
      <c r="AK416" s="680"/>
      <c r="AL416" s="681"/>
    </row>
    <row r="417" spans="1:38" x14ac:dyDescent="0.55000000000000004">
      <c r="A417" s="687"/>
      <c r="B417" s="687"/>
      <c r="C417" s="675"/>
      <c r="D417" s="689"/>
      <c r="E417" s="689"/>
      <c r="F417" s="674"/>
      <c r="G417" s="1088"/>
      <c r="H417" s="1089"/>
      <c r="I417" s="674"/>
      <c r="J417" s="1088"/>
      <c r="K417" s="697"/>
      <c r="L417" s="674"/>
      <c r="M417" s="696"/>
      <c r="N417" s="697"/>
      <c r="O417" s="674"/>
      <c r="P417" s="696"/>
      <c r="Q417" s="697"/>
      <c r="R417" s="674"/>
      <c r="S417" s="696"/>
      <c r="T417" s="697"/>
      <c r="U417" s="674"/>
      <c r="V417" s="696"/>
      <c r="W417" s="697"/>
      <c r="X417" s="674"/>
      <c r="Y417" s="696"/>
      <c r="Z417" s="697"/>
      <c r="AA417" s="674"/>
      <c r="AB417" s="696"/>
      <c r="AC417" s="697"/>
      <c r="AD417" s="674"/>
      <c r="AE417" s="696"/>
      <c r="AF417" s="697"/>
      <c r="AG417" s="674"/>
      <c r="AH417" s="696"/>
      <c r="AI417" s="697"/>
      <c r="AJ417" s="674"/>
      <c r="AK417" s="680"/>
      <c r="AL417" s="681"/>
    </row>
  </sheetData>
  <mergeCells count="2">
    <mergeCell ref="F3:AL3"/>
    <mergeCell ref="E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N418"/>
  <sheetViews>
    <sheetView tabSelected="1" zoomScale="110" zoomScaleNormal="110" zoomScaleSheetLayoutView="120" workbookViewId="0">
      <pane xSplit="1" ySplit="2" topLeftCell="AC107" activePane="bottomRight" state="frozen"/>
      <selection pane="topRight" activeCell="C1" sqref="C1"/>
      <selection pane="bottomLeft" activeCell="A3" sqref="A3"/>
      <selection pane="bottomRight" activeCell="AM117" sqref="AM117"/>
    </sheetView>
  </sheetViews>
  <sheetFormatPr defaultRowHeight="21.75" x14ac:dyDescent="0.5"/>
  <cols>
    <col min="1" max="1" width="12.33203125" style="51" bestFit="1" customWidth="1"/>
    <col min="2" max="2" width="14.6640625" style="51" bestFit="1" customWidth="1"/>
    <col min="3" max="3" width="7.33203125" style="273" customWidth="1"/>
    <col min="4" max="4" width="6" style="273" customWidth="1"/>
    <col min="5" max="5" width="13.33203125" style="904" bestFit="1" customWidth="1"/>
    <col min="6" max="6" width="7.5" style="955" customWidth="1"/>
    <col min="7" max="7" width="6" style="955" customWidth="1"/>
    <col min="8" max="8" width="12" style="51" bestFit="1" customWidth="1"/>
    <col min="9" max="9" width="9.33203125" style="51"/>
    <col min="10" max="10" width="9.33203125" style="975"/>
    <col min="11" max="11" width="12.1640625" style="975" customWidth="1"/>
    <col min="12" max="12" width="61.33203125" style="51" bestFit="1" customWidth="1"/>
    <col min="13" max="13" width="54.6640625" style="51" bestFit="1" customWidth="1"/>
    <col min="14" max="14" width="13.33203125" style="51" bestFit="1" customWidth="1"/>
    <col min="15" max="15" width="16" style="51" bestFit="1" customWidth="1"/>
    <col min="16" max="16" width="14.6640625" style="51" bestFit="1" customWidth="1"/>
    <col min="17" max="17" width="16" style="51" bestFit="1" customWidth="1"/>
    <col min="18" max="18" width="14.83203125" style="51" bestFit="1" customWidth="1"/>
    <col min="19" max="19" width="38" style="51" bestFit="1" customWidth="1"/>
    <col min="20" max="20" width="16.33203125" style="51" bestFit="1" customWidth="1"/>
    <col min="21" max="21" width="11.6640625" style="51" bestFit="1" customWidth="1"/>
    <col min="22" max="22" width="16.33203125" style="1226" bestFit="1" customWidth="1"/>
    <col min="23" max="23" width="9.83203125" style="1226" bestFit="1" customWidth="1"/>
    <col min="24" max="24" width="16.33203125" style="51" bestFit="1" customWidth="1"/>
    <col min="25" max="25" width="9.83203125" style="1226" bestFit="1" customWidth="1"/>
    <col min="26" max="26" width="14.6640625" style="1226" customWidth="1"/>
    <col min="27" max="27" width="9.83203125" style="1226" customWidth="1"/>
    <col min="28" max="28" width="14.6640625" style="1226" customWidth="1"/>
    <col min="29" max="29" width="13.1640625" style="51" bestFit="1" customWidth="1"/>
    <col min="30" max="30" width="14.6640625" style="1226" bestFit="1" customWidth="1"/>
    <col min="31" max="31" width="17.83203125" style="51" bestFit="1" customWidth="1"/>
    <col min="32" max="32" width="11" style="51" bestFit="1" customWidth="1"/>
    <col min="33" max="33" width="16" style="51" bestFit="1" customWidth="1"/>
    <col min="34" max="34" width="14.83203125" style="51" bestFit="1" customWidth="1"/>
    <col min="35" max="35" width="15.83203125" style="51" bestFit="1" customWidth="1"/>
    <col min="36" max="36" width="12.33203125" style="51" bestFit="1" customWidth="1"/>
    <col min="37" max="39" width="9.33203125" style="51"/>
    <col min="40" max="40" width="90" style="51" bestFit="1" customWidth="1"/>
    <col min="41" max="41" width="9.33203125" style="51"/>
    <col min="42" max="42" width="24.33203125" style="51" bestFit="1" customWidth="1"/>
    <col min="43" max="45" width="9.33203125" style="51"/>
    <col min="46" max="46" width="11.83203125" style="51" bestFit="1" customWidth="1"/>
    <col min="47" max="47" width="9.33203125" style="51"/>
    <col min="48" max="48" width="21.33203125" style="51" bestFit="1" customWidth="1"/>
    <col min="49" max="51" width="9.33203125" style="51"/>
    <col min="52" max="52" width="11.83203125" style="51" bestFit="1" customWidth="1"/>
    <col min="53" max="53" width="9.33203125" style="51"/>
    <col min="54" max="54" width="18.33203125" style="51" bestFit="1" customWidth="1"/>
    <col min="55" max="57" width="9.33203125" style="51"/>
    <col min="58" max="58" width="10.83203125" style="51" bestFit="1" customWidth="1"/>
    <col min="59" max="59" width="9.33203125" style="51"/>
    <col min="60" max="60" width="21.33203125" style="51" bestFit="1" customWidth="1"/>
    <col min="61" max="63" width="9.33203125" style="51"/>
    <col min="64" max="64" width="10.83203125" style="51" bestFit="1" customWidth="1"/>
    <col min="65" max="65" width="9.33203125" style="51"/>
    <col min="66" max="66" width="12.1640625" style="51" bestFit="1" customWidth="1"/>
    <col min="67" max="69" width="9.33203125" style="51"/>
    <col min="70" max="70" width="10.83203125" style="1078" bestFit="1" customWidth="1"/>
    <col min="71" max="71" width="9.33203125" style="51"/>
    <col min="72" max="72" width="11.5" style="51" bestFit="1" customWidth="1"/>
    <col min="73" max="75" width="9.33203125" style="51"/>
    <col min="76" max="76" width="9.33203125" style="1078"/>
    <col min="77" max="81" width="9.33203125" style="51"/>
    <col min="82" max="82" width="9.33203125" style="1078"/>
    <col min="83" max="87" width="9.33203125" style="51"/>
    <col min="88" max="88" width="11.83203125" style="51" bestFit="1" customWidth="1"/>
    <col min="89" max="16384" width="9.33203125" style="51"/>
  </cols>
  <sheetData>
    <row r="1" spans="1:92" s="3" customFormat="1" ht="19.899999999999999" customHeight="1" x14ac:dyDescent="0.5">
      <c r="A1" s="2002" t="s">
        <v>6</v>
      </c>
      <c r="B1" s="2003" t="s">
        <v>7</v>
      </c>
      <c r="C1" s="2005" t="s">
        <v>182</v>
      </c>
      <c r="D1" s="2005"/>
      <c r="E1" s="2014" t="s">
        <v>2297</v>
      </c>
      <c r="F1" s="2013" t="s">
        <v>183</v>
      </c>
      <c r="G1" s="2013"/>
      <c r="H1" s="2002" t="s">
        <v>865</v>
      </c>
      <c r="I1" s="2002"/>
      <c r="J1" s="2012" t="s">
        <v>56</v>
      </c>
      <c r="K1" s="2012"/>
      <c r="L1" s="2002" t="s">
        <v>8</v>
      </c>
      <c r="M1" s="2007" t="s">
        <v>25</v>
      </c>
      <c r="N1" s="2002" t="s">
        <v>49</v>
      </c>
      <c r="O1" s="2008" t="s">
        <v>46</v>
      </c>
      <c r="P1" s="2008" t="s">
        <v>47</v>
      </c>
      <c r="Q1" s="2008" t="s">
        <v>48</v>
      </c>
      <c r="R1" s="1995" t="s">
        <v>404</v>
      </c>
      <c r="S1" s="1994" t="s">
        <v>55</v>
      </c>
      <c r="T1" s="1994"/>
      <c r="U1" s="1994"/>
      <c r="V1" s="1994"/>
      <c r="W1" s="2020" t="s">
        <v>54</v>
      </c>
      <c r="X1" s="2021"/>
      <c r="Y1" s="2021"/>
      <c r="Z1" s="2022"/>
      <c r="AA1" s="2025" t="s">
        <v>3413</v>
      </c>
      <c r="AB1" s="2026"/>
      <c r="AC1" s="2011" t="s">
        <v>557</v>
      </c>
      <c r="AD1" s="2011"/>
      <c r="AE1" s="2009" t="s">
        <v>163</v>
      </c>
      <c r="AF1" s="2023" t="s">
        <v>3422</v>
      </c>
      <c r="AG1" s="1996" t="s">
        <v>46</v>
      </c>
      <c r="AH1" s="1996" t="s">
        <v>164</v>
      </c>
      <c r="AI1" s="1996" t="s">
        <v>48</v>
      </c>
      <c r="AJ1" s="2000" t="s">
        <v>863</v>
      </c>
      <c r="AK1" s="1991" t="s">
        <v>867</v>
      </c>
      <c r="AL1" s="1992"/>
      <c r="AM1" s="1992"/>
      <c r="AN1" s="1993"/>
      <c r="AO1" s="1997" t="s">
        <v>579</v>
      </c>
      <c r="AP1" s="1998"/>
      <c r="AQ1" s="1998"/>
      <c r="AR1" s="1998"/>
      <c r="AS1" s="1998"/>
      <c r="AT1" s="1998"/>
      <c r="AU1" s="1998"/>
      <c r="AV1" s="1998"/>
      <c r="AW1" s="1998"/>
      <c r="AX1" s="1998"/>
      <c r="AY1" s="1998"/>
      <c r="AZ1" s="1998"/>
      <c r="BA1" s="1998"/>
      <c r="BB1" s="1998"/>
      <c r="BC1" s="1998"/>
      <c r="BD1" s="1998"/>
      <c r="BE1" s="1998"/>
      <c r="BF1" s="1998"/>
      <c r="BG1" s="1998"/>
      <c r="BH1" s="1998"/>
      <c r="BI1" s="1998"/>
      <c r="BJ1" s="1998"/>
      <c r="BK1" s="1998"/>
      <c r="BL1" s="1998"/>
      <c r="BM1" s="1998"/>
      <c r="BN1" s="1998"/>
      <c r="BO1" s="1998"/>
      <c r="BP1" s="1998"/>
      <c r="BQ1" s="1998"/>
      <c r="BR1" s="1998"/>
      <c r="BS1" s="1998"/>
      <c r="BT1" s="1998"/>
      <c r="BU1" s="1998"/>
      <c r="BV1" s="1998"/>
      <c r="BW1" s="1998"/>
      <c r="BX1" s="1998"/>
      <c r="BY1" s="1998"/>
      <c r="BZ1" s="1998"/>
      <c r="CA1" s="1998"/>
      <c r="CB1" s="1998"/>
      <c r="CC1" s="1998"/>
      <c r="CD1" s="1998"/>
      <c r="CE1" s="1998"/>
      <c r="CF1" s="1998"/>
      <c r="CG1" s="1998"/>
      <c r="CH1" s="1998"/>
      <c r="CI1" s="1998"/>
      <c r="CJ1" s="1999"/>
      <c r="CK1" s="1"/>
      <c r="CL1" s="2"/>
      <c r="CM1" s="2"/>
      <c r="CN1" s="2"/>
    </row>
    <row r="2" spans="1:92" s="3" customFormat="1" x14ac:dyDescent="0.5">
      <c r="A2" s="2002"/>
      <c r="B2" s="2004"/>
      <c r="C2" s="2005"/>
      <c r="D2" s="2005"/>
      <c r="E2" s="2015"/>
      <c r="F2" s="2013"/>
      <c r="G2" s="2013"/>
      <c r="H2" s="1133" t="s">
        <v>866</v>
      </c>
      <c r="I2" s="1133" t="s">
        <v>583</v>
      </c>
      <c r="J2" s="1137" t="s">
        <v>57</v>
      </c>
      <c r="K2" s="1137" t="s">
        <v>58</v>
      </c>
      <c r="L2" s="2002"/>
      <c r="M2" s="2007"/>
      <c r="N2" s="2002"/>
      <c r="O2" s="2008"/>
      <c r="P2" s="2008"/>
      <c r="Q2" s="2008"/>
      <c r="R2" s="1995"/>
      <c r="S2" s="1136" t="s">
        <v>556</v>
      </c>
      <c r="T2" s="1136" t="s">
        <v>560</v>
      </c>
      <c r="U2" s="6" t="s">
        <v>561</v>
      </c>
      <c r="V2" s="1250" t="s">
        <v>559</v>
      </c>
      <c r="W2" s="1230" t="s">
        <v>3409</v>
      </c>
      <c r="X2" s="1183" t="s">
        <v>560</v>
      </c>
      <c r="Y2" s="1222" t="s">
        <v>561</v>
      </c>
      <c r="Z2" s="1222" t="s">
        <v>559</v>
      </c>
      <c r="AA2" s="1227" t="s">
        <v>561</v>
      </c>
      <c r="AB2" s="1227" t="s">
        <v>559</v>
      </c>
      <c r="AC2" s="10" t="s">
        <v>561</v>
      </c>
      <c r="AD2" s="1233" t="s">
        <v>559</v>
      </c>
      <c r="AE2" s="2009"/>
      <c r="AF2" s="2024"/>
      <c r="AG2" s="1996"/>
      <c r="AH2" s="1996"/>
      <c r="AI2" s="1996"/>
      <c r="AJ2" s="2001"/>
      <c r="AK2" s="1134" t="s">
        <v>57</v>
      </c>
      <c r="AL2" s="1134" t="s">
        <v>868</v>
      </c>
      <c r="AM2" s="1777" t="s">
        <v>871</v>
      </c>
      <c r="AN2" s="1134" t="s">
        <v>872</v>
      </c>
      <c r="AO2" s="14" t="s">
        <v>583</v>
      </c>
      <c r="AP2" s="15" t="s">
        <v>584</v>
      </c>
      <c r="AQ2" s="15" t="s">
        <v>586</v>
      </c>
      <c r="AR2" s="15" t="s">
        <v>585</v>
      </c>
      <c r="AS2" s="16" t="s">
        <v>581</v>
      </c>
      <c r="AT2" s="17" t="s">
        <v>627</v>
      </c>
      <c r="AU2" s="14" t="s">
        <v>583</v>
      </c>
      <c r="AV2" s="16" t="s">
        <v>584</v>
      </c>
      <c r="AW2" s="16" t="s">
        <v>586</v>
      </c>
      <c r="AX2" s="16" t="s">
        <v>585</v>
      </c>
      <c r="AY2" s="16" t="s">
        <v>581</v>
      </c>
      <c r="AZ2" s="18" t="s">
        <v>627</v>
      </c>
      <c r="BA2" s="14" t="s">
        <v>583</v>
      </c>
      <c r="BB2" s="16" t="s">
        <v>584</v>
      </c>
      <c r="BC2" s="16" t="s">
        <v>586</v>
      </c>
      <c r="BD2" s="16" t="s">
        <v>585</v>
      </c>
      <c r="BE2" s="16" t="s">
        <v>581</v>
      </c>
      <c r="BF2" s="18" t="s">
        <v>627</v>
      </c>
      <c r="BG2" s="14" t="s">
        <v>583</v>
      </c>
      <c r="BH2" s="16" t="s">
        <v>584</v>
      </c>
      <c r="BI2" s="16" t="s">
        <v>586</v>
      </c>
      <c r="BJ2" s="16" t="s">
        <v>585</v>
      </c>
      <c r="BK2" s="16" t="s">
        <v>581</v>
      </c>
      <c r="BL2" s="18" t="s">
        <v>627</v>
      </c>
      <c r="BM2" s="14" t="s">
        <v>583</v>
      </c>
      <c r="BN2" s="16" t="s">
        <v>584</v>
      </c>
      <c r="BO2" s="16" t="s">
        <v>586</v>
      </c>
      <c r="BP2" s="16" t="s">
        <v>585</v>
      </c>
      <c r="BQ2" s="16" t="s">
        <v>581</v>
      </c>
      <c r="BR2" s="1077" t="s">
        <v>627</v>
      </c>
      <c r="BS2" s="14" t="s">
        <v>583</v>
      </c>
      <c r="BT2" s="16" t="s">
        <v>584</v>
      </c>
      <c r="BU2" s="16" t="s">
        <v>586</v>
      </c>
      <c r="BV2" s="16" t="s">
        <v>585</v>
      </c>
      <c r="BW2" s="16" t="s">
        <v>581</v>
      </c>
      <c r="BX2" s="1077" t="s">
        <v>627</v>
      </c>
      <c r="BY2" s="14" t="s">
        <v>583</v>
      </c>
      <c r="BZ2" s="16" t="s">
        <v>584</v>
      </c>
      <c r="CA2" s="16" t="s">
        <v>586</v>
      </c>
      <c r="CB2" s="16" t="s">
        <v>585</v>
      </c>
      <c r="CC2" s="16" t="s">
        <v>581</v>
      </c>
      <c r="CD2" s="1077" t="s">
        <v>627</v>
      </c>
      <c r="CE2" s="14" t="s">
        <v>583</v>
      </c>
      <c r="CF2" s="16" t="s">
        <v>584</v>
      </c>
      <c r="CG2" s="16" t="s">
        <v>586</v>
      </c>
      <c r="CH2" s="16" t="s">
        <v>585</v>
      </c>
      <c r="CI2" s="16" t="s">
        <v>581</v>
      </c>
      <c r="CJ2" s="18" t="s">
        <v>627</v>
      </c>
      <c r="CK2" s="19"/>
      <c r="CL2" s="20"/>
      <c r="CM2" s="20"/>
      <c r="CN2" s="20"/>
    </row>
    <row r="3" spans="1:92" x14ac:dyDescent="0.5">
      <c r="A3" s="21"/>
      <c r="B3" s="22"/>
      <c r="C3" s="1019"/>
      <c r="D3" s="1020"/>
      <c r="E3" s="884"/>
      <c r="F3" s="932"/>
      <c r="G3" s="933"/>
      <c r="H3" s="831"/>
      <c r="I3" s="1021"/>
      <c r="J3" s="931"/>
      <c r="K3" s="40"/>
      <c r="L3" s="22"/>
      <c r="M3" s="28"/>
      <c r="N3" s="22"/>
      <c r="O3" s="29"/>
      <c r="P3" s="29">
        <f>O3*7/100</f>
        <v>0</v>
      </c>
      <c r="Q3" s="29">
        <f>O3+P3</f>
        <v>0</v>
      </c>
      <c r="R3" s="30"/>
      <c r="S3" s="31"/>
      <c r="T3" s="32">
        <f>O3-R3</f>
        <v>0</v>
      </c>
      <c r="U3" s="33"/>
      <c r="V3" s="1251">
        <f>T3*U3/100</f>
        <v>0</v>
      </c>
      <c r="W3" s="1231"/>
      <c r="X3" s="1184">
        <f>T3-V3</f>
        <v>0</v>
      </c>
      <c r="Y3" s="1223">
        <f>SUM((50-W3)/(100)*(2.5)+(0.5))</f>
        <v>1.75</v>
      </c>
      <c r="Z3" s="1223"/>
      <c r="AA3" s="1228"/>
      <c r="AB3" s="1228">
        <f t="shared" ref="AB3:AB373" si="0">X3*AA3/100</f>
        <v>0</v>
      </c>
      <c r="AC3" s="37"/>
      <c r="AD3" s="1234">
        <f>X3*AC3/100</f>
        <v>0</v>
      </c>
      <c r="AE3" s="40"/>
      <c r="AF3" s="1186"/>
      <c r="AG3" s="41"/>
      <c r="AH3" s="63">
        <f>AG3*7/100</f>
        <v>0</v>
      </c>
      <c r="AI3" s="52">
        <f>AG3+AH3</f>
        <v>0</v>
      </c>
      <c r="AJ3" s="43"/>
      <c r="AK3" s="39"/>
      <c r="AL3" s="39"/>
      <c r="AM3" s="39"/>
      <c r="AN3" s="21"/>
      <c r="AO3" s="1135">
        <v>1</v>
      </c>
      <c r="AP3" s="45"/>
      <c r="AQ3" s="46"/>
      <c r="AR3" s="46"/>
      <c r="AS3" s="47"/>
      <c r="AT3" s="48"/>
      <c r="AU3" s="1135">
        <v>2</v>
      </c>
      <c r="AV3" s="40"/>
      <c r="AW3" s="47"/>
      <c r="AX3" s="47"/>
      <c r="AY3" s="47"/>
      <c r="AZ3" s="49"/>
      <c r="BA3" s="1135">
        <v>3</v>
      </c>
      <c r="BB3" s="40"/>
      <c r="BC3" s="47"/>
      <c r="BD3" s="47"/>
      <c r="BE3" s="47"/>
      <c r="BF3" s="49"/>
      <c r="BG3" s="1135">
        <v>4</v>
      </c>
      <c r="BH3" s="40"/>
      <c r="BI3" s="47"/>
      <c r="BJ3" s="47"/>
      <c r="BK3" s="47"/>
      <c r="BL3" s="49"/>
      <c r="BM3" s="1135">
        <v>5</v>
      </c>
      <c r="BN3" s="40"/>
      <c r="BO3" s="47"/>
      <c r="BP3" s="47"/>
      <c r="BQ3" s="47"/>
      <c r="BR3" s="49"/>
      <c r="BS3" s="1135">
        <v>6</v>
      </c>
      <c r="BT3" s="40"/>
      <c r="BU3" s="47"/>
      <c r="BV3" s="47"/>
      <c r="BW3" s="47"/>
      <c r="BX3" s="49"/>
      <c r="BY3" s="1135">
        <v>7</v>
      </c>
      <c r="BZ3" s="40"/>
      <c r="CA3" s="47"/>
      <c r="CB3" s="47"/>
      <c r="CC3" s="47"/>
      <c r="CD3" s="49"/>
      <c r="CE3" s="1135">
        <v>8</v>
      </c>
      <c r="CF3" s="40"/>
      <c r="CG3" s="47"/>
      <c r="CH3" s="47"/>
      <c r="CI3" s="47"/>
      <c r="CJ3" s="50"/>
    </row>
    <row r="4" spans="1:92" x14ac:dyDescent="0.5">
      <c r="A4" s="21"/>
      <c r="B4" s="22"/>
      <c r="C4" s="1019"/>
      <c r="D4" s="1020"/>
      <c r="E4" s="884"/>
      <c r="F4" s="932"/>
      <c r="G4" s="933"/>
      <c r="H4" s="831"/>
      <c r="I4" s="1021"/>
      <c r="J4" s="931"/>
      <c r="K4" s="40"/>
      <c r="L4" s="22"/>
      <c r="M4" s="28"/>
      <c r="N4" s="22"/>
      <c r="O4" s="29"/>
      <c r="P4" s="29">
        <f t="shared" ref="P4:P16" si="1">O4*7/100</f>
        <v>0</v>
      </c>
      <c r="Q4" s="29">
        <f t="shared" ref="Q4:Q16" si="2">O4+P4</f>
        <v>0</v>
      </c>
      <c r="R4" s="30"/>
      <c r="S4" s="31"/>
      <c r="T4" s="32">
        <f t="shared" ref="T4:T16" si="3">O4-R4</f>
        <v>0</v>
      </c>
      <c r="U4" s="33"/>
      <c r="V4" s="1251">
        <f t="shared" ref="V4:V16" si="4">T4*U4/100</f>
        <v>0</v>
      </c>
      <c r="W4" s="1231"/>
      <c r="X4" s="1184">
        <f t="shared" ref="X4:X16" si="5">T4-V4</f>
        <v>0</v>
      </c>
      <c r="Y4" s="1223">
        <f t="shared" ref="Y4:Y16" si="6">SUM((50-W4)/(100)*(2.5)+(0.5))</f>
        <v>1.75</v>
      </c>
      <c r="Z4" s="1223"/>
      <c r="AA4" s="1228"/>
      <c r="AB4" s="1228">
        <f t="shared" si="0"/>
        <v>0</v>
      </c>
      <c r="AC4" s="37"/>
      <c r="AD4" s="1234">
        <f t="shared" ref="AD4:AD16" si="7">X4*AC4/100</f>
        <v>0</v>
      </c>
      <c r="AE4" s="40"/>
      <c r="AF4" s="1186"/>
      <c r="AG4" s="41"/>
      <c r="AH4" s="63">
        <f t="shared" ref="AH4:AH16" si="8">AG4*7/100</f>
        <v>0</v>
      </c>
      <c r="AI4" s="52">
        <f t="shared" ref="AI4:AI16" si="9">AG4+AH4</f>
        <v>0</v>
      </c>
      <c r="AJ4" s="43"/>
      <c r="AK4" s="39"/>
      <c r="AL4" s="39"/>
      <c r="AM4" s="39"/>
      <c r="AN4" s="21"/>
      <c r="AO4" s="1893">
        <v>1</v>
      </c>
      <c r="AP4" s="45"/>
      <c r="AQ4" s="46"/>
      <c r="AR4" s="46"/>
      <c r="AS4" s="47"/>
      <c r="AT4" s="48"/>
      <c r="AU4" s="1893">
        <v>2</v>
      </c>
      <c r="AV4" s="40"/>
      <c r="AW4" s="47"/>
      <c r="AX4" s="47"/>
      <c r="AY4" s="47"/>
      <c r="AZ4" s="49"/>
      <c r="BA4" s="1893">
        <v>3</v>
      </c>
      <c r="BB4" s="40"/>
      <c r="BC4" s="47"/>
      <c r="BD4" s="47"/>
      <c r="BE4" s="47"/>
      <c r="BF4" s="49"/>
      <c r="BG4" s="1893">
        <v>4</v>
      </c>
      <c r="BH4" s="40"/>
      <c r="BI4" s="47"/>
      <c r="BJ4" s="47"/>
      <c r="BK4" s="47"/>
      <c r="BL4" s="49"/>
      <c r="BM4" s="1893">
        <v>5</v>
      </c>
      <c r="BN4" s="40"/>
      <c r="BO4" s="47"/>
      <c r="BP4" s="47"/>
      <c r="BQ4" s="47"/>
      <c r="BR4" s="49"/>
      <c r="BS4" s="1893">
        <v>6</v>
      </c>
      <c r="BT4" s="40"/>
      <c r="BU4" s="47"/>
      <c r="BV4" s="47"/>
      <c r="BW4" s="47"/>
      <c r="BX4" s="49"/>
      <c r="BY4" s="1893">
        <v>7</v>
      </c>
      <c r="BZ4" s="40"/>
      <c r="CA4" s="47"/>
      <c r="CB4" s="47"/>
      <c r="CC4" s="47"/>
      <c r="CD4" s="49"/>
      <c r="CE4" s="1893">
        <v>8</v>
      </c>
      <c r="CF4" s="40"/>
      <c r="CG4" s="47"/>
      <c r="CH4" s="47"/>
      <c r="CI4" s="47"/>
      <c r="CJ4" s="50"/>
    </row>
    <row r="5" spans="1:92" x14ac:dyDescent="0.5">
      <c r="A5" s="21"/>
      <c r="B5" s="22"/>
      <c r="C5" s="1019"/>
      <c r="D5" s="1020"/>
      <c r="E5" s="884"/>
      <c r="F5" s="932"/>
      <c r="G5" s="933"/>
      <c r="H5" s="831"/>
      <c r="I5" s="1021"/>
      <c r="J5" s="931"/>
      <c r="K5" s="40"/>
      <c r="L5" s="22"/>
      <c r="M5" s="28"/>
      <c r="N5" s="22"/>
      <c r="O5" s="29"/>
      <c r="P5" s="29">
        <f t="shared" si="1"/>
        <v>0</v>
      </c>
      <c r="Q5" s="29">
        <f t="shared" si="2"/>
        <v>0</v>
      </c>
      <c r="R5" s="30"/>
      <c r="S5" s="31"/>
      <c r="T5" s="32">
        <f t="shared" si="3"/>
        <v>0</v>
      </c>
      <c r="U5" s="33"/>
      <c r="V5" s="1251">
        <f t="shared" si="4"/>
        <v>0</v>
      </c>
      <c r="W5" s="1231"/>
      <c r="X5" s="1184">
        <f t="shared" si="5"/>
        <v>0</v>
      </c>
      <c r="Y5" s="1223">
        <f t="shared" si="6"/>
        <v>1.75</v>
      </c>
      <c r="Z5" s="1223"/>
      <c r="AA5" s="1228"/>
      <c r="AB5" s="1228">
        <f t="shared" si="0"/>
        <v>0</v>
      </c>
      <c r="AC5" s="37"/>
      <c r="AD5" s="1234">
        <f t="shared" si="7"/>
        <v>0</v>
      </c>
      <c r="AE5" s="40"/>
      <c r="AF5" s="1186"/>
      <c r="AG5" s="41"/>
      <c r="AH5" s="63">
        <f t="shared" si="8"/>
        <v>0</v>
      </c>
      <c r="AI5" s="52">
        <f t="shared" si="9"/>
        <v>0</v>
      </c>
      <c r="AJ5" s="43"/>
      <c r="AK5" s="39"/>
      <c r="AL5" s="39"/>
      <c r="AM5" s="39"/>
      <c r="AN5" s="21"/>
      <c r="AO5" s="1893">
        <v>1</v>
      </c>
      <c r="AP5" s="45"/>
      <c r="AQ5" s="46"/>
      <c r="AR5" s="46"/>
      <c r="AS5" s="47"/>
      <c r="AT5" s="48"/>
      <c r="AU5" s="1893">
        <v>2</v>
      </c>
      <c r="AV5" s="40"/>
      <c r="AW5" s="47"/>
      <c r="AX5" s="47"/>
      <c r="AY5" s="47"/>
      <c r="AZ5" s="49"/>
      <c r="BA5" s="1893">
        <v>3</v>
      </c>
      <c r="BB5" s="40"/>
      <c r="BC5" s="47"/>
      <c r="BD5" s="47"/>
      <c r="BE5" s="47"/>
      <c r="BF5" s="49"/>
      <c r="BG5" s="1893">
        <v>4</v>
      </c>
      <c r="BH5" s="40"/>
      <c r="BI5" s="47"/>
      <c r="BJ5" s="47"/>
      <c r="BK5" s="47"/>
      <c r="BL5" s="49"/>
      <c r="BM5" s="1893">
        <v>5</v>
      </c>
      <c r="BN5" s="40"/>
      <c r="BO5" s="47"/>
      <c r="BP5" s="47"/>
      <c r="BQ5" s="47"/>
      <c r="BR5" s="49"/>
      <c r="BS5" s="1893">
        <v>6</v>
      </c>
      <c r="BT5" s="40"/>
      <c r="BU5" s="47"/>
      <c r="BV5" s="47"/>
      <c r="BW5" s="47"/>
      <c r="BX5" s="49"/>
      <c r="BY5" s="1893">
        <v>7</v>
      </c>
      <c r="BZ5" s="40"/>
      <c r="CA5" s="47"/>
      <c r="CB5" s="47"/>
      <c r="CC5" s="47"/>
      <c r="CD5" s="49"/>
      <c r="CE5" s="1893">
        <v>8</v>
      </c>
      <c r="CF5" s="40"/>
      <c r="CG5" s="47"/>
      <c r="CH5" s="47"/>
      <c r="CI5" s="47"/>
      <c r="CJ5" s="50"/>
    </row>
    <row r="6" spans="1:92" x14ac:dyDescent="0.5">
      <c r="A6" s="21"/>
      <c r="B6" s="22"/>
      <c r="C6" s="1019"/>
      <c r="D6" s="1020"/>
      <c r="E6" s="884"/>
      <c r="F6" s="932"/>
      <c r="G6" s="933"/>
      <c r="H6" s="831"/>
      <c r="I6" s="1021"/>
      <c r="J6" s="931"/>
      <c r="K6" s="40"/>
      <c r="L6" s="22"/>
      <c r="M6" s="28"/>
      <c r="N6" s="22"/>
      <c r="O6" s="29"/>
      <c r="P6" s="29">
        <f t="shared" si="1"/>
        <v>0</v>
      </c>
      <c r="Q6" s="29">
        <f t="shared" si="2"/>
        <v>0</v>
      </c>
      <c r="R6" s="30"/>
      <c r="S6" s="31"/>
      <c r="T6" s="32">
        <f t="shared" si="3"/>
        <v>0</v>
      </c>
      <c r="U6" s="33"/>
      <c r="V6" s="1251">
        <f t="shared" si="4"/>
        <v>0</v>
      </c>
      <c r="W6" s="1231"/>
      <c r="X6" s="1184">
        <f t="shared" si="5"/>
        <v>0</v>
      </c>
      <c r="Y6" s="1223">
        <f t="shared" si="6"/>
        <v>1.75</v>
      </c>
      <c r="Z6" s="1223"/>
      <c r="AA6" s="1228"/>
      <c r="AB6" s="1228">
        <f t="shared" ref="AB6:AB9" si="10">X6*AA6/100</f>
        <v>0</v>
      </c>
      <c r="AC6" s="37"/>
      <c r="AD6" s="1234">
        <f t="shared" si="7"/>
        <v>0</v>
      </c>
      <c r="AE6" s="40"/>
      <c r="AF6" s="1186"/>
      <c r="AG6" s="41"/>
      <c r="AH6" s="63">
        <f t="shared" si="8"/>
        <v>0</v>
      </c>
      <c r="AI6" s="52">
        <f t="shared" si="9"/>
        <v>0</v>
      </c>
      <c r="AJ6" s="43"/>
      <c r="AK6" s="39"/>
      <c r="AL6" s="39"/>
      <c r="AM6" s="39"/>
      <c r="AN6" s="21"/>
      <c r="AO6" s="1932">
        <v>1</v>
      </c>
      <c r="AP6" s="45"/>
      <c r="AQ6" s="46"/>
      <c r="AR6" s="46"/>
      <c r="AS6" s="47"/>
      <c r="AT6" s="48"/>
      <c r="AU6" s="1932">
        <v>2</v>
      </c>
      <c r="AV6" s="40"/>
      <c r="AW6" s="47"/>
      <c r="AX6" s="47"/>
      <c r="AY6" s="47"/>
      <c r="AZ6" s="49"/>
      <c r="BA6" s="1932">
        <v>3</v>
      </c>
      <c r="BB6" s="40"/>
      <c r="BC6" s="47"/>
      <c r="BD6" s="47"/>
      <c r="BE6" s="47"/>
      <c r="BF6" s="49"/>
      <c r="BG6" s="1932">
        <v>4</v>
      </c>
      <c r="BH6" s="40"/>
      <c r="BI6" s="47"/>
      <c r="BJ6" s="47"/>
      <c r="BK6" s="47"/>
      <c r="BL6" s="49"/>
      <c r="BM6" s="1932">
        <v>5</v>
      </c>
      <c r="BN6" s="40"/>
      <c r="BO6" s="47"/>
      <c r="BP6" s="47"/>
      <c r="BQ6" s="47"/>
      <c r="BR6" s="49"/>
      <c r="BS6" s="1932">
        <v>6</v>
      </c>
      <c r="BT6" s="40"/>
      <c r="BU6" s="47"/>
      <c r="BV6" s="47"/>
      <c r="BW6" s="47"/>
      <c r="BX6" s="49"/>
      <c r="BY6" s="1932">
        <v>7</v>
      </c>
      <c r="BZ6" s="40"/>
      <c r="CA6" s="47"/>
      <c r="CB6" s="47"/>
      <c r="CC6" s="47"/>
      <c r="CD6" s="49"/>
      <c r="CE6" s="1932">
        <v>8</v>
      </c>
      <c r="CF6" s="40"/>
      <c r="CG6" s="47"/>
      <c r="CH6" s="47"/>
      <c r="CI6" s="47"/>
      <c r="CJ6" s="50"/>
    </row>
    <row r="7" spans="1:92" x14ac:dyDescent="0.5">
      <c r="A7" s="21"/>
      <c r="B7" s="22"/>
      <c r="C7" s="1019"/>
      <c r="D7" s="1020"/>
      <c r="E7" s="884"/>
      <c r="F7" s="932"/>
      <c r="G7" s="933"/>
      <c r="H7" s="831"/>
      <c r="I7" s="1021"/>
      <c r="J7" s="931"/>
      <c r="K7" s="40"/>
      <c r="L7" s="22"/>
      <c r="M7" s="28"/>
      <c r="N7" s="22"/>
      <c r="O7" s="29"/>
      <c r="P7" s="29">
        <f t="shared" si="1"/>
        <v>0</v>
      </c>
      <c r="Q7" s="29">
        <f t="shared" si="2"/>
        <v>0</v>
      </c>
      <c r="R7" s="30"/>
      <c r="S7" s="31"/>
      <c r="T7" s="32">
        <f t="shared" si="3"/>
        <v>0</v>
      </c>
      <c r="U7" s="33"/>
      <c r="V7" s="1251">
        <f t="shared" si="4"/>
        <v>0</v>
      </c>
      <c r="W7" s="1231"/>
      <c r="X7" s="1184">
        <f t="shared" si="5"/>
        <v>0</v>
      </c>
      <c r="Y7" s="1223">
        <f t="shared" si="6"/>
        <v>1.75</v>
      </c>
      <c r="Z7" s="1223"/>
      <c r="AA7" s="1228"/>
      <c r="AB7" s="1228">
        <f t="shared" si="10"/>
        <v>0</v>
      </c>
      <c r="AC7" s="37"/>
      <c r="AD7" s="1234">
        <f t="shared" si="7"/>
        <v>0</v>
      </c>
      <c r="AE7" s="40"/>
      <c r="AF7" s="1186"/>
      <c r="AG7" s="41"/>
      <c r="AH7" s="63">
        <f t="shared" si="8"/>
        <v>0</v>
      </c>
      <c r="AI7" s="52">
        <f t="shared" si="9"/>
        <v>0</v>
      </c>
      <c r="AJ7" s="43"/>
      <c r="AK7" s="39"/>
      <c r="AL7" s="39"/>
      <c r="AM7" s="39"/>
      <c r="AN7" s="21"/>
      <c r="AO7" s="1932">
        <v>1</v>
      </c>
      <c r="AP7" s="45"/>
      <c r="AQ7" s="46"/>
      <c r="AR7" s="46"/>
      <c r="AS7" s="47"/>
      <c r="AT7" s="48"/>
      <c r="AU7" s="1932">
        <v>2</v>
      </c>
      <c r="AV7" s="40"/>
      <c r="AW7" s="47"/>
      <c r="AX7" s="47"/>
      <c r="AY7" s="47"/>
      <c r="AZ7" s="49"/>
      <c r="BA7" s="1932">
        <v>3</v>
      </c>
      <c r="BB7" s="40"/>
      <c r="BC7" s="47"/>
      <c r="BD7" s="47"/>
      <c r="BE7" s="47"/>
      <c r="BF7" s="49"/>
      <c r="BG7" s="1932">
        <v>4</v>
      </c>
      <c r="BH7" s="40"/>
      <c r="BI7" s="47"/>
      <c r="BJ7" s="47"/>
      <c r="BK7" s="47"/>
      <c r="BL7" s="49"/>
      <c r="BM7" s="1932">
        <v>5</v>
      </c>
      <c r="BN7" s="40"/>
      <c r="BO7" s="47"/>
      <c r="BP7" s="207"/>
      <c r="BQ7" s="47"/>
      <c r="BR7" s="49"/>
      <c r="BS7" s="1932">
        <v>6</v>
      </c>
      <c r="BT7" s="40"/>
      <c r="BU7" s="47"/>
      <c r="BV7" s="47"/>
      <c r="BW7" s="47"/>
      <c r="BX7" s="49"/>
      <c r="BY7" s="1932">
        <v>7</v>
      </c>
      <c r="BZ7" s="40"/>
      <c r="CA7" s="47"/>
      <c r="CB7" s="47"/>
      <c r="CC7" s="47"/>
      <c r="CD7" s="49"/>
      <c r="CE7" s="1932">
        <v>8</v>
      </c>
      <c r="CF7" s="40"/>
      <c r="CG7" s="47"/>
      <c r="CH7" s="47"/>
      <c r="CI7" s="47"/>
      <c r="CJ7" s="50"/>
    </row>
    <row r="8" spans="1:92" x14ac:dyDescent="0.5">
      <c r="A8" s="21"/>
      <c r="B8" s="22"/>
      <c r="C8" s="1019"/>
      <c r="D8" s="1020"/>
      <c r="E8" s="884"/>
      <c r="F8" s="932"/>
      <c r="G8" s="933"/>
      <c r="H8" s="831"/>
      <c r="I8" s="1021"/>
      <c r="J8" s="931"/>
      <c r="K8" s="40"/>
      <c r="L8" s="22"/>
      <c r="M8" s="28"/>
      <c r="N8" s="22"/>
      <c r="O8" s="29"/>
      <c r="P8" s="29">
        <f t="shared" si="1"/>
        <v>0</v>
      </c>
      <c r="Q8" s="29">
        <f t="shared" si="2"/>
        <v>0</v>
      </c>
      <c r="R8" s="30"/>
      <c r="S8" s="31"/>
      <c r="T8" s="32">
        <f t="shared" si="3"/>
        <v>0</v>
      </c>
      <c r="U8" s="33"/>
      <c r="V8" s="1251">
        <f t="shared" si="4"/>
        <v>0</v>
      </c>
      <c r="W8" s="1231"/>
      <c r="X8" s="1184">
        <f t="shared" si="5"/>
        <v>0</v>
      </c>
      <c r="Y8" s="1223">
        <f t="shared" si="6"/>
        <v>1.75</v>
      </c>
      <c r="Z8" s="1223"/>
      <c r="AA8" s="1228"/>
      <c r="AB8" s="1228">
        <f t="shared" si="10"/>
        <v>0</v>
      </c>
      <c r="AC8" s="37"/>
      <c r="AD8" s="1234">
        <f t="shared" si="7"/>
        <v>0</v>
      </c>
      <c r="AE8" s="40"/>
      <c r="AF8" s="1186"/>
      <c r="AG8" s="41"/>
      <c r="AH8" s="63">
        <f t="shared" si="8"/>
        <v>0</v>
      </c>
      <c r="AI8" s="52">
        <f t="shared" si="9"/>
        <v>0</v>
      </c>
      <c r="AJ8" s="43"/>
      <c r="AK8" s="39"/>
      <c r="AL8" s="39"/>
      <c r="AM8" s="39"/>
      <c r="AN8" s="21"/>
      <c r="AO8" s="1932">
        <v>1</v>
      </c>
      <c r="AP8" s="45"/>
      <c r="AQ8" s="46"/>
      <c r="AR8" s="46"/>
      <c r="AS8" s="47"/>
      <c r="AT8" s="48"/>
      <c r="AU8" s="1932">
        <v>2</v>
      </c>
      <c r="AV8" s="40"/>
      <c r="AW8" s="47"/>
      <c r="AX8" s="47"/>
      <c r="AY8" s="47"/>
      <c r="AZ8" s="49"/>
      <c r="BA8" s="1932">
        <v>3</v>
      </c>
      <c r="BB8" s="40"/>
      <c r="BC8" s="47"/>
      <c r="BD8" s="47"/>
      <c r="BE8" s="47"/>
      <c r="BF8" s="49"/>
      <c r="BG8" s="1932">
        <v>4</v>
      </c>
      <c r="BH8" s="40"/>
      <c r="BI8" s="47"/>
      <c r="BJ8" s="47"/>
      <c r="BK8" s="47"/>
      <c r="BL8" s="49"/>
      <c r="BM8" s="1932">
        <v>5</v>
      </c>
      <c r="BN8" s="40"/>
      <c r="BO8" s="47"/>
      <c r="BP8" s="47"/>
      <c r="BQ8" s="47"/>
      <c r="BR8" s="49"/>
      <c r="BS8" s="1932">
        <v>6</v>
      </c>
      <c r="BT8" s="40"/>
      <c r="BU8" s="47"/>
      <c r="BV8" s="47"/>
      <c r="BW8" s="47"/>
      <c r="BX8" s="49"/>
      <c r="BY8" s="1932">
        <v>7</v>
      </c>
      <c r="BZ8" s="40"/>
      <c r="CA8" s="47"/>
      <c r="CB8" s="47"/>
      <c r="CC8" s="47"/>
      <c r="CD8" s="49"/>
      <c r="CE8" s="1932">
        <v>8</v>
      </c>
      <c r="CF8" s="40"/>
      <c r="CG8" s="47"/>
      <c r="CH8" s="47"/>
      <c r="CI8" s="47"/>
      <c r="CJ8" s="50"/>
    </row>
    <row r="9" spans="1:92" x14ac:dyDescent="0.5">
      <c r="A9" s="21"/>
      <c r="B9" s="22"/>
      <c r="C9" s="1019"/>
      <c r="D9" s="1020"/>
      <c r="E9" s="884"/>
      <c r="F9" s="932"/>
      <c r="G9" s="933"/>
      <c r="H9" s="831"/>
      <c r="I9" s="1021"/>
      <c r="J9" s="931"/>
      <c r="K9" s="40"/>
      <c r="L9" s="22"/>
      <c r="M9" s="28"/>
      <c r="N9" s="22"/>
      <c r="O9" s="29"/>
      <c r="P9" s="29">
        <f t="shared" si="1"/>
        <v>0</v>
      </c>
      <c r="Q9" s="29">
        <f t="shared" si="2"/>
        <v>0</v>
      </c>
      <c r="R9" s="30"/>
      <c r="S9" s="31"/>
      <c r="T9" s="32">
        <f t="shared" si="3"/>
        <v>0</v>
      </c>
      <c r="U9" s="33"/>
      <c r="V9" s="1251">
        <f t="shared" si="4"/>
        <v>0</v>
      </c>
      <c r="W9" s="1231"/>
      <c r="X9" s="1184">
        <f t="shared" si="5"/>
        <v>0</v>
      </c>
      <c r="Y9" s="1223">
        <f t="shared" si="6"/>
        <v>1.75</v>
      </c>
      <c r="Z9" s="1223"/>
      <c r="AA9" s="1228"/>
      <c r="AB9" s="1228">
        <f t="shared" si="10"/>
        <v>0</v>
      </c>
      <c r="AC9" s="37"/>
      <c r="AD9" s="1234">
        <f t="shared" si="7"/>
        <v>0</v>
      </c>
      <c r="AE9" s="40"/>
      <c r="AF9" s="1186"/>
      <c r="AG9" s="41"/>
      <c r="AH9" s="63">
        <f t="shared" si="8"/>
        <v>0</v>
      </c>
      <c r="AI9" s="52">
        <f t="shared" si="9"/>
        <v>0</v>
      </c>
      <c r="AJ9" s="43"/>
      <c r="AK9" s="39"/>
      <c r="AL9" s="39"/>
      <c r="AM9" s="39"/>
      <c r="AN9" s="21"/>
      <c r="AO9" s="1932">
        <v>1</v>
      </c>
      <c r="AP9" s="45"/>
      <c r="AQ9" s="46"/>
      <c r="AR9" s="46"/>
      <c r="AS9" s="47"/>
      <c r="AT9" s="48"/>
      <c r="AU9" s="1932">
        <v>2</v>
      </c>
      <c r="AV9" s="40"/>
      <c r="AW9" s="47"/>
      <c r="AX9" s="47"/>
      <c r="AY9" s="47"/>
      <c r="AZ9" s="49"/>
      <c r="BA9" s="1932">
        <v>3</v>
      </c>
      <c r="BB9" s="40"/>
      <c r="BC9" s="47"/>
      <c r="BD9" s="47"/>
      <c r="BE9" s="47"/>
      <c r="BF9" s="49"/>
      <c r="BG9" s="1932">
        <v>4</v>
      </c>
      <c r="BH9" s="40"/>
      <c r="BI9" s="47"/>
      <c r="BJ9" s="47"/>
      <c r="BK9" s="47"/>
      <c r="BL9" s="49"/>
      <c r="BM9" s="1932">
        <v>5</v>
      </c>
      <c r="BN9" s="40"/>
      <c r="BO9" s="47"/>
      <c r="BP9" s="47"/>
      <c r="BQ9" s="47"/>
      <c r="BR9" s="49"/>
      <c r="BS9" s="1932">
        <v>6</v>
      </c>
      <c r="BT9" s="40"/>
      <c r="BU9" s="47"/>
      <c r="BV9" s="47"/>
      <c r="BW9" s="47"/>
      <c r="BX9" s="49"/>
      <c r="BY9" s="1932">
        <v>7</v>
      </c>
      <c r="BZ9" s="40"/>
      <c r="CA9" s="47"/>
      <c r="CB9" s="47"/>
      <c r="CC9" s="47"/>
      <c r="CD9" s="49"/>
      <c r="CE9" s="1932">
        <v>8</v>
      </c>
      <c r="CF9" s="40"/>
      <c r="CG9" s="47"/>
      <c r="CH9" s="47"/>
      <c r="CI9" s="47"/>
      <c r="CJ9" s="50"/>
    </row>
    <row r="10" spans="1:92" x14ac:dyDescent="0.5">
      <c r="A10" s="21">
        <v>20126744</v>
      </c>
      <c r="B10" s="22"/>
      <c r="C10" s="1019"/>
      <c r="D10" s="1020"/>
      <c r="E10" s="884"/>
      <c r="F10" s="932"/>
      <c r="G10" s="933"/>
      <c r="H10" s="831"/>
      <c r="I10" s="1021"/>
      <c r="J10" s="931"/>
      <c r="K10" s="40"/>
      <c r="L10" s="22" t="s">
        <v>4490</v>
      </c>
      <c r="M10" s="28"/>
      <c r="N10" s="22" t="s">
        <v>50</v>
      </c>
      <c r="O10" s="29"/>
      <c r="P10" s="29">
        <f t="shared" ref="P10:P14" si="11">O10*7/100</f>
        <v>0</v>
      </c>
      <c r="Q10" s="29">
        <f t="shared" ref="Q10:Q14" si="12">O10+P10</f>
        <v>0</v>
      </c>
      <c r="R10" s="30"/>
      <c r="S10" s="31"/>
      <c r="T10" s="32">
        <f t="shared" ref="T10:T14" si="13">O10-R10</f>
        <v>0</v>
      </c>
      <c r="U10" s="33"/>
      <c r="V10" s="1251">
        <f t="shared" ref="V10:V14" si="14">T10*U10/100</f>
        <v>0</v>
      </c>
      <c r="W10" s="1231"/>
      <c r="X10" s="1184">
        <f t="shared" ref="X10:X14" si="15">T10-V10</f>
        <v>0</v>
      </c>
      <c r="Y10" s="1223">
        <f t="shared" ref="Y10:Y14" si="16">SUM((50-W10)/(100)*(2.5)+(0.5))</f>
        <v>1.75</v>
      </c>
      <c r="Z10" s="1223"/>
      <c r="AA10" s="1228"/>
      <c r="AB10" s="1228">
        <f t="shared" si="0"/>
        <v>0</v>
      </c>
      <c r="AC10" s="37"/>
      <c r="AD10" s="1234">
        <f t="shared" ref="AD10:AD14" si="17">X10*AC10/100</f>
        <v>0</v>
      </c>
      <c r="AE10" s="40">
        <v>20120322</v>
      </c>
      <c r="AF10" s="1186" t="s">
        <v>1205</v>
      </c>
      <c r="AG10" s="41">
        <v>44925</v>
      </c>
      <c r="AH10" s="63">
        <f t="shared" ref="AH10:AH14" si="18">AG10*7/100</f>
        <v>3144.75</v>
      </c>
      <c r="AI10" s="52">
        <f t="shared" ref="AI10:AI14" si="19">AG10+AH10</f>
        <v>48069.75</v>
      </c>
      <c r="AJ10" s="53">
        <v>44169</v>
      </c>
      <c r="AK10" s="39"/>
      <c r="AL10" s="39"/>
      <c r="AM10" s="39" t="s">
        <v>3423</v>
      </c>
      <c r="AN10" s="1368">
        <v>0.3</v>
      </c>
      <c r="AO10" s="1893">
        <v>1</v>
      </c>
      <c r="AP10" s="45"/>
      <c r="AQ10" s="46"/>
      <c r="AR10" s="46"/>
      <c r="AS10" s="47"/>
      <c r="AT10" s="48"/>
      <c r="AU10" s="1893">
        <v>2</v>
      </c>
      <c r="AV10" s="40"/>
      <c r="AW10" s="47"/>
      <c r="AX10" s="47"/>
      <c r="AY10" s="47"/>
      <c r="AZ10" s="49"/>
      <c r="BA10" s="1893">
        <v>3</v>
      </c>
      <c r="BB10" s="40"/>
      <c r="BC10" s="47"/>
      <c r="BD10" s="47"/>
      <c r="BE10" s="47"/>
      <c r="BF10" s="49"/>
      <c r="BG10" s="1893">
        <v>4</v>
      </c>
      <c r="BH10" s="40"/>
      <c r="BI10" s="47"/>
      <c r="BJ10" s="47"/>
      <c r="BK10" s="47"/>
      <c r="BL10" s="49"/>
      <c r="BM10" s="1893">
        <v>5</v>
      </c>
      <c r="BN10" s="40"/>
      <c r="BO10" s="47"/>
      <c r="BP10" s="47"/>
      <c r="BQ10" s="47"/>
      <c r="BR10" s="49"/>
      <c r="BS10" s="1893">
        <v>6</v>
      </c>
      <c r="BT10" s="40"/>
      <c r="BU10" s="47"/>
      <c r="BV10" s="47"/>
      <c r="BW10" s="47"/>
      <c r="BX10" s="49"/>
      <c r="BY10" s="1893">
        <v>7</v>
      </c>
      <c r="BZ10" s="40"/>
      <c r="CA10" s="47"/>
      <c r="CB10" s="47"/>
      <c r="CC10" s="47"/>
      <c r="CD10" s="49"/>
      <c r="CE10" s="1893">
        <v>8</v>
      </c>
      <c r="CF10" s="40"/>
      <c r="CG10" s="47"/>
      <c r="CH10" s="47"/>
      <c r="CI10" s="47"/>
      <c r="CJ10" s="50"/>
    </row>
    <row r="11" spans="1:92" x14ac:dyDescent="0.5">
      <c r="A11" s="21">
        <v>20126743</v>
      </c>
      <c r="B11" s="22"/>
      <c r="C11" s="1019"/>
      <c r="D11" s="1020"/>
      <c r="E11" s="884"/>
      <c r="F11" s="932"/>
      <c r="G11" s="933"/>
      <c r="H11" s="831"/>
      <c r="I11" s="1021"/>
      <c r="J11" s="931"/>
      <c r="K11" s="40"/>
      <c r="L11" s="22" t="s">
        <v>1180</v>
      </c>
      <c r="M11" s="28"/>
      <c r="N11" s="22" t="s">
        <v>1523</v>
      </c>
      <c r="O11" s="29"/>
      <c r="P11" s="29">
        <f t="shared" si="11"/>
        <v>0</v>
      </c>
      <c r="Q11" s="29">
        <f t="shared" si="12"/>
        <v>0</v>
      </c>
      <c r="R11" s="30"/>
      <c r="S11" s="31"/>
      <c r="T11" s="32">
        <f t="shared" si="13"/>
        <v>0</v>
      </c>
      <c r="U11" s="33"/>
      <c r="V11" s="1251">
        <f t="shared" si="14"/>
        <v>0</v>
      </c>
      <c r="W11" s="1231"/>
      <c r="X11" s="1184">
        <f t="shared" si="15"/>
        <v>0</v>
      </c>
      <c r="Y11" s="1223">
        <f t="shared" si="16"/>
        <v>1.75</v>
      </c>
      <c r="Z11" s="1223"/>
      <c r="AA11" s="1228"/>
      <c r="AB11" s="1228">
        <f t="shared" si="0"/>
        <v>0</v>
      </c>
      <c r="AC11" s="37"/>
      <c r="AD11" s="1234">
        <f t="shared" si="17"/>
        <v>0</v>
      </c>
      <c r="AE11" s="40">
        <v>20120321</v>
      </c>
      <c r="AF11" s="1186" t="s">
        <v>1205</v>
      </c>
      <c r="AG11" s="41">
        <v>142400</v>
      </c>
      <c r="AH11" s="63">
        <f t="shared" si="18"/>
        <v>9968</v>
      </c>
      <c r="AI11" s="52">
        <f t="shared" si="19"/>
        <v>152368</v>
      </c>
      <c r="AJ11" s="53">
        <v>44168</v>
      </c>
      <c r="AK11" s="39"/>
      <c r="AL11" s="39"/>
      <c r="AM11" s="39" t="s">
        <v>3423</v>
      </c>
      <c r="AN11" s="1368">
        <v>0.2</v>
      </c>
      <c r="AO11" s="1893">
        <v>1</v>
      </c>
      <c r="AP11" s="45"/>
      <c r="AQ11" s="46"/>
      <c r="AR11" s="46"/>
      <c r="AS11" s="47"/>
      <c r="AT11" s="48"/>
      <c r="AU11" s="1893">
        <v>2</v>
      </c>
      <c r="AV11" s="40"/>
      <c r="AW11" s="47"/>
      <c r="AX11" s="47"/>
      <c r="AY11" s="47"/>
      <c r="AZ11" s="49"/>
      <c r="BA11" s="1893">
        <v>3</v>
      </c>
      <c r="BB11" s="40"/>
      <c r="BC11" s="47"/>
      <c r="BD11" s="47"/>
      <c r="BE11" s="47"/>
      <c r="BF11" s="49"/>
      <c r="BG11" s="1893">
        <v>4</v>
      </c>
      <c r="BH11" s="40"/>
      <c r="BI11" s="47"/>
      <c r="BJ11" s="47"/>
      <c r="BK11" s="47"/>
      <c r="BL11" s="49"/>
      <c r="BM11" s="1893">
        <v>5</v>
      </c>
      <c r="BN11" s="40"/>
      <c r="BO11" s="47"/>
      <c r="BP11" s="207"/>
      <c r="BQ11" s="47"/>
      <c r="BR11" s="49"/>
      <c r="BS11" s="1893">
        <v>6</v>
      </c>
      <c r="BT11" s="40"/>
      <c r="BU11" s="47"/>
      <c r="BV11" s="47"/>
      <c r="BW11" s="47"/>
      <c r="BX11" s="49"/>
      <c r="BY11" s="1893">
        <v>7</v>
      </c>
      <c r="BZ11" s="40"/>
      <c r="CA11" s="47"/>
      <c r="CB11" s="47"/>
      <c r="CC11" s="47"/>
      <c r="CD11" s="49"/>
      <c r="CE11" s="1893">
        <v>8</v>
      </c>
      <c r="CF11" s="40"/>
      <c r="CG11" s="47"/>
      <c r="CH11" s="47"/>
      <c r="CI11" s="47"/>
      <c r="CJ11" s="50"/>
    </row>
    <row r="12" spans="1:92" x14ac:dyDescent="0.5">
      <c r="A12" s="21">
        <v>20126742</v>
      </c>
      <c r="B12" s="22"/>
      <c r="C12" s="1019"/>
      <c r="D12" s="1020"/>
      <c r="E12" s="884"/>
      <c r="F12" s="932"/>
      <c r="G12" s="933"/>
      <c r="H12" s="831"/>
      <c r="I12" s="1021"/>
      <c r="J12" s="931"/>
      <c r="K12" s="40"/>
      <c r="L12" s="22" t="s">
        <v>4393</v>
      </c>
      <c r="M12" s="28"/>
      <c r="N12" s="22" t="s">
        <v>1523</v>
      </c>
      <c r="O12" s="29"/>
      <c r="P12" s="29">
        <f t="shared" si="11"/>
        <v>0</v>
      </c>
      <c r="Q12" s="29">
        <f t="shared" si="12"/>
        <v>0</v>
      </c>
      <c r="R12" s="30"/>
      <c r="S12" s="31"/>
      <c r="T12" s="32">
        <f t="shared" si="13"/>
        <v>0</v>
      </c>
      <c r="U12" s="33"/>
      <c r="V12" s="1251">
        <f t="shared" si="14"/>
        <v>0</v>
      </c>
      <c r="W12" s="1231"/>
      <c r="X12" s="1184">
        <f t="shared" si="15"/>
        <v>0</v>
      </c>
      <c r="Y12" s="1223">
        <f t="shared" si="16"/>
        <v>1.75</v>
      </c>
      <c r="Z12" s="1223"/>
      <c r="AA12" s="1228"/>
      <c r="AB12" s="1228">
        <f t="shared" si="0"/>
        <v>0</v>
      </c>
      <c r="AC12" s="37"/>
      <c r="AD12" s="1234">
        <f t="shared" si="17"/>
        <v>0</v>
      </c>
      <c r="AE12" s="40">
        <v>20120320</v>
      </c>
      <c r="AF12" s="1186" t="s">
        <v>1205</v>
      </c>
      <c r="AG12" s="41">
        <v>65738.66</v>
      </c>
      <c r="AH12" s="63">
        <f t="shared" si="18"/>
        <v>4601.7061999999996</v>
      </c>
      <c r="AI12" s="52">
        <f t="shared" si="19"/>
        <v>70340.366200000004</v>
      </c>
      <c r="AJ12" s="53">
        <v>44168</v>
      </c>
      <c r="AK12" s="39"/>
      <c r="AL12" s="39"/>
      <c r="AM12" s="39"/>
      <c r="AN12" s="1368">
        <v>0.2</v>
      </c>
      <c r="AO12" s="1893">
        <v>1</v>
      </c>
      <c r="AP12" s="45"/>
      <c r="AQ12" s="46"/>
      <c r="AR12" s="46"/>
      <c r="AS12" s="47"/>
      <c r="AT12" s="48"/>
      <c r="AU12" s="1893">
        <v>2</v>
      </c>
      <c r="AV12" s="40"/>
      <c r="AW12" s="47"/>
      <c r="AX12" s="47"/>
      <c r="AY12" s="47"/>
      <c r="AZ12" s="49"/>
      <c r="BA12" s="1893">
        <v>3</v>
      </c>
      <c r="BB12" s="40"/>
      <c r="BC12" s="47"/>
      <c r="BD12" s="47"/>
      <c r="BE12" s="47"/>
      <c r="BF12" s="49"/>
      <c r="BG12" s="1893">
        <v>4</v>
      </c>
      <c r="BH12" s="40"/>
      <c r="BI12" s="47"/>
      <c r="BJ12" s="47"/>
      <c r="BK12" s="47"/>
      <c r="BL12" s="49"/>
      <c r="BM12" s="1893">
        <v>5</v>
      </c>
      <c r="BN12" s="40"/>
      <c r="BO12" s="47"/>
      <c r="BP12" s="47"/>
      <c r="BQ12" s="47"/>
      <c r="BR12" s="49"/>
      <c r="BS12" s="1893">
        <v>6</v>
      </c>
      <c r="BT12" s="40"/>
      <c r="BU12" s="47"/>
      <c r="BV12" s="47"/>
      <c r="BW12" s="47"/>
      <c r="BX12" s="49"/>
      <c r="BY12" s="1893">
        <v>7</v>
      </c>
      <c r="BZ12" s="40"/>
      <c r="CA12" s="47"/>
      <c r="CB12" s="47"/>
      <c r="CC12" s="47"/>
      <c r="CD12" s="49"/>
      <c r="CE12" s="1893">
        <v>8</v>
      </c>
      <c r="CF12" s="40"/>
      <c r="CG12" s="47"/>
      <c r="CH12" s="47"/>
      <c r="CI12" s="47"/>
      <c r="CJ12" s="50"/>
    </row>
    <row r="13" spans="1:92" x14ac:dyDescent="0.5">
      <c r="A13" s="21">
        <v>20126741</v>
      </c>
      <c r="B13" s="22"/>
      <c r="C13" s="1019"/>
      <c r="D13" s="1020"/>
      <c r="E13" s="884"/>
      <c r="F13" s="932"/>
      <c r="G13" s="933"/>
      <c r="H13" s="831"/>
      <c r="I13" s="1021"/>
      <c r="J13" s="931"/>
      <c r="K13" s="40"/>
      <c r="L13" s="22"/>
      <c r="M13" s="28"/>
      <c r="N13" s="22"/>
      <c r="O13" s="29"/>
      <c r="P13" s="29">
        <f t="shared" si="11"/>
        <v>0</v>
      </c>
      <c r="Q13" s="29">
        <f t="shared" si="12"/>
        <v>0</v>
      </c>
      <c r="R13" s="30"/>
      <c r="S13" s="31"/>
      <c r="T13" s="32">
        <f t="shared" si="13"/>
        <v>0</v>
      </c>
      <c r="U13" s="33"/>
      <c r="V13" s="1251">
        <f t="shared" si="14"/>
        <v>0</v>
      </c>
      <c r="W13" s="1231"/>
      <c r="X13" s="1184">
        <f t="shared" si="15"/>
        <v>0</v>
      </c>
      <c r="Y13" s="1223">
        <f t="shared" si="16"/>
        <v>1.75</v>
      </c>
      <c r="Z13" s="1223"/>
      <c r="AA13" s="1228"/>
      <c r="AB13" s="1228">
        <f t="shared" si="0"/>
        <v>0</v>
      </c>
      <c r="AC13" s="37"/>
      <c r="AD13" s="1234">
        <f t="shared" si="17"/>
        <v>0</v>
      </c>
      <c r="AE13" s="40"/>
      <c r="AF13" s="1186"/>
      <c r="AG13" s="41"/>
      <c r="AH13" s="63">
        <f t="shared" si="18"/>
        <v>0</v>
      </c>
      <c r="AI13" s="52">
        <f t="shared" si="19"/>
        <v>0</v>
      </c>
      <c r="AJ13" s="43"/>
      <c r="AK13" s="39"/>
      <c r="AL13" s="39"/>
      <c r="AM13" s="39"/>
      <c r="AN13" s="21"/>
      <c r="AO13" s="1893">
        <v>1</v>
      </c>
      <c r="AP13" s="45"/>
      <c r="AQ13" s="46"/>
      <c r="AR13" s="46"/>
      <c r="AS13" s="47"/>
      <c r="AT13" s="48"/>
      <c r="AU13" s="1893">
        <v>2</v>
      </c>
      <c r="AV13" s="40"/>
      <c r="AW13" s="47"/>
      <c r="AX13" s="47"/>
      <c r="AY13" s="47"/>
      <c r="AZ13" s="49"/>
      <c r="BA13" s="1893">
        <v>3</v>
      </c>
      <c r="BB13" s="40"/>
      <c r="BC13" s="47"/>
      <c r="BD13" s="47"/>
      <c r="BE13" s="47"/>
      <c r="BF13" s="49"/>
      <c r="BG13" s="1893">
        <v>4</v>
      </c>
      <c r="BH13" s="40"/>
      <c r="BI13" s="47"/>
      <c r="BJ13" s="47"/>
      <c r="BK13" s="47"/>
      <c r="BL13" s="49"/>
      <c r="BM13" s="1893">
        <v>5</v>
      </c>
      <c r="BN13" s="40"/>
      <c r="BO13" s="47"/>
      <c r="BP13" s="47"/>
      <c r="BQ13" s="47"/>
      <c r="BR13" s="49"/>
      <c r="BS13" s="1893">
        <v>6</v>
      </c>
      <c r="BT13" s="40"/>
      <c r="BU13" s="47"/>
      <c r="BV13" s="47"/>
      <c r="BW13" s="47"/>
      <c r="BX13" s="49"/>
      <c r="BY13" s="1893">
        <v>7</v>
      </c>
      <c r="BZ13" s="40"/>
      <c r="CA13" s="47"/>
      <c r="CB13" s="47"/>
      <c r="CC13" s="47"/>
      <c r="CD13" s="49"/>
      <c r="CE13" s="1893">
        <v>8</v>
      </c>
      <c r="CF13" s="40"/>
      <c r="CG13" s="47"/>
      <c r="CH13" s="47"/>
      <c r="CI13" s="47"/>
      <c r="CJ13" s="50"/>
    </row>
    <row r="14" spans="1:92" x14ac:dyDescent="0.5">
      <c r="A14" s="21">
        <v>20126740</v>
      </c>
      <c r="B14" s="22"/>
      <c r="C14" s="1019"/>
      <c r="D14" s="1020"/>
      <c r="E14" s="884"/>
      <c r="F14" s="932"/>
      <c r="G14" s="933"/>
      <c r="H14" s="831"/>
      <c r="I14" s="1021"/>
      <c r="J14" s="931"/>
      <c r="K14" s="40"/>
      <c r="L14" s="22"/>
      <c r="M14" s="28"/>
      <c r="N14" s="22"/>
      <c r="O14" s="29"/>
      <c r="P14" s="29">
        <f t="shared" si="11"/>
        <v>0</v>
      </c>
      <c r="Q14" s="29">
        <f t="shared" si="12"/>
        <v>0</v>
      </c>
      <c r="R14" s="30"/>
      <c r="S14" s="31"/>
      <c r="T14" s="32">
        <f t="shared" si="13"/>
        <v>0</v>
      </c>
      <c r="U14" s="33"/>
      <c r="V14" s="1251">
        <f t="shared" si="14"/>
        <v>0</v>
      </c>
      <c r="W14" s="1231"/>
      <c r="X14" s="1184">
        <f t="shared" si="15"/>
        <v>0</v>
      </c>
      <c r="Y14" s="1223">
        <f t="shared" si="16"/>
        <v>1.75</v>
      </c>
      <c r="Z14" s="1223"/>
      <c r="AA14" s="1228"/>
      <c r="AB14" s="1228">
        <f t="shared" ref="AB14" si="20">X14*AA14/100</f>
        <v>0</v>
      </c>
      <c r="AC14" s="37"/>
      <c r="AD14" s="1234">
        <f t="shared" si="17"/>
        <v>0</v>
      </c>
      <c r="AE14" s="40"/>
      <c r="AF14" s="1186"/>
      <c r="AG14" s="41"/>
      <c r="AH14" s="63">
        <f t="shared" si="18"/>
        <v>0</v>
      </c>
      <c r="AI14" s="52">
        <f t="shared" si="19"/>
        <v>0</v>
      </c>
      <c r="AJ14" s="43"/>
      <c r="AK14" s="39"/>
      <c r="AL14" s="39"/>
      <c r="AM14" s="39"/>
      <c r="AN14" s="21"/>
      <c r="AO14" s="1893">
        <v>1</v>
      </c>
      <c r="AP14" s="45"/>
      <c r="AQ14" s="46"/>
      <c r="AR14" s="46"/>
      <c r="AS14" s="47"/>
      <c r="AT14" s="48"/>
      <c r="AU14" s="1893">
        <v>2</v>
      </c>
      <c r="AV14" s="40"/>
      <c r="AW14" s="47"/>
      <c r="AX14" s="47"/>
      <c r="AY14" s="47"/>
      <c r="AZ14" s="49"/>
      <c r="BA14" s="1893">
        <v>3</v>
      </c>
      <c r="BB14" s="40"/>
      <c r="BC14" s="47"/>
      <c r="BD14" s="47"/>
      <c r="BE14" s="47"/>
      <c r="BF14" s="49"/>
      <c r="BG14" s="1893">
        <v>4</v>
      </c>
      <c r="BH14" s="40"/>
      <c r="BI14" s="47"/>
      <c r="BJ14" s="47"/>
      <c r="BK14" s="47"/>
      <c r="BL14" s="49"/>
      <c r="BM14" s="1893">
        <v>5</v>
      </c>
      <c r="BN14" s="40"/>
      <c r="BO14" s="47"/>
      <c r="BP14" s="47"/>
      <c r="BQ14" s="47"/>
      <c r="BR14" s="49"/>
      <c r="BS14" s="1893">
        <v>6</v>
      </c>
      <c r="BT14" s="40"/>
      <c r="BU14" s="47"/>
      <c r="BV14" s="47"/>
      <c r="BW14" s="47"/>
      <c r="BX14" s="49"/>
      <c r="BY14" s="1893">
        <v>7</v>
      </c>
      <c r="BZ14" s="40"/>
      <c r="CA14" s="47"/>
      <c r="CB14" s="47"/>
      <c r="CC14" s="47"/>
      <c r="CD14" s="49"/>
      <c r="CE14" s="1893">
        <v>8</v>
      </c>
      <c r="CF14" s="40"/>
      <c r="CG14" s="47"/>
      <c r="CH14" s="47"/>
      <c r="CI14" s="47"/>
      <c r="CJ14" s="50"/>
    </row>
    <row r="15" spans="1:92" s="1915" customFormat="1" ht="22.5" thickBot="1" x14ac:dyDescent="0.55000000000000004">
      <c r="A15" s="1899">
        <v>20126739</v>
      </c>
      <c r="B15" s="1900">
        <v>20120887</v>
      </c>
      <c r="C15" s="1916"/>
      <c r="D15" s="1917"/>
      <c r="E15" s="1918"/>
      <c r="F15" s="1919"/>
      <c r="G15" s="1920"/>
      <c r="H15" s="1921"/>
      <c r="I15" s="1922"/>
      <c r="J15" s="1923"/>
      <c r="K15" s="1921"/>
      <c r="L15" s="1900" t="s">
        <v>4493</v>
      </c>
      <c r="M15" s="1902" t="s">
        <v>4494</v>
      </c>
      <c r="N15" s="1900" t="s">
        <v>51</v>
      </c>
      <c r="O15" s="1903">
        <v>17300</v>
      </c>
      <c r="P15" s="1903">
        <f t="shared" si="1"/>
        <v>1211</v>
      </c>
      <c r="Q15" s="1903">
        <f t="shared" si="2"/>
        <v>18511</v>
      </c>
      <c r="R15" s="1924"/>
      <c r="S15" s="1925"/>
      <c r="T15" s="1926"/>
      <c r="U15" s="1927"/>
      <c r="V15" s="1928"/>
      <c r="W15" s="1928"/>
      <c r="X15" s="1929"/>
      <c r="Y15" s="1928"/>
      <c r="Z15" s="1928"/>
      <c r="AA15" s="1928"/>
      <c r="AB15" s="1928"/>
      <c r="AC15" s="1929"/>
      <c r="AD15" s="1930"/>
      <c r="AE15" s="1901">
        <v>20120316</v>
      </c>
      <c r="AF15" s="1904" t="s">
        <v>3423</v>
      </c>
      <c r="AG15" s="1905">
        <v>17300</v>
      </c>
      <c r="AH15" s="1906">
        <f t="shared" si="8"/>
        <v>1211</v>
      </c>
      <c r="AI15" s="1907">
        <f t="shared" si="9"/>
        <v>18511</v>
      </c>
      <c r="AJ15" s="1972">
        <v>44196</v>
      </c>
      <c r="AK15" s="1908"/>
      <c r="AL15" s="1908"/>
      <c r="AM15" s="1908" t="s">
        <v>3423</v>
      </c>
      <c r="AN15" s="1899"/>
      <c r="AO15" s="1909">
        <v>1</v>
      </c>
      <c r="AP15" s="1910" t="s">
        <v>4495</v>
      </c>
      <c r="AQ15" s="1911"/>
      <c r="AR15" s="1911"/>
      <c r="AS15" s="1912">
        <v>4</v>
      </c>
      <c r="AT15" s="1913" t="s">
        <v>628</v>
      </c>
      <c r="AU15" s="1909">
        <v>2</v>
      </c>
      <c r="AV15" s="1901" t="s">
        <v>3689</v>
      </c>
      <c r="AW15" s="1912"/>
      <c r="AX15" s="1912"/>
      <c r="AY15" s="1912">
        <v>1</v>
      </c>
      <c r="AZ15" s="1914" t="s">
        <v>1719</v>
      </c>
      <c r="BA15" s="1909"/>
      <c r="BB15" s="1931"/>
      <c r="BC15" s="1909"/>
      <c r="BD15" s="1909"/>
      <c r="BE15" s="1909"/>
      <c r="BF15" s="1931"/>
      <c r="BG15" s="1909"/>
      <c r="BH15" s="1931"/>
      <c r="BI15" s="1909"/>
      <c r="BJ15" s="1909"/>
      <c r="BK15" s="1909"/>
      <c r="BL15" s="1931"/>
      <c r="BM15" s="1909"/>
      <c r="BN15" s="1931"/>
      <c r="BO15" s="1909"/>
      <c r="BP15" s="1909"/>
      <c r="BQ15" s="1909"/>
      <c r="BR15" s="1931"/>
      <c r="BS15" s="1909"/>
      <c r="BT15" s="1931"/>
      <c r="BU15" s="1909"/>
      <c r="BV15" s="1909"/>
      <c r="BW15" s="1909"/>
      <c r="BX15" s="1931"/>
      <c r="BY15" s="1909"/>
      <c r="BZ15" s="1931"/>
      <c r="CA15" s="1909"/>
      <c r="CB15" s="1909"/>
      <c r="CC15" s="1909"/>
      <c r="CD15" s="1931"/>
      <c r="CE15" s="1909"/>
      <c r="CF15" s="1931"/>
      <c r="CG15" s="1909"/>
      <c r="CH15" s="1909"/>
      <c r="CI15" s="1909"/>
      <c r="CJ15" s="1909"/>
    </row>
    <row r="16" spans="1:92" ht="22.5" thickTop="1" x14ac:dyDescent="0.5">
      <c r="A16" s="180">
        <v>20116738</v>
      </c>
      <c r="B16" s="181">
        <v>20110885</v>
      </c>
      <c r="C16" s="1236" t="s">
        <v>2780</v>
      </c>
      <c r="D16" s="1237" t="s">
        <v>2691</v>
      </c>
      <c r="E16" s="749">
        <v>44183</v>
      </c>
      <c r="F16" s="938"/>
      <c r="G16" s="939"/>
      <c r="H16" s="304"/>
      <c r="I16" s="1125"/>
      <c r="J16" s="961"/>
      <c r="K16" s="200"/>
      <c r="L16" s="181" t="s">
        <v>4490</v>
      </c>
      <c r="M16" s="188" t="s">
        <v>4491</v>
      </c>
      <c r="N16" s="181" t="s">
        <v>50</v>
      </c>
      <c r="O16" s="189">
        <v>105650</v>
      </c>
      <c r="P16" s="189">
        <f t="shared" si="1"/>
        <v>7395.5</v>
      </c>
      <c r="Q16" s="189">
        <f t="shared" si="2"/>
        <v>113045.5</v>
      </c>
      <c r="R16" s="190"/>
      <c r="S16" s="215"/>
      <c r="T16" s="216">
        <f t="shared" si="3"/>
        <v>105650</v>
      </c>
      <c r="U16" s="217"/>
      <c r="V16" s="1253">
        <f t="shared" si="4"/>
        <v>0</v>
      </c>
      <c r="W16" s="1238"/>
      <c r="X16" s="1239">
        <f t="shared" si="5"/>
        <v>105650</v>
      </c>
      <c r="Y16" s="1240">
        <f t="shared" si="6"/>
        <v>1.75</v>
      </c>
      <c r="Z16" s="1240"/>
      <c r="AA16" s="1263"/>
      <c r="AB16" s="1263">
        <f t="shared" ref="AB16" si="21">X16*AA16/100</f>
        <v>0</v>
      </c>
      <c r="AC16" s="197"/>
      <c r="AD16" s="1241">
        <f t="shared" si="7"/>
        <v>0</v>
      </c>
      <c r="AE16" s="200">
        <v>20120315</v>
      </c>
      <c r="AF16" s="1242" t="s">
        <v>1205</v>
      </c>
      <c r="AG16" s="201">
        <v>31695</v>
      </c>
      <c r="AH16" s="237">
        <f t="shared" si="8"/>
        <v>2218.65</v>
      </c>
      <c r="AI16" s="202">
        <f t="shared" si="9"/>
        <v>33913.65</v>
      </c>
      <c r="AJ16" s="203">
        <v>44166</v>
      </c>
      <c r="AK16" s="199"/>
      <c r="AL16" s="199"/>
      <c r="AM16" s="199" t="s">
        <v>3423</v>
      </c>
      <c r="AN16" s="180" t="s">
        <v>4500</v>
      </c>
      <c r="AO16" s="204">
        <v>1</v>
      </c>
      <c r="AP16" s="205" t="s">
        <v>4492</v>
      </c>
      <c r="AQ16" s="206"/>
      <c r="AR16" s="206" t="s">
        <v>3423</v>
      </c>
      <c r="AS16" s="207">
        <v>1</v>
      </c>
      <c r="AT16" s="208" t="s">
        <v>634</v>
      </c>
      <c r="AU16" s="204">
        <v>2</v>
      </c>
      <c r="AV16" s="200" t="s">
        <v>716</v>
      </c>
      <c r="AW16" s="207"/>
      <c r="AX16" s="207" t="s">
        <v>3423</v>
      </c>
      <c r="AY16" s="207">
        <v>1</v>
      </c>
      <c r="AZ16" s="209" t="s">
        <v>634</v>
      </c>
      <c r="BA16" s="204"/>
      <c r="BB16" s="210"/>
      <c r="BC16" s="204"/>
      <c r="BD16" s="204"/>
      <c r="BE16" s="204"/>
      <c r="BF16" s="210"/>
      <c r="BG16" s="204"/>
      <c r="BH16" s="210"/>
      <c r="BI16" s="204"/>
      <c r="BJ16" s="204"/>
      <c r="BK16" s="204"/>
      <c r="BL16" s="210"/>
      <c r="BM16" s="204"/>
      <c r="BN16" s="210"/>
      <c r="BO16" s="204"/>
      <c r="BP16" s="204"/>
      <c r="BQ16" s="204"/>
      <c r="BR16" s="210"/>
      <c r="BS16" s="204"/>
      <c r="BT16" s="210"/>
      <c r="BU16" s="204"/>
      <c r="BV16" s="204"/>
      <c r="BW16" s="204"/>
      <c r="BX16" s="210"/>
      <c r="BY16" s="204"/>
      <c r="BZ16" s="210"/>
      <c r="CA16" s="204"/>
      <c r="CB16" s="204"/>
      <c r="CC16" s="204"/>
      <c r="CD16" s="210"/>
      <c r="CE16" s="204"/>
      <c r="CF16" s="210"/>
      <c r="CG16" s="204"/>
      <c r="CH16" s="204"/>
      <c r="CI16" s="204"/>
      <c r="CJ16" s="204"/>
    </row>
    <row r="17" spans="1:88" x14ac:dyDescent="0.5">
      <c r="A17" s="21">
        <v>20116737</v>
      </c>
      <c r="B17" s="22">
        <v>20110888</v>
      </c>
      <c r="C17" s="55"/>
      <c r="D17" s="56"/>
      <c r="E17" s="884">
        <v>44256</v>
      </c>
      <c r="F17" s="57"/>
      <c r="G17" s="58"/>
      <c r="H17" s="59"/>
      <c r="I17" s="60"/>
      <c r="J17" s="269"/>
      <c r="K17" s="59"/>
      <c r="L17" s="22" t="s">
        <v>2784</v>
      </c>
      <c r="M17" s="28" t="s">
        <v>4488</v>
      </c>
      <c r="N17" s="22" t="s">
        <v>50</v>
      </c>
      <c r="O17" s="29">
        <v>240000</v>
      </c>
      <c r="P17" s="29">
        <f t="shared" ref="P17:P18" si="22">O17*7/100</f>
        <v>16800</v>
      </c>
      <c r="Q17" s="29">
        <f t="shared" ref="Q17:Q18" si="23">O17+P17</f>
        <v>256800</v>
      </c>
      <c r="R17" s="30"/>
      <c r="S17" s="31"/>
      <c r="T17" s="32">
        <f t="shared" ref="T17:T18" si="24">O17-R17</f>
        <v>240000</v>
      </c>
      <c r="U17" s="33"/>
      <c r="V17" s="1251">
        <f t="shared" ref="V17:V18" si="25">T17*U17/100</f>
        <v>0</v>
      </c>
      <c r="W17" s="1231"/>
      <c r="X17" s="1184">
        <f t="shared" ref="X17:X18" si="26">T17-V17</f>
        <v>240000</v>
      </c>
      <c r="Y17" s="1223">
        <f t="shared" ref="Y17:Y18" si="27">SUM((50-W17)/(100)*(2.5)+(0.5))</f>
        <v>1.75</v>
      </c>
      <c r="Z17" s="1223"/>
      <c r="AA17" s="1228"/>
      <c r="AB17" s="1228">
        <f t="shared" ref="AB17:AB18" si="28">X17*AA17/100</f>
        <v>0</v>
      </c>
      <c r="AC17" s="37"/>
      <c r="AD17" s="1234">
        <f t="shared" ref="AD17:AD18" si="29">X17*AC17/100</f>
        <v>0</v>
      </c>
      <c r="AE17" s="40"/>
      <c r="AF17" s="1186"/>
      <c r="AG17" s="41"/>
      <c r="AH17" s="63">
        <f t="shared" ref="AH17:AH18" si="30">AG17*7/100</f>
        <v>0</v>
      </c>
      <c r="AI17" s="52">
        <f t="shared" ref="AI17:AI18" si="31">AG17+AH17</f>
        <v>0</v>
      </c>
      <c r="AJ17" s="43"/>
      <c r="AK17" s="39"/>
      <c r="AL17" s="39"/>
      <c r="AM17" s="39"/>
      <c r="AN17" s="21"/>
      <c r="AO17" s="1893">
        <v>1</v>
      </c>
      <c r="AP17" s="45" t="s">
        <v>4489</v>
      </c>
      <c r="AQ17" s="46"/>
      <c r="AR17" s="46"/>
      <c r="AS17" s="47">
        <v>1</v>
      </c>
      <c r="AT17" s="48" t="s">
        <v>1485</v>
      </c>
      <c r="AU17" s="1893"/>
      <c r="AV17" s="54"/>
      <c r="AW17" s="1893"/>
      <c r="AX17" s="1893"/>
      <c r="AY17" s="1893"/>
      <c r="AZ17" s="54"/>
      <c r="BA17" s="1893"/>
      <c r="BB17" s="54"/>
      <c r="BC17" s="1893"/>
      <c r="BD17" s="1893"/>
      <c r="BE17" s="1893"/>
      <c r="BF17" s="54"/>
      <c r="BG17" s="1893"/>
      <c r="BH17" s="54"/>
      <c r="BI17" s="1893"/>
      <c r="BJ17" s="1893"/>
      <c r="BK17" s="1893"/>
      <c r="BL17" s="54"/>
      <c r="BM17" s="1893"/>
      <c r="BN17" s="54"/>
      <c r="BO17" s="1893"/>
      <c r="BP17" s="1893"/>
      <c r="BQ17" s="1893"/>
      <c r="BR17" s="54"/>
      <c r="BS17" s="1893"/>
      <c r="BT17" s="54"/>
      <c r="BU17" s="1893"/>
      <c r="BV17" s="1893"/>
      <c r="BW17" s="1893"/>
      <c r="BX17" s="54"/>
      <c r="BY17" s="1893"/>
      <c r="BZ17" s="54"/>
      <c r="CA17" s="1893"/>
      <c r="CB17" s="1893"/>
      <c r="CC17" s="1893"/>
      <c r="CD17" s="54"/>
      <c r="CE17" s="1893"/>
      <c r="CF17" s="54"/>
      <c r="CG17" s="1893"/>
      <c r="CH17" s="1893"/>
      <c r="CI17" s="1893"/>
      <c r="CJ17" s="1893"/>
    </row>
    <row r="18" spans="1:88" x14ac:dyDescent="0.5">
      <c r="A18" s="21">
        <v>20116736</v>
      </c>
      <c r="B18" s="22">
        <v>20110879</v>
      </c>
      <c r="C18" s="1019" t="s">
        <v>2788</v>
      </c>
      <c r="D18" s="1020" t="s">
        <v>2691</v>
      </c>
      <c r="E18" s="884">
        <v>44211</v>
      </c>
      <c r="F18" s="932"/>
      <c r="G18" s="933"/>
      <c r="H18" s="831"/>
      <c r="I18" s="1021"/>
      <c r="J18" s="931"/>
      <c r="K18" s="40"/>
      <c r="L18" s="22" t="s">
        <v>3544</v>
      </c>
      <c r="M18" s="28" t="s">
        <v>4487</v>
      </c>
      <c r="N18" s="22" t="s">
        <v>1523</v>
      </c>
      <c r="O18" s="29">
        <v>21495.33</v>
      </c>
      <c r="P18" s="29">
        <f t="shared" si="22"/>
        <v>1504.6731</v>
      </c>
      <c r="Q18" s="29">
        <f t="shared" si="23"/>
        <v>23000.003100000002</v>
      </c>
      <c r="R18" s="30"/>
      <c r="S18" s="31"/>
      <c r="T18" s="32">
        <f t="shared" si="24"/>
        <v>21495.33</v>
      </c>
      <c r="U18" s="33"/>
      <c r="V18" s="1251">
        <f t="shared" si="25"/>
        <v>0</v>
      </c>
      <c r="W18" s="1231"/>
      <c r="X18" s="1184">
        <f t="shared" si="26"/>
        <v>21495.33</v>
      </c>
      <c r="Y18" s="1223">
        <f t="shared" si="27"/>
        <v>1.75</v>
      </c>
      <c r="Z18" s="1223"/>
      <c r="AA18" s="1228"/>
      <c r="AB18" s="1228">
        <f t="shared" si="28"/>
        <v>0</v>
      </c>
      <c r="AC18" s="37"/>
      <c r="AD18" s="1234">
        <f t="shared" si="29"/>
        <v>0</v>
      </c>
      <c r="AE18" s="40"/>
      <c r="AF18" s="1186"/>
      <c r="AG18" s="41"/>
      <c r="AH18" s="63">
        <f t="shared" si="30"/>
        <v>0</v>
      </c>
      <c r="AI18" s="52">
        <f t="shared" si="31"/>
        <v>0</v>
      </c>
      <c r="AJ18" s="43"/>
      <c r="AK18" s="39"/>
      <c r="AL18" s="39"/>
      <c r="AM18" s="39"/>
      <c r="AN18" s="21"/>
      <c r="AO18" s="1893">
        <v>1</v>
      </c>
      <c r="AP18" s="45" t="s">
        <v>801</v>
      </c>
      <c r="AQ18" s="46"/>
      <c r="AR18" s="46" t="s">
        <v>3423</v>
      </c>
      <c r="AS18" s="47">
        <v>2</v>
      </c>
      <c r="AT18" s="48" t="s">
        <v>634</v>
      </c>
      <c r="AU18" s="1893"/>
      <c r="AV18" s="54"/>
      <c r="AW18" s="1893"/>
      <c r="AX18" s="1893"/>
      <c r="AY18" s="1893"/>
      <c r="AZ18" s="54"/>
      <c r="BA18" s="1893"/>
      <c r="BB18" s="54"/>
      <c r="BC18" s="1893"/>
      <c r="BD18" s="1893"/>
      <c r="BE18" s="1893"/>
      <c r="BF18" s="54"/>
      <c r="BG18" s="1893"/>
      <c r="BH18" s="54"/>
      <c r="BI18" s="1893"/>
      <c r="BJ18" s="1893"/>
      <c r="BK18" s="1893"/>
      <c r="BL18" s="54"/>
      <c r="BM18" s="1893"/>
      <c r="BN18" s="54"/>
      <c r="BO18" s="1893"/>
      <c r="BP18" s="1893"/>
      <c r="BQ18" s="1893"/>
      <c r="BR18" s="54"/>
      <c r="BS18" s="1893"/>
      <c r="BT18" s="54"/>
      <c r="BU18" s="1893"/>
      <c r="BV18" s="1893"/>
      <c r="BW18" s="1893"/>
      <c r="BX18" s="54"/>
      <c r="BY18" s="1893"/>
      <c r="BZ18" s="54"/>
      <c r="CA18" s="1893"/>
      <c r="CB18" s="1893"/>
      <c r="CC18" s="1893"/>
      <c r="CD18" s="54"/>
      <c r="CE18" s="1893"/>
      <c r="CF18" s="54"/>
      <c r="CG18" s="1893"/>
      <c r="CH18" s="1893"/>
      <c r="CI18" s="1893"/>
      <c r="CJ18" s="1893"/>
    </row>
    <row r="19" spans="1:88" x14ac:dyDescent="0.5">
      <c r="A19" s="21">
        <v>20116735</v>
      </c>
      <c r="B19" s="22">
        <v>20110886</v>
      </c>
      <c r="C19" s="55"/>
      <c r="D19" s="56"/>
      <c r="E19" s="910"/>
      <c r="F19" s="57"/>
      <c r="G19" s="58"/>
      <c r="H19" s="59"/>
      <c r="I19" s="60"/>
      <c r="J19" s="269"/>
      <c r="K19" s="59"/>
      <c r="L19" s="22" t="s">
        <v>1346</v>
      </c>
      <c r="M19" s="28" t="s">
        <v>4486</v>
      </c>
      <c r="N19" s="22" t="s">
        <v>52</v>
      </c>
      <c r="O19" s="29">
        <v>3750</v>
      </c>
      <c r="P19" s="29">
        <f t="shared" ref="P19:P22" si="32">O19*7/100</f>
        <v>262.5</v>
      </c>
      <c r="Q19" s="29">
        <f t="shared" ref="Q19:Q22" si="33">O19+P19</f>
        <v>4012.5</v>
      </c>
      <c r="R19" s="61"/>
      <c r="S19" s="96"/>
      <c r="T19" s="97"/>
      <c r="U19" s="98"/>
      <c r="V19" s="1225"/>
      <c r="W19" s="1225"/>
      <c r="X19" s="1184">
        <f>O19</f>
        <v>3750</v>
      </c>
      <c r="Y19" s="1223">
        <v>1</v>
      </c>
      <c r="Z19" s="1223">
        <f>X19*1/100</f>
        <v>37.5</v>
      </c>
      <c r="AA19" s="1225"/>
      <c r="AB19" s="1225"/>
      <c r="AC19" s="100"/>
      <c r="AD19" s="595"/>
      <c r="AE19" s="40">
        <v>20110311</v>
      </c>
      <c r="AF19" s="1186" t="s">
        <v>3423</v>
      </c>
      <c r="AG19" s="41">
        <v>3750</v>
      </c>
      <c r="AH19" s="63">
        <f t="shared" ref="AH19:AH22" si="34">AG19*7/100</f>
        <v>262.5</v>
      </c>
      <c r="AI19" s="52">
        <f t="shared" ref="AI19:AI22" si="35">AG19+AH19</f>
        <v>4012.5</v>
      </c>
      <c r="AJ19" s="53">
        <v>44161</v>
      </c>
      <c r="AK19" s="39" t="s">
        <v>3423</v>
      </c>
      <c r="AL19" s="39"/>
      <c r="AM19" s="39"/>
      <c r="AN19" s="21"/>
      <c r="AO19" s="1890">
        <v>1</v>
      </c>
      <c r="AP19" s="45" t="s">
        <v>548</v>
      </c>
      <c r="AQ19" s="46"/>
      <c r="AR19" s="46"/>
      <c r="AS19" s="47">
        <v>5</v>
      </c>
      <c r="AT19" s="48" t="s">
        <v>628</v>
      </c>
      <c r="AU19" s="1893"/>
      <c r="AV19" s="54"/>
      <c r="AW19" s="1893"/>
      <c r="AX19" s="1893"/>
      <c r="AY19" s="1893"/>
      <c r="AZ19" s="54"/>
      <c r="BA19" s="1893"/>
      <c r="BB19" s="54"/>
      <c r="BC19" s="1893"/>
      <c r="BD19" s="1893"/>
      <c r="BE19" s="1893"/>
      <c r="BF19" s="54"/>
      <c r="BG19" s="1893"/>
      <c r="BH19" s="54"/>
      <c r="BI19" s="1893"/>
      <c r="BJ19" s="1893"/>
      <c r="BK19" s="1893"/>
      <c r="BL19" s="54"/>
      <c r="BM19" s="1893"/>
      <c r="BN19" s="54"/>
      <c r="BO19" s="1893"/>
      <c r="BP19" s="1893"/>
      <c r="BQ19" s="1893"/>
      <c r="BR19" s="54"/>
      <c r="BS19" s="1893"/>
      <c r="BT19" s="54"/>
      <c r="BU19" s="1893"/>
      <c r="BV19" s="1893"/>
      <c r="BW19" s="1893"/>
      <c r="BX19" s="54"/>
      <c r="BY19" s="1893"/>
      <c r="BZ19" s="54"/>
      <c r="CA19" s="1893"/>
      <c r="CB19" s="1893"/>
      <c r="CC19" s="1893"/>
      <c r="CD19" s="54"/>
      <c r="CE19" s="1893"/>
      <c r="CF19" s="54"/>
      <c r="CG19" s="1893"/>
      <c r="CH19" s="1893"/>
      <c r="CI19" s="1893"/>
      <c r="CJ19" s="1893"/>
    </row>
    <row r="20" spans="1:88" x14ac:dyDescent="0.5">
      <c r="A20" s="21">
        <v>20116734</v>
      </c>
      <c r="B20" s="22">
        <v>20110878</v>
      </c>
      <c r="C20" s="1019" t="s">
        <v>2793</v>
      </c>
      <c r="D20" s="1020" t="s">
        <v>2691</v>
      </c>
      <c r="E20" s="884">
        <v>44169</v>
      </c>
      <c r="F20" s="932" t="s">
        <v>3368</v>
      </c>
      <c r="G20" s="933" t="s">
        <v>2606</v>
      </c>
      <c r="H20" s="831"/>
      <c r="I20" s="1021"/>
      <c r="J20" s="931" t="s">
        <v>3423</v>
      </c>
      <c r="K20" s="957">
        <v>44168</v>
      </c>
      <c r="L20" s="22" t="s">
        <v>20</v>
      </c>
      <c r="M20" s="28" t="s">
        <v>4485</v>
      </c>
      <c r="N20" s="22" t="s">
        <v>51</v>
      </c>
      <c r="O20" s="29">
        <v>14000</v>
      </c>
      <c r="P20" s="29">
        <f t="shared" si="32"/>
        <v>980</v>
      </c>
      <c r="Q20" s="29">
        <f t="shared" si="33"/>
        <v>14980</v>
      </c>
      <c r="R20" s="61"/>
      <c r="S20" s="96"/>
      <c r="T20" s="97"/>
      <c r="U20" s="98"/>
      <c r="V20" s="1225"/>
      <c r="W20" s="1225"/>
      <c r="X20" s="100"/>
      <c r="Y20" s="1225"/>
      <c r="Z20" s="1225"/>
      <c r="AA20" s="1225"/>
      <c r="AB20" s="1225"/>
      <c r="AC20" s="100"/>
      <c r="AD20" s="595"/>
      <c r="AE20" s="40"/>
      <c r="AF20" s="1186"/>
      <c r="AG20" s="41"/>
      <c r="AH20" s="63">
        <f t="shared" si="34"/>
        <v>0</v>
      </c>
      <c r="AI20" s="52">
        <f t="shared" si="35"/>
        <v>0</v>
      </c>
      <c r="AJ20" s="43"/>
      <c r="AK20" s="39"/>
      <c r="AL20" s="39"/>
      <c r="AM20" s="39"/>
      <c r="AN20" s="21"/>
      <c r="AO20" s="1890">
        <v>1</v>
      </c>
      <c r="AP20" s="45" t="s">
        <v>803</v>
      </c>
      <c r="AQ20" s="46" t="s">
        <v>3423</v>
      </c>
      <c r="AR20" s="46"/>
      <c r="AS20" s="47">
        <v>2</v>
      </c>
      <c r="AT20" s="48" t="s">
        <v>635</v>
      </c>
      <c r="AU20" s="1893"/>
      <c r="AV20" s="54"/>
      <c r="AW20" s="1893"/>
      <c r="AX20" s="1893"/>
      <c r="AY20" s="1893"/>
      <c r="AZ20" s="54"/>
      <c r="BA20" s="1893"/>
      <c r="BB20" s="54"/>
      <c r="BC20" s="1893"/>
      <c r="BD20" s="1893"/>
      <c r="BE20" s="1893"/>
      <c r="BF20" s="54"/>
      <c r="BG20" s="1893"/>
      <c r="BH20" s="54"/>
      <c r="BI20" s="1893"/>
      <c r="BJ20" s="1893"/>
      <c r="BK20" s="1893"/>
      <c r="BL20" s="54"/>
      <c r="BM20" s="1893"/>
      <c r="BN20" s="54"/>
      <c r="BO20" s="1893"/>
      <c r="BP20" s="1893"/>
      <c r="BQ20" s="1893"/>
      <c r="BR20" s="54"/>
      <c r="BS20" s="1893"/>
      <c r="BT20" s="54"/>
      <c r="BU20" s="1893"/>
      <c r="BV20" s="1893"/>
      <c r="BW20" s="1893"/>
      <c r="BX20" s="54"/>
      <c r="BY20" s="1893"/>
      <c r="BZ20" s="54"/>
      <c r="CA20" s="1893"/>
      <c r="CB20" s="1893"/>
      <c r="CC20" s="1893"/>
      <c r="CD20" s="54"/>
      <c r="CE20" s="1893"/>
      <c r="CF20" s="54"/>
      <c r="CG20" s="1893"/>
      <c r="CH20" s="1893"/>
      <c r="CI20" s="1893"/>
      <c r="CJ20" s="1893"/>
    </row>
    <row r="21" spans="1:88" x14ac:dyDescent="0.5">
      <c r="A21" s="21">
        <v>20116733</v>
      </c>
      <c r="B21" s="22">
        <v>20110872</v>
      </c>
      <c r="C21" s="55"/>
      <c r="D21" s="56"/>
      <c r="E21" s="910"/>
      <c r="F21" s="57"/>
      <c r="G21" s="58"/>
      <c r="H21" s="59"/>
      <c r="I21" s="60"/>
      <c r="J21" s="269"/>
      <c r="K21" s="59"/>
      <c r="L21" s="22" t="s">
        <v>4482</v>
      </c>
      <c r="M21" s="28" t="s">
        <v>4483</v>
      </c>
      <c r="N21" s="22" t="s">
        <v>51</v>
      </c>
      <c r="O21" s="29">
        <v>7500</v>
      </c>
      <c r="P21" s="29">
        <f t="shared" si="32"/>
        <v>525</v>
      </c>
      <c r="Q21" s="29">
        <f t="shared" si="33"/>
        <v>8025</v>
      </c>
      <c r="R21" s="61"/>
      <c r="S21" s="96"/>
      <c r="T21" s="97"/>
      <c r="U21" s="98"/>
      <c r="V21" s="1225"/>
      <c r="W21" s="1225"/>
      <c r="X21" s="100"/>
      <c r="Y21" s="1225"/>
      <c r="Z21" s="1225"/>
      <c r="AA21" s="1225"/>
      <c r="AB21" s="1225"/>
      <c r="AC21" s="100"/>
      <c r="AD21" s="595"/>
      <c r="AE21" s="40"/>
      <c r="AF21" s="1186"/>
      <c r="AG21" s="41"/>
      <c r="AH21" s="63">
        <f t="shared" si="34"/>
        <v>0</v>
      </c>
      <c r="AI21" s="52">
        <f t="shared" si="35"/>
        <v>0</v>
      </c>
      <c r="AJ21" s="43"/>
      <c r="AK21" s="39"/>
      <c r="AL21" s="39"/>
      <c r="AM21" s="39"/>
      <c r="AN21" s="21"/>
      <c r="AO21" s="1890">
        <v>1</v>
      </c>
      <c r="AP21" s="45" t="s">
        <v>4484</v>
      </c>
      <c r="AQ21" s="46"/>
      <c r="AR21" s="46"/>
      <c r="AS21" s="47">
        <v>1</v>
      </c>
      <c r="AT21" s="48" t="s">
        <v>628</v>
      </c>
      <c r="AU21" s="1893"/>
      <c r="AV21" s="54"/>
      <c r="AW21" s="1893"/>
      <c r="AX21" s="1893"/>
      <c r="AY21" s="1893"/>
      <c r="AZ21" s="54"/>
      <c r="BA21" s="1893"/>
      <c r="BB21" s="54"/>
      <c r="BC21" s="1893"/>
      <c r="BD21" s="1893"/>
      <c r="BE21" s="1893"/>
      <c r="BF21" s="54"/>
      <c r="BG21" s="1893"/>
      <c r="BH21" s="54"/>
      <c r="BI21" s="1893"/>
      <c r="BJ21" s="1893"/>
      <c r="BK21" s="1893"/>
      <c r="BL21" s="54"/>
      <c r="BM21" s="1893"/>
      <c r="BN21" s="54"/>
      <c r="BO21" s="1893"/>
      <c r="BP21" s="1893"/>
      <c r="BQ21" s="1893"/>
      <c r="BR21" s="54"/>
      <c r="BS21" s="1893"/>
      <c r="BT21" s="54"/>
      <c r="BU21" s="1893"/>
      <c r="BV21" s="1893"/>
      <c r="BW21" s="1893"/>
      <c r="BX21" s="54"/>
      <c r="BY21" s="1893"/>
      <c r="BZ21" s="54"/>
      <c r="CA21" s="1893"/>
      <c r="CB21" s="1893"/>
      <c r="CC21" s="1893"/>
      <c r="CD21" s="54"/>
      <c r="CE21" s="1893"/>
      <c r="CF21" s="54"/>
      <c r="CG21" s="1893"/>
      <c r="CH21" s="1893"/>
      <c r="CI21" s="1893"/>
      <c r="CJ21" s="1893"/>
    </row>
    <row r="22" spans="1:88" x14ac:dyDescent="0.5">
      <c r="A22" s="21">
        <v>20116732</v>
      </c>
      <c r="B22" s="22">
        <v>20110869</v>
      </c>
      <c r="C22" s="1019" t="s">
        <v>2783</v>
      </c>
      <c r="D22" s="1020" t="s">
        <v>2691</v>
      </c>
      <c r="E22" s="884">
        <v>44161</v>
      </c>
      <c r="F22" s="932"/>
      <c r="G22" s="933"/>
      <c r="H22" s="831"/>
      <c r="I22" s="1021"/>
      <c r="J22" s="931"/>
      <c r="K22" s="40"/>
      <c r="L22" s="22" t="s">
        <v>2375</v>
      </c>
      <c r="M22" s="28" t="s">
        <v>4445</v>
      </c>
      <c r="N22" s="22" t="s">
        <v>52</v>
      </c>
      <c r="O22" s="29">
        <v>186915.89</v>
      </c>
      <c r="P22" s="29">
        <f t="shared" si="32"/>
        <v>13084.112300000001</v>
      </c>
      <c r="Q22" s="29">
        <f t="shared" si="33"/>
        <v>200000.00230000002</v>
      </c>
      <c r="R22" s="30">
        <v>14000</v>
      </c>
      <c r="S22" s="31"/>
      <c r="T22" s="32">
        <f t="shared" ref="T22" si="36">O22-R22</f>
        <v>172915.89</v>
      </c>
      <c r="U22" s="33"/>
      <c r="V22" s="1251">
        <f t="shared" ref="V22" si="37">T22*U22/100</f>
        <v>0</v>
      </c>
      <c r="W22" s="1231"/>
      <c r="X22" s="1184">
        <f t="shared" ref="X22" si="38">T22-V22</f>
        <v>172915.89</v>
      </c>
      <c r="Y22" s="1223">
        <f t="shared" ref="Y22" si="39">SUM((50-W22)/(100)*(2.5)+(0.5))</f>
        <v>1.75</v>
      </c>
      <c r="Z22" s="1223"/>
      <c r="AA22" s="1228"/>
      <c r="AB22" s="1228">
        <f t="shared" ref="AB22" si="40">X22*AA22/100</f>
        <v>0</v>
      </c>
      <c r="AC22" s="37"/>
      <c r="AD22" s="1234">
        <f t="shared" ref="AD22" si="41">X22*AC22/100</f>
        <v>0</v>
      </c>
      <c r="AE22" s="40"/>
      <c r="AF22" s="1186"/>
      <c r="AG22" s="41"/>
      <c r="AH22" s="63">
        <f t="shared" si="34"/>
        <v>0</v>
      </c>
      <c r="AI22" s="52">
        <f t="shared" si="35"/>
        <v>0</v>
      </c>
      <c r="AJ22" s="43"/>
      <c r="AK22" s="39"/>
      <c r="AL22" s="39"/>
      <c r="AM22" s="39"/>
      <c r="AN22" s="21"/>
      <c r="AO22" s="1890">
        <v>1</v>
      </c>
      <c r="AP22" s="45" t="s">
        <v>815</v>
      </c>
      <c r="AQ22" s="46"/>
      <c r="AR22" s="46" t="s">
        <v>3423</v>
      </c>
      <c r="AS22" s="47">
        <v>1</v>
      </c>
      <c r="AT22" s="48" t="s">
        <v>636</v>
      </c>
      <c r="AU22" s="1890"/>
      <c r="AV22" s="54"/>
      <c r="AW22" s="1890"/>
      <c r="AX22" s="1890"/>
      <c r="AY22" s="1890"/>
      <c r="AZ22" s="54"/>
      <c r="BA22" s="1890"/>
      <c r="BB22" s="54"/>
      <c r="BC22" s="1890"/>
      <c r="BD22" s="1890"/>
      <c r="BE22" s="1890"/>
      <c r="BF22" s="54"/>
      <c r="BG22" s="1890"/>
      <c r="BH22" s="54"/>
      <c r="BI22" s="1890"/>
      <c r="BJ22" s="1890"/>
      <c r="BK22" s="1890"/>
      <c r="BL22" s="54"/>
      <c r="BM22" s="1890"/>
      <c r="BN22" s="54"/>
      <c r="BO22" s="1890"/>
      <c r="BP22" s="1890"/>
      <c r="BQ22" s="1890"/>
      <c r="BR22" s="54"/>
      <c r="BS22" s="1890"/>
      <c r="BT22" s="54"/>
      <c r="BU22" s="1890"/>
      <c r="BV22" s="1890"/>
      <c r="BW22" s="1890"/>
      <c r="BX22" s="54"/>
      <c r="BY22" s="1890"/>
      <c r="BZ22" s="54"/>
      <c r="CA22" s="1890"/>
      <c r="CB22" s="1890"/>
      <c r="CC22" s="1890"/>
      <c r="CD22" s="54"/>
      <c r="CE22" s="1890"/>
      <c r="CF22" s="54"/>
      <c r="CG22" s="1890"/>
      <c r="CH22" s="1890"/>
      <c r="CI22" s="1890"/>
      <c r="CJ22" s="1890"/>
    </row>
    <row r="23" spans="1:88" x14ac:dyDescent="0.5">
      <c r="A23" s="21">
        <v>20116731</v>
      </c>
      <c r="B23" s="22">
        <v>20110870</v>
      </c>
      <c r="C23" s="55"/>
      <c r="D23" s="56"/>
      <c r="E23" s="910"/>
      <c r="F23" s="57"/>
      <c r="G23" s="58"/>
      <c r="H23" s="59"/>
      <c r="I23" s="60"/>
      <c r="J23" s="269"/>
      <c r="K23" s="59"/>
      <c r="L23" s="22" t="s">
        <v>3726</v>
      </c>
      <c r="M23" s="28" t="s">
        <v>4446</v>
      </c>
      <c r="N23" s="22" t="s">
        <v>51</v>
      </c>
      <c r="O23" s="29">
        <v>75500</v>
      </c>
      <c r="P23" s="29">
        <f t="shared" ref="P23:P24" si="42">O23*7/100</f>
        <v>5285</v>
      </c>
      <c r="Q23" s="29">
        <f t="shared" ref="Q23:Q24" si="43">O23+P23</f>
        <v>80785</v>
      </c>
      <c r="R23" s="61"/>
      <c r="S23" s="96"/>
      <c r="T23" s="97"/>
      <c r="U23" s="98"/>
      <c r="V23" s="1225"/>
      <c r="W23" s="1225"/>
      <c r="X23" s="100"/>
      <c r="Y23" s="1225"/>
      <c r="Z23" s="1225"/>
      <c r="AA23" s="1225"/>
      <c r="AB23" s="1225"/>
      <c r="AC23" s="100"/>
      <c r="AD23" s="595"/>
      <c r="AE23" s="40">
        <v>20120317</v>
      </c>
      <c r="AF23" s="1186" t="s">
        <v>3423</v>
      </c>
      <c r="AG23" s="41">
        <v>75500</v>
      </c>
      <c r="AH23" s="63">
        <f t="shared" ref="AH23:AH24" si="44">AG23*7/100</f>
        <v>5285</v>
      </c>
      <c r="AI23" s="52">
        <f t="shared" ref="AI23:AI24" si="45">AG23+AH23</f>
        <v>80785</v>
      </c>
      <c r="AJ23" s="53">
        <v>44197</v>
      </c>
      <c r="AK23" s="39"/>
      <c r="AL23" s="39"/>
      <c r="AM23" s="39" t="s">
        <v>3423</v>
      </c>
      <c r="AN23" s="21"/>
      <c r="AO23" s="1890">
        <v>1</v>
      </c>
      <c r="AP23" s="45" t="s">
        <v>4447</v>
      </c>
      <c r="AQ23" s="46"/>
      <c r="AR23" s="46"/>
      <c r="AS23" s="47">
        <v>1</v>
      </c>
      <c r="AT23" s="48" t="s">
        <v>628</v>
      </c>
      <c r="AU23" s="1890"/>
      <c r="AV23" s="54"/>
      <c r="AW23" s="1890"/>
      <c r="AX23" s="1890"/>
      <c r="AY23" s="1890"/>
      <c r="AZ23" s="54"/>
      <c r="BA23" s="1890"/>
      <c r="BB23" s="54"/>
      <c r="BC23" s="1890"/>
      <c r="BD23" s="1890"/>
      <c r="BE23" s="1890"/>
      <c r="BF23" s="54"/>
      <c r="BG23" s="1890"/>
      <c r="BH23" s="54"/>
      <c r="BI23" s="1890"/>
      <c r="BJ23" s="1890"/>
      <c r="BK23" s="1890"/>
      <c r="BL23" s="54"/>
      <c r="BM23" s="1890"/>
      <c r="BN23" s="54"/>
      <c r="BO23" s="1890"/>
      <c r="BP23" s="1890"/>
      <c r="BQ23" s="1890"/>
      <c r="BR23" s="54"/>
      <c r="BS23" s="1890"/>
      <c r="BT23" s="54"/>
      <c r="BU23" s="1890"/>
      <c r="BV23" s="1890"/>
      <c r="BW23" s="1890"/>
      <c r="BX23" s="54"/>
      <c r="BY23" s="1890"/>
      <c r="BZ23" s="54"/>
      <c r="CA23" s="1890"/>
      <c r="CB23" s="1890"/>
      <c r="CC23" s="1890"/>
      <c r="CD23" s="54"/>
      <c r="CE23" s="1890"/>
      <c r="CF23" s="54"/>
      <c r="CG23" s="1890"/>
      <c r="CH23" s="1890"/>
      <c r="CI23" s="1890"/>
      <c r="CJ23" s="1890"/>
    </row>
    <row r="24" spans="1:88" x14ac:dyDescent="0.5">
      <c r="A24" s="21">
        <v>20116730</v>
      </c>
      <c r="B24" s="22">
        <v>20110868</v>
      </c>
      <c r="C24" s="1019" t="s">
        <v>2779</v>
      </c>
      <c r="D24" s="1020" t="s">
        <v>2691</v>
      </c>
      <c r="E24" s="884">
        <v>44221</v>
      </c>
      <c r="F24" s="932"/>
      <c r="G24" s="933"/>
      <c r="H24" s="831"/>
      <c r="I24" s="1021"/>
      <c r="J24" s="931"/>
      <c r="K24" s="40"/>
      <c r="L24" s="22" t="s">
        <v>4448</v>
      </c>
      <c r="M24" s="28" t="s">
        <v>4449</v>
      </c>
      <c r="N24" s="22" t="s">
        <v>50</v>
      </c>
      <c r="O24" s="29">
        <v>1250000</v>
      </c>
      <c r="P24" s="29">
        <f t="shared" si="42"/>
        <v>87500</v>
      </c>
      <c r="Q24" s="29">
        <f t="shared" si="43"/>
        <v>1337500</v>
      </c>
      <c r="R24" s="30"/>
      <c r="S24" s="31"/>
      <c r="T24" s="32">
        <f t="shared" ref="T24" si="46">O24-R24</f>
        <v>1250000</v>
      </c>
      <c r="U24" s="33"/>
      <c r="V24" s="1251">
        <f t="shared" ref="V24" si="47">T24*U24/100</f>
        <v>0</v>
      </c>
      <c r="W24" s="1231"/>
      <c r="X24" s="1184">
        <f t="shared" ref="X24" si="48">T24-V24</f>
        <v>1250000</v>
      </c>
      <c r="Y24" s="1223">
        <f t="shared" ref="Y24" si="49">SUM((50-W24)/(100)*(2.5)+(0.5))</f>
        <v>1.75</v>
      </c>
      <c r="Z24" s="1223"/>
      <c r="AA24" s="1228"/>
      <c r="AB24" s="1228">
        <f t="shared" ref="AB24" si="50">X24*AA24/100</f>
        <v>0</v>
      </c>
      <c r="AC24" s="37"/>
      <c r="AD24" s="1234">
        <f t="shared" ref="AD24" si="51">X24*AC24/100</f>
        <v>0</v>
      </c>
      <c r="AE24" s="40"/>
      <c r="AF24" s="1186"/>
      <c r="AG24" s="41"/>
      <c r="AH24" s="63">
        <f t="shared" si="44"/>
        <v>0</v>
      </c>
      <c r="AI24" s="52">
        <f t="shared" si="45"/>
        <v>0</v>
      </c>
      <c r="AJ24" s="43"/>
      <c r="AK24" s="39"/>
      <c r="AL24" s="39"/>
      <c r="AM24" s="39"/>
      <c r="AN24" s="21"/>
      <c r="AO24" s="1890">
        <v>1</v>
      </c>
      <c r="AP24" s="45" t="s">
        <v>4450</v>
      </c>
      <c r="AQ24" s="46"/>
      <c r="AR24" s="46"/>
      <c r="AS24" s="47">
        <v>1</v>
      </c>
      <c r="AT24" s="48" t="s">
        <v>4451</v>
      </c>
      <c r="AU24" s="1890"/>
      <c r="AV24" s="54"/>
      <c r="AW24" s="1890"/>
      <c r="AX24" s="1890"/>
      <c r="AY24" s="1890"/>
      <c r="AZ24" s="54"/>
      <c r="BA24" s="1890"/>
      <c r="BB24" s="54"/>
      <c r="BC24" s="1890"/>
      <c r="BD24" s="1890"/>
      <c r="BE24" s="1890"/>
      <c r="BF24" s="54"/>
      <c r="BG24" s="1890"/>
      <c r="BH24" s="54"/>
      <c r="BI24" s="1890"/>
      <c r="BJ24" s="1890"/>
      <c r="BK24" s="1890"/>
      <c r="BL24" s="54"/>
      <c r="BM24" s="1890"/>
      <c r="BN24" s="54"/>
      <c r="BO24" s="1890"/>
      <c r="BP24" s="1890"/>
      <c r="BQ24" s="1890"/>
      <c r="BR24" s="54"/>
      <c r="BS24" s="1890"/>
      <c r="BT24" s="54"/>
      <c r="BU24" s="1890"/>
      <c r="BV24" s="1890"/>
      <c r="BW24" s="1890"/>
      <c r="BX24" s="54"/>
      <c r="BY24" s="1890"/>
      <c r="BZ24" s="54"/>
      <c r="CA24" s="1890"/>
      <c r="CB24" s="1890"/>
      <c r="CC24" s="1890"/>
      <c r="CD24" s="54"/>
      <c r="CE24" s="1890"/>
      <c r="CF24" s="54"/>
      <c r="CG24" s="1890"/>
      <c r="CH24" s="1890"/>
      <c r="CI24" s="1890"/>
      <c r="CJ24" s="1890"/>
    </row>
    <row r="25" spans="1:88" x14ac:dyDescent="0.5">
      <c r="A25" s="21">
        <v>20116729</v>
      </c>
      <c r="B25" s="22">
        <v>20110863</v>
      </c>
      <c r="C25" s="1019" t="s">
        <v>2687</v>
      </c>
      <c r="D25" s="1020" t="s">
        <v>2691</v>
      </c>
      <c r="E25" s="884">
        <v>44216</v>
      </c>
      <c r="F25" s="932"/>
      <c r="G25" s="933"/>
      <c r="H25" s="831"/>
      <c r="I25" s="1021"/>
      <c r="J25" s="931"/>
      <c r="K25" s="40"/>
      <c r="L25" s="22" t="s">
        <v>1705</v>
      </c>
      <c r="M25" s="28" t="s">
        <v>4452</v>
      </c>
      <c r="N25" s="22" t="s">
        <v>50</v>
      </c>
      <c r="O25" s="29">
        <v>500000</v>
      </c>
      <c r="P25" s="29">
        <f t="shared" ref="P25:P29" si="52">O25*7/100</f>
        <v>35000</v>
      </c>
      <c r="Q25" s="29">
        <f t="shared" ref="Q25:Q29" si="53">O25+P25</f>
        <v>535000</v>
      </c>
      <c r="R25" s="30"/>
      <c r="S25" s="31"/>
      <c r="T25" s="32">
        <f t="shared" ref="T25:T29" si="54">O25-R25</f>
        <v>500000</v>
      </c>
      <c r="U25" s="33"/>
      <c r="V25" s="1251">
        <f t="shared" ref="V25:V29" si="55">T25*U25/100</f>
        <v>0</v>
      </c>
      <c r="W25" s="1231"/>
      <c r="X25" s="1184">
        <f t="shared" ref="X25:X29" si="56">T25-V25</f>
        <v>500000</v>
      </c>
      <c r="Y25" s="1223">
        <f t="shared" ref="Y25:Y29" si="57">SUM((50-W25)/(100)*(2.5)+(0.5))</f>
        <v>1.75</v>
      </c>
      <c r="Z25" s="1223"/>
      <c r="AA25" s="1228"/>
      <c r="AB25" s="1228">
        <f t="shared" si="0"/>
        <v>0</v>
      </c>
      <c r="AC25" s="37"/>
      <c r="AD25" s="1234">
        <f t="shared" ref="AD25:AD29" si="58">X25*AC25/100</f>
        <v>0</v>
      </c>
      <c r="AE25" s="40"/>
      <c r="AF25" s="1186"/>
      <c r="AG25" s="41"/>
      <c r="AH25" s="63">
        <f t="shared" ref="AH25:AH29" si="59">AG25*7/100</f>
        <v>0</v>
      </c>
      <c r="AI25" s="52">
        <f t="shared" ref="AI25:AI29" si="60">AG25+AH25</f>
        <v>0</v>
      </c>
      <c r="AJ25" s="43"/>
      <c r="AK25" s="39"/>
      <c r="AL25" s="39"/>
      <c r="AM25" s="39"/>
      <c r="AN25" s="21"/>
      <c r="AO25" s="1890">
        <v>1</v>
      </c>
      <c r="AP25" s="45" t="s">
        <v>4453</v>
      </c>
      <c r="AQ25" s="46"/>
      <c r="AR25" s="46" t="s">
        <v>3423</v>
      </c>
      <c r="AS25" s="47">
        <v>1</v>
      </c>
      <c r="AT25" s="48" t="s">
        <v>634</v>
      </c>
      <c r="AU25" s="1890"/>
      <c r="AV25" s="54"/>
      <c r="AW25" s="1890"/>
      <c r="AX25" s="1890"/>
      <c r="AY25" s="1890"/>
      <c r="AZ25" s="54"/>
      <c r="BA25" s="1890"/>
      <c r="BB25" s="54"/>
      <c r="BC25" s="1890"/>
      <c r="BD25" s="1890"/>
      <c r="BE25" s="1890"/>
      <c r="BF25" s="54"/>
      <c r="BG25" s="1890"/>
      <c r="BH25" s="54"/>
      <c r="BI25" s="1890"/>
      <c r="BJ25" s="1890"/>
      <c r="BK25" s="1890"/>
      <c r="BL25" s="54"/>
      <c r="BM25" s="1890"/>
      <c r="BN25" s="54"/>
      <c r="BO25" s="1890"/>
      <c r="BP25" s="1890"/>
      <c r="BQ25" s="1890"/>
      <c r="BR25" s="54"/>
      <c r="BS25" s="1890"/>
      <c r="BT25" s="54"/>
      <c r="BU25" s="1890"/>
      <c r="BV25" s="1890"/>
      <c r="BW25" s="1890"/>
      <c r="BX25" s="54"/>
      <c r="BY25" s="1890"/>
      <c r="BZ25" s="54"/>
      <c r="CA25" s="1890"/>
      <c r="CB25" s="1890"/>
      <c r="CC25" s="1890"/>
      <c r="CD25" s="54"/>
      <c r="CE25" s="1890"/>
      <c r="CF25" s="54"/>
      <c r="CG25" s="1890"/>
      <c r="CH25" s="1890"/>
      <c r="CI25" s="1890"/>
      <c r="CJ25" s="1890"/>
    </row>
    <row r="26" spans="1:88" x14ac:dyDescent="0.5">
      <c r="A26" s="21">
        <v>20116728</v>
      </c>
      <c r="B26" s="22">
        <v>20110865</v>
      </c>
      <c r="C26" s="55"/>
      <c r="D26" s="56"/>
      <c r="E26" s="910"/>
      <c r="F26" s="932"/>
      <c r="G26" s="933"/>
      <c r="H26" s="831"/>
      <c r="I26" s="1021"/>
      <c r="J26" s="931"/>
      <c r="K26" s="40"/>
      <c r="L26" s="22" t="s">
        <v>4454</v>
      </c>
      <c r="M26" s="28" t="s">
        <v>4455</v>
      </c>
      <c r="N26" s="22" t="s">
        <v>50</v>
      </c>
      <c r="O26" s="29">
        <v>120000</v>
      </c>
      <c r="P26" s="29">
        <f t="shared" si="52"/>
        <v>8400</v>
      </c>
      <c r="Q26" s="29">
        <f t="shared" si="53"/>
        <v>128400</v>
      </c>
      <c r="R26" s="30"/>
      <c r="S26" s="31"/>
      <c r="T26" s="32">
        <f t="shared" si="54"/>
        <v>120000</v>
      </c>
      <c r="U26" s="33"/>
      <c r="V26" s="1251">
        <f t="shared" si="55"/>
        <v>0</v>
      </c>
      <c r="W26" s="1231"/>
      <c r="X26" s="1184">
        <f t="shared" si="56"/>
        <v>120000</v>
      </c>
      <c r="Y26" s="1223">
        <f t="shared" si="57"/>
        <v>1.75</v>
      </c>
      <c r="Z26" s="1223"/>
      <c r="AA26" s="1228"/>
      <c r="AB26" s="1228">
        <f t="shared" si="0"/>
        <v>0</v>
      </c>
      <c r="AC26" s="37"/>
      <c r="AD26" s="1234">
        <f t="shared" si="58"/>
        <v>0</v>
      </c>
      <c r="AE26" s="40">
        <v>20110306</v>
      </c>
      <c r="AF26" s="1186" t="s">
        <v>1205</v>
      </c>
      <c r="AG26" s="41">
        <v>30000</v>
      </c>
      <c r="AH26" s="63">
        <f t="shared" si="59"/>
        <v>2100</v>
      </c>
      <c r="AI26" s="52">
        <f t="shared" si="60"/>
        <v>32100</v>
      </c>
      <c r="AJ26" s="53">
        <v>44153</v>
      </c>
      <c r="AK26" s="39"/>
      <c r="AL26" s="39"/>
      <c r="AM26" s="39" t="s">
        <v>3423</v>
      </c>
      <c r="AN26" s="1368">
        <v>0.25</v>
      </c>
      <c r="AO26" s="1890">
        <v>1</v>
      </c>
      <c r="AP26" s="45" t="s">
        <v>4456</v>
      </c>
      <c r="AQ26" s="46"/>
      <c r="AR26" s="46"/>
      <c r="AS26" s="47">
        <v>8</v>
      </c>
      <c r="AT26" s="48" t="s">
        <v>628</v>
      </c>
      <c r="AU26" s="1890"/>
      <c r="AV26" s="54"/>
      <c r="AW26" s="1890"/>
      <c r="AX26" s="1890"/>
      <c r="AY26" s="1890"/>
      <c r="AZ26" s="54"/>
      <c r="BA26" s="1890"/>
      <c r="BB26" s="54"/>
      <c r="BC26" s="1890"/>
      <c r="BD26" s="1890"/>
      <c r="BE26" s="1890"/>
      <c r="BF26" s="54"/>
      <c r="BG26" s="1890"/>
      <c r="BH26" s="54"/>
      <c r="BI26" s="1890"/>
      <c r="BJ26" s="1890"/>
      <c r="BK26" s="1890"/>
      <c r="BL26" s="54"/>
      <c r="BM26" s="1890"/>
      <c r="BN26" s="54"/>
      <c r="BO26" s="1890"/>
      <c r="BP26" s="1890"/>
      <c r="BQ26" s="1890"/>
      <c r="BR26" s="54"/>
      <c r="BS26" s="1890"/>
      <c r="BT26" s="54"/>
      <c r="BU26" s="1890"/>
      <c r="BV26" s="1890"/>
      <c r="BW26" s="1890"/>
      <c r="BX26" s="54"/>
      <c r="BY26" s="1890"/>
      <c r="BZ26" s="54"/>
      <c r="CA26" s="1890"/>
      <c r="CB26" s="1890"/>
      <c r="CC26" s="1890"/>
      <c r="CD26" s="54"/>
      <c r="CE26" s="1890"/>
      <c r="CF26" s="54"/>
      <c r="CG26" s="1890"/>
      <c r="CH26" s="1890"/>
      <c r="CI26" s="1890"/>
      <c r="CJ26" s="1890"/>
    </row>
    <row r="27" spans="1:88" x14ac:dyDescent="0.5">
      <c r="A27" s="21">
        <v>20116727</v>
      </c>
      <c r="B27" s="22">
        <v>20110864</v>
      </c>
      <c r="C27" s="1019" t="s">
        <v>2666</v>
      </c>
      <c r="D27" s="1020" t="s">
        <v>2691</v>
      </c>
      <c r="E27" s="884">
        <v>44197</v>
      </c>
      <c r="F27" s="932"/>
      <c r="G27" s="933"/>
      <c r="H27" s="831"/>
      <c r="I27" s="1021"/>
      <c r="J27" s="931"/>
      <c r="K27" s="40"/>
      <c r="L27" s="22" t="s">
        <v>4454</v>
      </c>
      <c r="M27" s="28" t="s">
        <v>4455</v>
      </c>
      <c r="N27" s="22" t="s">
        <v>50</v>
      </c>
      <c r="O27" s="29">
        <v>2100000</v>
      </c>
      <c r="P27" s="29">
        <f t="shared" si="52"/>
        <v>147000</v>
      </c>
      <c r="Q27" s="29">
        <f t="shared" si="53"/>
        <v>2247000</v>
      </c>
      <c r="R27" s="30"/>
      <c r="S27" s="31"/>
      <c r="T27" s="32">
        <f t="shared" si="54"/>
        <v>2100000</v>
      </c>
      <c r="U27" s="33"/>
      <c r="V27" s="1251">
        <f t="shared" si="55"/>
        <v>0</v>
      </c>
      <c r="W27" s="1231"/>
      <c r="X27" s="1184">
        <f t="shared" si="56"/>
        <v>2100000</v>
      </c>
      <c r="Y27" s="1223">
        <f t="shared" si="57"/>
        <v>1.75</v>
      </c>
      <c r="Z27" s="1223"/>
      <c r="AA27" s="1228"/>
      <c r="AB27" s="1228">
        <f t="shared" si="0"/>
        <v>0</v>
      </c>
      <c r="AC27" s="37"/>
      <c r="AD27" s="1234">
        <f t="shared" si="58"/>
        <v>0</v>
      </c>
      <c r="AE27" s="40">
        <v>20110305</v>
      </c>
      <c r="AF27" s="1186" t="s">
        <v>1205</v>
      </c>
      <c r="AG27" s="41">
        <v>525000</v>
      </c>
      <c r="AH27" s="63">
        <f t="shared" si="59"/>
        <v>36750</v>
      </c>
      <c r="AI27" s="52">
        <f t="shared" si="60"/>
        <v>561750</v>
      </c>
      <c r="AJ27" s="53">
        <v>44153</v>
      </c>
      <c r="AK27" s="39"/>
      <c r="AL27" s="39"/>
      <c r="AM27" s="39" t="s">
        <v>3423</v>
      </c>
      <c r="AN27" s="1368">
        <v>0.25</v>
      </c>
      <c r="AO27" s="1890">
        <v>1</v>
      </c>
      <c r="AP27" s="45" t="s">
        <v>4457</v>
      </c>
      <c r="AQ27" s="46" t="s">
        <v>3423</v>
      </c>
      <c r="AR27" s="46"/>
      <c r="AS27" s="47">
        <v>3</v>
      </c>
      <c r="AT27" s="48" t="s">
        <v>634</v>
      </c>
      <c r="AU27" s="1890"/>
      <c r="AV27" s="54"/>
      <c r="AW27" s="1890"/>
      <c r="AX27" s="1890"/>
      <c r="AY27" s="1890"/>
      <c r="AZ27" s="54"/>
      <c r="BA27" s="1890"/>
      <c r="BB27" s="54"/>
      <c r="BC27" s="1890"/>
      <c r="BD27" s="1890"/>
      <c r="BE27" s="1890"/>
      <c r="BF27" s="54"/>
      <c r="BG27" s="1890"/>
      <c r="BH27" s="54"/>
      <c r="BI27" s="1890"/>
      <c r="BJ27" s="1890"/>
      <c r="BK27" s="1890"/>
      <c r="BL27" s="54"/>
      <c r="BM27" s="1890"/>
      <c r="BN27" s="54"/>
      <c r="BO27" s="1890"/>
      <c r="BP27" s="1890"/>
      <c r="BQ27" s="1890"/>
      <c r="BR27" s="54"/>
      <c r="BS27" s="1890"/>
      <c r="BT27" s="54"/>
      <c r="BU27" s="1890"/>
      <c r="BV27" s="1890"/>
      <c r="BW27" s="1890"/>
      <c r="BX27" s="54"/>
      <c r="BY27" s="1890"/>
      <c r="BZ27" s="54"/>
      <c r="CA27" s="1890"/>
      <c r="CB27" s="1890"/>
      <c r="CC27" s="1890"/>
      <c r="CD27" s="54"/>
      <c r="CE27" s="1890"/>
      <c r="CF27" s="54"/>
      <c r="CG27" s="1890"/>
      <c r="CH27" s="1890"/>
      <c r="CI27" s="1890"/>
      <c r="CJ27" s="1890"/>
    </row>
    <row r="28" spans="1:88" x14ac:dyDescent="0.5">
      <c r="A28" s="21">
        <v>20116726</v>
      </c>
      <c r="B28" s="22">
        <v>20110866</v>
      </c>
      <c r="C28" s="55"/>
      <c r="D28" s="56"/>
      <c r="E28" s="910"/>
      <c r="F28" s="932"/>
      <c r="G28" s="933"/>
      <c r="H28" s="831"/>
      <c r="I28" s="1021"/>
      <c r="J28" s="931"/>
      <c r="K28" s="40"/>
      <c r="L28" s="22" t="s">
        <v>2784</v>
      </c>
      <c r="M28" s="28" t="s">
        <v>4458</v>
      </c>
      <c r="N28" s="22" t="s">
        <v>50</v>
      </c>
      <c r="O28" s="29">
        <v>35000</v>
      </c>
      <c r="P28" s="29">
        <f t="shared" si="52"/>
        <v>2450</v>
      </c>
      <c r="Q28" s="29">
        <f t="shared" si="53"/>
        <v>37450</v>
      </c>
      <c r="R28" s="30"/>
      <c r="S28" s="31"/>
      <c r="T28" s="32">
        <f t="shared" si="54"/>
        <v>35000</v>
      </c>
      <c r="U28" s="33"/>
      <c r="V28" s="1251">
        <f t="shared" si="55"/>
        <v>0</v>
      </c>
      <c r="W28" s="1231"/>
      <c r="X28" s="1184">
        <f t="shared" si="56"/>
        <v>35000</v>
      </c>
      <c r="Y28" s="1223">
        <f t="shared" si="57"/>
        <v>1.75</v>
      </c>
      <c r="Z28" s="1223"/>
      <c r="AA28" s="1228"/>
      <c r="AB28" s="1228">
        <f t="shared" si="0"/>
        <v>0</v>
      </c>
      <c r="AC28" s="37"/>
      <c r="AD28" s="1234">
        <f t="shared" si="58"/>
        <v>0</v>
      </c>
      <c r="AE28" s="40">
        <v>20110304</v>
      </c>
      <c r="AF28" s="1186" t="s">
        <v>3423</v>
      </c>
      <c r="AG28" s="41">
        <v>35000</v>
      </c>
      <c r="AH28" s="63">
        <f t="shared" si="59"/>
        <v>2450</v>
      </c>
      <c r="AI28" s="52">
        <f t="shared" si="60"/>
        <v>37450</v>
      </c>
      <c r="AJ28" s="53">
        <v>44151</v>
      </c>
      <c r="AK28" s="39"/>
      <c r="AL28" s="39"/>
      <c r="AM28" s="39"/>
      <c r="AN28" s="21"/>
      <c r="AO28" s="1890">
        <v>1</v>
      </c>
      <c r="AP28" s="45" t="s">
        <v>1515</v>
      </c>
      <c r="AQ28" s="46"/>
      <c r="AR28" s="46"/>
      <c r="AS28" s="47">
        <v>1</v>
      </c>
      <c r="AT28" s="48" t="s">
        <v>628</v>
      </c>
      <c r="AU28" s="1890"/>
      <c r="AV28" s="54"/>
      <c r="AW28" s="1890"/>
      <c r="AX28" s="1890"/>
      <c r="AY28" s="1890"/>
      <c r="AZ28" s="54"/>
      <c r="BA28" s="1890"/>
      <c r="BB28" s="54"/>
      <c r="BC28" s="1890"/>
      <c r="BD28" s="1890"/>
      <c r="BE28" s="1890"/>
      <c r="BF28" s="54"/>
      <c r="BG28" s="1890"/>
      <c r="BH28" s="54"/>
      <c r="BI28" s="1890"/>
      <c r="BJ28" s="1890"/>
      <c r="BK28" s="1890"/>
      <c r="BL28" s="54"/>
      <c r="BM28" s="1890"/>
      <c r="BN28" s="54"/>
      <c r="BO28" s="1890"/>
      <c r="BP28" s="1890"/>
      <c r="BQ28" s="1890"/>
      <c r="BR28" s="54"/>
      <c r="BS28" s="1890"/>
      <c r="BT28" s="54"/>
      <c r="BU28" s="1890"/>
      <c r="BV28" s="1890"/>
      <c r="BW28" s="1890"/>
      <c r="BX28" s="54"/>
      <c r="BY28" s="1890"/>
      <c r="BZ28" s="54"/>
      <c r="CA28" s="1890"/>
      <c r="CB28" s="1890"/>
      <c r="CC28" s="1890"/>
      <c r="CD28" s="54"/>
      <c r="CE28" s="1890"/>
      <c r="CF28" s="54"/>
      <c r="CG28" s="1890"/>
      <c r="CH28" s="1890"/>
      <c r="CI28" s="1890"/>
      <c r="CJ28" s="1890"/>
    </row>
    <row r="29" spans="1:88" x14ac:dyDescent="0.5">
      <c r="A29" s="21">
        <v>20116725</v>
      </c>
      <c r="B29" s="22">
        <v>20110856</v>
      </c>
      <c r="C29" s="1019" t="s">
        <v>2690</v>
      </c>
      <c r="D29" s="1020" t="s">
        <v>2691</v>
      </c>
      <c r="E29" s="884">
        <v>44211</v>
      </c>
      <c r="F29" s="932"/>
      <c r="G29" s="933"/>
      <c r="H29" s="831"/>
      <c r="I29" s="1021"/>
      <c r="J29" s="931"/>
      <c r="K29" s="40"/>
      <c r="L29" s="22" t="s">
        <v>377</v>
      </c>
      <c r="M29" s="28" t="s">
        <v>4459</v>
      </c>
      <c r="N29" s="22" t="s">
        <v>52</v>
      </c>
      <c r="O29" s="29">
        <v>90000</v>
      </c>
      <c r="P29" s="29">
        <f t="shared" si="52"/>
        <v>6300</v>
      </c>
      <c r="Q29" s="29">
        <f t="shared" si="53"/>
        <v>96300</v>
      </c>
      <c r="R29" s="30">
        <v>7000</v>
      </c>
      <c r="S29" s="31"/>
      <c r="T29" s="32">
        <f t="shared" si="54"/>
        <v>83000</v>
      </c>
      <c r="U29" s="33"/>
      <c r="V29" s="1251">
        <f t="shared" si="55"/>
        <v>0</v>
      </c>
      <c r="W29" s="1231"/>
      <c r="X29" s="1184">
        <f t="shared" si="56"/>
        <v>83000</v>
      </c>
      <c r="Y29" s="1223">
        <f t="shared" si="57"/>
        <v>1.75</v>
      </c>
      <c r="Z29" s="1223"/>
      <c r="AA29" s="1228"/>
      <c r="AB29" s="1228">
        <f t="shared" si="0"/>
        <v>0</v>
      </c>
      <c r="AC29" s="37"/>
      <c r="AD29" s="1234">
        <f t="shared" si="58"/>
        <v>0</v>
      </c>
      <c r="AE29" s="40">
        <v>20110303</v>
      </c>
      <c r="AF29" s="1186" t="s">
        <v>1205</v>
      </c>
      <c r="AG29" s="41">
        <v>27000</v>
      </c>
      <c r="AH29" s="63">
        <f t="shared" si="59"/>
        <v>1890</v>
      </c>
      <c r="AI29" s="52">
        <f t="shared" si="60"/>
        <v>28890</v>
      </c>
      <c r="AJ29" s="53">
        <v>44151</v>
      </c>
      <c r="AK29" s="39"/>
      <c r="AL29" s="39"/>
      <c r="AM29" s="39"/>
      <c r="AN29" s="1368">
        <v>0.3</v>
      </c>
      <c r="AO29" s="1890">
        <v>1</v>
      </c>
      <c r="AP29" s="45" t="s">
        <v>4460</v>
      </c>
      <c r="AQ29" s="46"/>
      <c r="AR29" s="46" t="s">
        <v>3423</v>
      </c>
      <c r="AS29" s="47">
        <v>1</v>
      </c>
      <c r="AT29" s="48" t="s">
        <v>634</v>
      </c>
      <c r="AU29" s="1890"/>
      <c r="AV29" s="54"/>
      <c r="AW29" s="1890"/>
      <c r="AX29" s="1890"/>
      <c r="AY29" s="1890"/>
      <c r="AZ29" s="54"/>
      <c r="BA29" s="1890"/>
      <c r="BB29" s="54"/>
      <c r="BC29" s="1890"/>
      <c r="BD29" s="1890"/>
      <c r="BE29" s="1890"/>
      <c r="BF29" s="54"/>
      <c r="BG29" s="1890"/>
      <c r="BH29" s="54"/>
      <c r="BI29" s="1890"/>
      <c r="BJ29" s="1890"/>
      <c r="BK29" s="1890"/>
      <c r="BL29" s="54"/>
      <c r="BM29" s="1890"/>
      <c r="BN29" s="54"/>
      <c r="BO29" s="1890"/>
      <c r="BP29" s="1890"/>
      <c r="BQ29" s="1890"/>
      <c r="BR29" s="54"/>
      <c r="BS29" s="1890"/>
      <c r="BT29" s="54"/>
      <c r="BU29" s="1890"/>
      <c r="BV29" s="1890"/>
      <c r="BW29" s="1890"/>
      <c r="BX29" s="54"/>
      <c r="BY29" s="1890"/>
      <c r="BZ29" s="54"/>
      <c r="CA29" s="1890"/>
      <c r="CB29" s="1890"/>
      <c r="CC29" s="1890"/>
      <c r="CD29" s="54"/>
      <c r="CE29" s="1890"/>
      <c r="CF29" s="54"/>
      <c r="CG29" s="1890"/>
      <c r="CH29" s="1890"/>
      <c r="CI29" s="1890"/>
      <c r="CJ29" s="1890"/>
    </row>
    <row r="30" spans="1:88" x14ac:dyDescent="0.5">
      <c r="A30" s="21">
        <v>20116724</v>
      </c>
      <c r="B30" s="22">
        <v>20110855</v>
      </c>
      <c r="C30" s="1019" t="s">
        <v>2630</v>
      </c>
      <c r="D30" s="1020" t="s">
        <v>2691</v>
      </c>
      <c r="E30" s="884">
        <v>44165</v>
      </c>
      <c r="F30" s="932"/>
      <c r="G30" s="933"/>
      <c r="H30" s="831"/>
      <c r="I30" s="1021"/>
      <c r="J30" s="931"/>
      <c r="K30" s="40"/>
      <c r="L30" s="22" t="s">
        <v>60</v>
      </c>
      <c r="M30" s="28" t="s">
        <v>4461</v>
      </c>
      <c r="N30" s="22" t="s">
        <v>52</v>
      </c>
      <c r="O30" s="29">
        <v>162000</v>
      </c>
      <c r="P30" s="29">
        <f t="shared" ref="P30:P60" si="61">O30*7/100</f>
        <v>11340</v>
      </c>
      <c r="Q30" s="29">
        <f t="shared" ref="Q30:Q60" si="62">O30+P30</f>
        <v>173340</v>
      </c>
      <c r="R30" s="61"/>
      <c r="S30" s="31"/>
      <c r="T30" s="32">
        <f t="shared" ref="T30:T60" si="63">O30-R30</f>
        <v>162000</v>
      </c>
      <c r="U30" s="33"/>
      <c r="V30" s="1251">
        <f t="shared" ref="V30:V60" si="64">T30*U30/100</f>
        <v>0</v>
      </c>
      <c r="W30" s="1231"/>
      <c r="X30" s="1184">
        <f t="shared" ref="X30:X60" si="65">T30-V30</f>
        <v>162000</v>
      </c>
      <c r="Y30" s="1223">
        <f t="shared" ref="Y30:Y60" si="66">SUM((50-W30)/(100)*(2.5)+(0.5))</f>
        <v>1.75</v>
      </c>
      <c r="Z30" s="1223"/>
      <c r="AA30" s="1228"/>
      <c r="AB30" s="1228">
        <f t="shared" ref="AB30:AB60" si="67">X30*AA30/100</f>
        <v>0</v>
      </c>
      <c r="AC30" s="37"/>
      <c r="AD30" s="1234">
        <f t="shared" ref="AD30:AD60" si="68">X30*AC30/100</f>
        <v>0</v>
      </c>
      <c r="AE30" s="40"/>
      <c r="AF30" s="1186"/>
      <c r="AG30" s="41"/>
      <c r="AH30" s="63">
        <f t="shared" ref="AH30:AH60" si="69">AG30*7/100</f>
        <v>0</v>
      </c>
      <c r="AI30" s="52">
        <f t="shared" ref="AI30:AI60" si="70">AG30+AH30</f>
        <v>0</v>
      </c>
      <c r="AJ30" s="43"/>
      <c r="AK30" s="39"/>
      <c r="AL30" s="39"/>
      <c r="AM30" s="39"/>
      <c r="AN30" s="21"/>
      <c r="AO30" s="1840">
        <v>1</v>
      </c>
      <c r="AP30" s="45" t="s">
        <v>4462</v>
      </c>
      <c r="AQ30" s="46"/>
      <c r="AR30" s="46" t="s">
        <v>3423</v>
      </c>
      <c r="AS30" s="47">
        <v>1</v>
      </c>
      <c r="AT30" s="48" t="s">
        <v>634</v>
      </c>
      <c r="AU30" s="1890"/>
      <c r="AV30" s="54"/>
      <c r="AW30" s="1890"/>
      <c r="AX30" s="1890"/>
      <c r="AY30" s="1890"/>
      <c r="AZ30" s="54"/>
      <c r="BA30" s="1890"/>
      <c r="BB30" s="54"/>
      <c r="BC30" s="1890"/>
      <c r="BD30" s="1890"/>
      <c r="BE30" s="1890"/>
      <c r="BF30" s="54"/>
      <c r="BG30" s="1890"/>
      <c r="BH30" s="54"/>
      <c r="BI30" s="1890"/>
      <c r="BJ30" s="1890"/>
      <c r="BK30" s="1890"/>
      <c r="BL30" s="54"/>
      <c r="BM30" s="1890"/>
      <c r="BN30" s="54"/>
      <c r="BO30" s="1890"/>
      <c r="BP30" s="1890"/>
      <c r="BQ30" s="1890"/>
      <c r="BR30" s="54"/>
      <c r="BS30" s="1890"/>
      <c r="BT30" s="54"/>
      <c r="BU30" s="1890"/>
      <c r="BV30" s="1890"/>
      <c r="BW30" s="1890"/>
      <c r="BX30" s="54"/>
      <c r="BY30" s="1890"/>
      <c r="BZ30" s="54"/>
      <c r="CA30" s="1890"/>
      <c r="CB30" s="1890"/>
      <c r="CC30" s="1890"/>
      <c r="CD30" s="54"/>
      <c r="CE30" s="1890"/>
      <c r="CF30" s="54"/>
      <c r="CG30" s="1890"/>
      <c r="CH30" s="1890"/>
      <c r="CI30" s="1890"/>
      <c r="CJ30" s="1890"/>
    </row>
    <row r="31" spans="1:88" x14ac:dyDescent="0.5">
      <c r="A31" s="21">
        <v>20116723</v>
      </c>
      <c r="B31" s="22">
        <v>20110852</v>
      </c>
      <c r="C31" s="1019" t="s">
        <v>2633</v>
      </c>
      <c r="D31" s="1020" t="s">
        <v>2691</v>
      </c>
      <c r="E31" s="884">
        <v>44158</v>
      </c>
      <c r="F31" s="932" t="s">
        <v>3368</v>
      </c>
      <c r="G31" s="933" t="s">
        <v>2657</v>
      </c>
      <c r="H31" s="884">
        <v>44158</v>
      </c>
      <c r="I31" s="1021">
        <v>63273</v>
      </c>
      <c r="J31" s="931" t="s">
        <v>3423</v>
      </c>
      <c r="K31" s="957">
        <v>44159</v>
      </c>
      <c r="L31" s="22" t="s">
        <v>23</v>
      </c>
      <c r="M31" s="28" t="s">
        <v>4463</v>
      </c>
      <c r="N31" s="22" t="s">
        <v>51</v>
      </c>
      <c r="O31" s="29">
        <v>21000</v>
      </c>
      <c r="P31" s="29">
        <f t="shared" si="61"/>
        <v>1470</v>
      </c>
      <c r="Q31" s="29">
        <f t="shared" si="62"/>
        <v>22470</v>
      </c>
      <c r="R31" s="61"/>
      <c r="S31" s="96"/>
      <c r="T31" s="97"/>
      <c r="U31" s="98"/>
      <c r="V31" s="1225"/>
      <c r="W31" s="1225"/>
      <c r="X31" s="100"/>
      <c r="Y31" s="1225"/>
      <c r="Z31" s="1225"/>
      <c r="AA31" s="1225"/>
      <c r="AB31" s="1225"/>
      <c r="AC31" s="100"/>
      <c r="AD31" s="595"/>
      <c r="AE31" s="40">
        <v>20110313</v>
      </c>
      <c r="AF31" s="1186" t="s">
        <v>3423</v>
      </c>
      <c r="AG31" s="41">
        <v>21000</v>
      </c>
      <c r="AH31" s="63">
        <f t="shared" si="69"/>
        <v>1470</v>
      </c>
      <c r="AI31" s="52">
        <f t="shared" si="70"/>
        <v>22470</v>
      </c>
      <c r="AJ31" s="53">
        <v>44192</v>
      </c>
      <c r="AK31" s="39"/>
      <c r="AL31" s="39"/>
      <c r="AM31" s="39" t="s">
        <v>3423</v>
      </c>
      <c r="AN31" s="21" t="s">
        <v>4498</v>
      </c>
      <c r="AO31" s="1890">
        <v>1</v>
      </c>
      <c r="AP31" s="45" t="s">
        <v>4464</v>
      </c>
      <c r="AQ31" s="46"/>
      <c r="AR31" s="46" t="s">
        <v>3423</v>
      </c>
      <c r="AS31" s="47">
        <v>1</v>
      </c>
      <c r="AT31" s="48" t="s">
        <v>633</v>
      </c>
      <c r="AU31" s="1890"/>
      <c r="AV31" s="54"/>
      <c r="AW31" s="1890"/>
      <c r="AX31" s="1890"/>
      <c r="AY31" s="1890"/>
      <c r="AZ31" s="54"/>
      <c r="BA31" s="1890"/>
      <c r="BB31" s="54"/>
      <c r="BC31" s="1890"/>
      <c r="BD31" s="1890"/>
      <c r="BE31" s="1890"/>
      <c r="BF31" s="54"/>
      <c r="BG31" s="1890"/>
      <c r="BH31" s="54"/>
      <c r="BI31" s="1890"/>
      <c r="BJ31" s="1890"/>
      <c r="BK31" s="1890"/>
      <c r="BL31" s="54"/>
      <c r="BM31" s="1890"/>
      <c r="BN31" s="54"/>
      <c r="BO31" s="1890"/>
      <c r="BP31" s="1890"/>
      <c r="BQ31" s="1890"/>
      <c r="BR31" s="54"/>
      <c r="BS31" s="1890"/>
      <c r="BT31" s="54"/>
      <c r="BU31" s="1890"/>
      <c r="BV31" s="1890"/>
      <c r="BW31" s="1890"/>
      <c r="BX31" s="54"/>
      <c r="BY31" s="1890"/>
      <c r="BZ31" s="54"/>
      <c r="CA31" s="1890"/>
      <c r="CB31" s="1890"/>
      <c r="CC31" s="1890"/>
      <c r="CD31" s="54"/>
      <c r="CE31" s="1890"/>
      <c r="CF31" s="54"/>
      <c r="CG31" s="1890"/>
      <c r="CH31" s="1890"/>
      <c r="CI31" s="1890"/>
      <c r="CJ31" s="1890"/>
    </row>
    <row r="32" spans="1:88" x14ac:dyDescent="0.5">
      <c r="A32" s="21">
        <v>20116722</v>
      </c>
      <c r="B32" s="22">
        <v>20110848</v>
      </c>
      <c r="C32" s="1019" t="s">
        <v>2636</v>
      </c>
      <c r="D32" s="1020" t="s">
        <v>2691</v>
      </c>
      <c r="E32" s="884">
        <v>44154</v>
      </c>
      <c r="F32" s="932" t="s">
        <v>3368</v>
      </c>
      <c r="G32" s="933" t="s">
        <v>2659</v>
      </c>
      <c r="H32" s="884">
        <v>44152</v>
      </c>
      <c r="I32" s="1021">
        <v>63268</v>
      </c>
      <c r="J32" s="931" t="s">
        <v>3423</v>
      </c>
      <c r="K32" s="957">
        <v>44154</v>
      </c>
      <c r="L32" s="22" t="s">
        <v>4465</v>
      </c>
      <c r="M32" s="28" t="s">
        <v>4466</v>
      </c>
      <c r="N32" s="22" t="s">
        <v>52</v>
      </c>
      <c r="O32" s="29">
        <v>20750</v>
      </c>
      <c r="P32" s="29">
        <f t="shared" si="61"/>
        <v>1452.5</v>
      </c>
      <c r="Q32" s="29">
        <f t="shared" si="62"/>
        <v>22202.5</v>
      </c>
      <c r="R32" s="61"/>
      <c r="S32" s="31"/>
      <c r="T32" s="32">
        <f t="shared" si="63"/>
        <v>20750</v>
      </c>
      <c r="U32" s="33"/>
      <c r="V32" s="1251">
        <f t="shared" si="64"/>
        <v>0</v>
      </c>
      <c r="W32" s="1231"/>
      <c r="X32" s="1184">
        <f t="shared" si="65"/>
        <v>20750</v>
      </c>
      <c r="Y32" s="1223">
        <f t="shared" si="66"/>
        <v>1.75</v>
      </c>
      <c r="Z32" s="1223"/>
      <c r="AA32" s="1228"/>
      <c r="AB32" s="1228">
        <f t="shared" si="67"/>
        <v>0</v>
      </c>
      <c r="AC32" s="37"/>
      <c r="AD32" s="1234">
        <f t="shared" si="68"/>
        <v>0</v>
      </c>
      <c r="AE32" s="40">
        <v>20110307</v>
      </c>
      <c r="AF32" s="1186" t="s">
        <v>3423</v>
      </c>
      <c r="AG32" s="41">
        <v>20750</v>
      </c>
      <c r="AH32" s="63">
        <f t="shared" si="69"/>
        <v>1452.5</v>
      </c>
      <c r="AI32" s="52">
        <f t="shared" si="70"/>
        <v>22202.5</v>
      </c>
      <c r="AJ32" s="53">
        <v>44184</v>
      </c>
      <c r="AK32" s="39"/>
      <c r="AL32" s="39"/>
      <c r="AM32" s="39" t="s">
        <v>3423</v>
      </c>
      <c r="AN32" s="21"/>
      <c r="AO32" s="1890">
        <v>1</v>
      </c>
      <c r="AP32" s="45" t="s">
        <v>650</v>
      </c>
      <c r="AQ32" s="46"/>
      <c r="AR32" s="46" t="s">
        <v>3423</v>
      </c>
      <c r="AS32" s="47">
        <v>1</v>
      </c>
      <c r="AT32" s="48" t="s">
        <v>634</v>
      </c>
      <c r="AU32" s="1890">
        <v>2</v>
      </c>
      <c r="AV32" s="40" t="s">
        <v>890</v>
      </c>
      <c r="AW32" s="47"/>
      <c r="AX32" s="47" t="s">
        <v>3423</v>
      </c>
      <c r="AY32" s="47">
        <v>1</v>
      </c>
      <c r="AZ32" s="49" t="s">
        <v>634</v>
      </c>
      <c r="BA32" s="1890"/>
      <c r="BB32" s="54"/>
      <c r="BC32" s="1890"/>
      <c r="BD32" s="1890"/>
      <c r="BE32" s="1890"/>
      <c r="BF32" s="54"/>
      <c r="BG32" s="1890"/>
      <c r="BH32" s="54"/>
      <c r="BI32" s="1890"/>
      <c r="BJ32" s="1890"/>
      <c r="BK32" s="1890"/>
      <c r="BL32" s="54"/>
      <c r="BM32" s="1890"/>
      <c r="BN32" s="54"/>
      <c r="BO32" s="1890"/>
      <c r="BP32" s="1890"/>
      <c r="BQ32" s="1890"/>
      <c r="BR32" s="54"/>
      <c r="BS32" s="1890"/>
      <c r="BT32" s="54"/>
      <c r="BU32" s="1890"/>
      <c r="BV32" s="1890"/>
      <c r="BW32" s="1890"/>
      <c r="BX32" s="54"/>
      <c r="BY32" s="1890"/>
      <c r="BZ32" s="54"/>
      <c r="CA32" s="1890"/>
      <c r="CB32" s="1890"/>
      <c r="CC32" s="1890"/>
      <c r="CD32" s="54"/>
      <c r="CE32" s="1890"/>
      <c r="CF32" s="54"/>
      <c r="CG32" s="1890"/>
      <c r="CH32" s="1890"/>
      <c r="CI32" s="1890"/>
      <c r="CJ32" s="1890"/>
    </row>
    <row r="33" spans="1:88" x14ac:dyDescent="0.5">
      <c r="A33" s="21">
        <v>20116721</v>
      </c>
      <c r="B33" s="22">
        <v>20110847</v>
      </c>
      <c r="C33" s="55"/>
      <c r="D33" s="56"/>
      <c r="E33" s="910"/>
      <c r="F33" s="57"/>
      <c r="G33" s="58"/>
      <c r="H33" s="59"/>
      <c r="I33" s="60"/>
      <c r="J33" s="269"/>
      <c r="K33" s="59"/>
      <c r="L33" s="22" t="s">
        <v>1314</v>
      </c>
      <c r="M33" s="28" t="s">
        <v>4467</v>
      </c>
      <c r="N33" s="22" t="s">
        <v>1523</v>
      </c>
      <c r="O33" s="29">
        <v>2400</v>
      </c>
      <c r="P33" s="29">
        <f t="shared" si="61"/>
        <v>168</v>
      </c>
      <c r="Q33" s="29">
        <f t="shared" si="62"/>
        <v>2568</v>
      </c>
      <c r="R33" s="30"/>
      <c r="S33" s="31"/>
      <c r="T33" s="32">
        <f t="shared" si="63"/>
        <v>2400</v>
      </c>
      <c r="U33" s="33"/>
      <c r="V33" s="1251">
        <f t="shared" si="64"/>
        <v>0</v>
      </c>
      <c r="W33" s="1231"/>
      <c r="X33" s="1184">
        <f t="shared" si="65"/>
        <v>2400</v>
      </c>
      <c r="Y33" s="1223">
        <f t="shared" si="66"/>
        <v>1.75</v>
      </c>
      <c r="Z33" s="1223"/>
      <c r="AA33" s="1228"/>
      <c r="AB33" s="1228">
        <f t="shared" si="67"/>
        <v>0</v>
      </c>
      <c r="AC33" s="37"/>
      <c r="AD33" s="1234">
        <f t="shared" si="68"/>
        <v>0</v>
      </c>
      <c r="AE33" s="40">
        <v>20110302</v>
      </c>
      <c r="AF33" s="1186" t="s">
        <v>3423</v>
      </c>
      <c r="AG33" s="41">
        <v>2400</v>
      </c>
      <c r="AH33" s="63">
        <f t="shared" si="69"/>
        <v>168</v>
      </c>
      <c r="AI33" s="52">
        <f t="shared" si="70"/>
        <v>2568</v>
      </c>
      <c r="AJ33" s="53">
        <v>44149</v>
      </c>
      <c r="AK33" s="39" t="s">
        <v>3423</v>
      </c>
      <c r="AL33" s="39"/>
      <c r="AM33" s="39"/>
      <c r="AN33" s="21"/>
      <c r="AO33" s="1890">
        <v>1</v>
      </c>
      <c r="AP33" s="45" t="s">
        <v>649</v>
      </c>
      <c r="AQ33" s="46"/>
      <c r="AR33" s="46"/>
      <c r="AS33" s="47">
        <v>2</v>
      </c>
      <c r="AT33" s="48" t="s">
        <v>628</v>
      </c>
      <c r="AU33" s="1890"/>
      <c r="AV33" s="54"/>
      <c r="AW33" s="1890"/>
      <c r="AX33" s="1890"/>
      <c r="AY33" s="1890"/>
      <c r="AZ33" s="54"/>
      <c r="BA33" s="1890"/>
      <c r="BB33" s="54"/>
      <c r="BC33" s="1890"/>
      <c r="BD33" s="1890"/>
      <c r="BE33" s="1890"/>
      <c r="BF33" s="54"/>
      <c r="BG33" s="1890"/>
      <c r="BH33" s="54"/>
      <c r="BI33" s="1890"/>
      <c r="BJ33" s="1890"/>
      <c r="BK33" s="1890"/>
      <c r="BL33" s="54"/>
      <c r="BM33" s="1890"/>
      <c r="BN33" s="54"/>
      <c r="BO33" s="1890"/>
      <c r="BP33" s="1890"/>
      <c r="BQ33" s="1890"/>
      <c r="BR33" s="54"/>
      <c r="BS33" s="1890"/>
      <c r="BT33" s="54"/>
      <c r="BU33" s="1890"/>
      <c r="BV33" s="1890"/>
      <c r="BW33" s="1890"/>
      <c r="BX33" s="54"/>
      <c r="BY33" s="1890"/>
      <c r="BZ33" s="54"/>
      <c r="CA33" s="1890"/>
      <c r="CB33" s="1890"/>
      <c r="CC33" s="1890"/>
      <c r="CD33" s="54"/>
      <c r="CE33" s="1890"/>
      <c r="CF33" s="54"/>
      <c r="CG33" s="1890"/>
      <c r="CH33" s="1890"/>
      <c r="CI33" s="1890"/>
      <c r="CJ33" s="1890"/>
    </row>
    <row r="34" spans="1:88" x14ac:dyDescent="0.5">
      <c r="A34" s="21">
        <v>20116720</v>
      </c>
      <c r="B34" s="22">
        <v>20110846</v>
      </c>
      <c r="C34" s="1019" t="s">
        <v>2619</v>
      </c>
      <c r="D34" s="1020" t="s">
        <v>2691</v>
      </c>
      <c r="E34" s="884">
        <v>44160</v>
      </c>
      <c r="F34" s="1975" t="s">
        <v>3368</v>
      </c>
      <c r="G34" s="1976" t="s">
        <v>2656</v>
      </c>
      <c r="H34" s="831"/>
      <c r="I34" s="1021"/>
      <c r="J34" s="931"/>
      <c r="K34" s="40" t="s">
        <v>4501</v>
      </c>
      <c r="L34" s="22" t="s">
        <v>15</v>
      </c>
      <c r="M34" s="28" t="s">
        <v>2085</v>
      </c>
      <c r="N34" s="22" t="s">
        <v>51</v>
      </c>
      <c r="O34" s="29">
        <v>114700</v>
      </c>
      <c r="P34" s="29">
        <f t="shared" ref="P34:P38" si="71">O34*7/100</f>
        <v>8029</v>
      </c>
      <c r="Q34" s="29">
        <f t="shared" ref="Q34:Q38" si="72">O34+P34</f>
        <v>122729</v>
      </c>
      <c r="R34" s="61"/>
      <c r="S34" s="96"/>
      <c r="T34" s="97"/>
      <c r="U34" s="98"/>
      <c r="V34" s="1225"/>
      <c r="W34" s="1225"/>
      <c r="X34" s="100"/>
      <c r="Y34" s="1225"/>
      <c r="Z34" s="1225"/>
      <c r="AA34" s="1225"/>
      <c r="AB34" s="1225"/>
      <c r="AC34" s="100"/>
      <c r="AD34" s="595"/>
      <c r="AE34" s="40"/>
      <c r="AF34" s="1186"/>
      <c r="AG34" s="41"/>
      <c r="AH34" s="63">
        <f t="shared" ref="AH34:AH38" si="73">AG34*7/100</f>
        <v>0</v>
      </c>
      <c r="AI34" s="52">
        <f t="shared" ref="AI34:AI38" si="74">AG34+AH34</f>
        <v>0</v>
      </c>
      <c r="AJ34" s="43"/>
      <c r="AK34" s="39"/>
      <c r="AL34" s="39"/>
      <c r="AM34" s="39"/>
      <c r="AN34" s="21"/>
      <c r="AO34" s="1857">
        <v>1</v>
      </c>
      <c r="AP34" s="45" t="s">
        <v>2885</v>
      </c>
      <c r="AQ34" s="46"/>
      <c r="AR34" s="46" t="s">
        <v>3423</v>
      </c>
      <c r="AS34" s="47">
        <v>1</v>
      </c>
      <c r="AT34" s="48" t="s">
        <v>633</v>
      </c>
      <c r="AU34" s="1890"/>
      <c r="AV34" s="54"/>
      <c r="AW34" s="1890"/>
      <c r="AX34" s="1890"/>
      <c r="AY34" s="1890"/>
      <c r="AZ34" s="54"/>
      <c r="BA34" s="1890"/>
      <c r="BB34" s="54"/>
      <c r="BC34" s="1890"/>
      <c r="BD34" s="1890"/>
      <c r="BE34" s="1890"/>
      <c r="BF34" s="54"/>
      <c r="BG34" s="1890"/>
      <c r="BH34" s="54"/>
      <c r="BI34" s="1890"/>
      <c r="BJ34" s="1890"/>
      <c r="BK34" s="1890"/>
      <c r="BL34" s="54"/>
      <c r="BM34" s="1890"/>
      <c r="BN34" s="54"/>
      <c r="BO34" s="1890"/>
      <c r="BP34" s="1890"/>
      <c r="BQ34" s="1890"/>
      <c r="BR34" s="54"/>
      <c r="BS34" s="1890"/>
      <c r="BT34" s="54"/>
      <c r="BU34" s="1890"/>
      <c r="BV34" s="1890"/>
      <c r="BW34" s="1890"/>
      <c r="BX34" s="54"/>
      <c r="BY34" s="1890"/>
      <c r="BZ34" s="54"/>
      <c r="CA34" s="1890"/>
      <c r="CB34" s="1890"/>
      <c r="CC34" s="1890"/>
      <c r="CD34" s="54"/>
      <c r="CE34" s="1890"/>
      <c r="CF34" s="54"/>
      <c r="CG34" s="1890"/>
      <c r="CH34" s="1890"/>
      <c r="CI34" s="1890"/>
      <c r="CJ34" s="1890"/>
    </row>
    <row r="35" spans="1:88" x14ac:dyDescent="0.5">
      <c r="A35" s="21">
        <v>20116719</v>
      </c>
      <c r="B35" s="22">
        <v>20110844</v>
      </c>
      <c r="C35" s="55"/>
      <c r="D35" s="56"/>
      <c r="E35" s="910"/>
      <c r="F35" s="57"/>
      <c r="G35" s="58"/>
      <c r="H35" s="59"/>
      <c r="I35" s="60"/>
      <c r="J35" s="269"/>
      <c r="K35" s="59"/>
      <c r="L35" s="22" t="s">
        <v>2624</v>
      </c>
      <c r="M35" s="28" t="s">
        <v>4468</v>
      </c>
      <c r="N35" s="22" t="s">
        <v>51</v>
      </c>
      <c r="O35" s="29">
        <v>22000</v>
      </c>
      <c r="P35" s="29">
        <f t="shared" si="71"/>
        <v>1540</v>
      </c>
      <c r="Q35" s="29">
        <f t="shared" si="72"/>
        <v>23540</v>
      </c>
      <c r="R35" s="61"/>
      <c r="S35" s="96"/>
      <c r="T35" s="97"/>
      <c r="U35" s="98"/>
      <c r="V35" s="1225"/>
      <c r="W35" s="1225"/>
      <c r="X35" s="100"/>
      <c r="Y35" s="1225"/>
      <c r="Z35" s="1225"/>
      <c r="AA35" s="1225"/>
      <c r="AB35" s="1225"/>
      <c r="AC35" s="100"/>
      <c r="AD35" s="595"/>
      <c r="AE35" s="40">
        <v>20110299</v>
      </c>
      <c r="AF35" s="1186" t="s">
        <v>3423</v>
      </c>
      <c r="AG35" s="41">
        <v>22000</v>
      </c>
      <c r="AH35" s="63">
        <f t="shared" si="73"/>
        <v>1540</v>
      </c>
      <c r="AI35" s="52">
        <f t="shared" si="74"/>
        <v>23540</v>
      </c>
      <c r="AJ35" s="53">
        <v>44175</v>
      </c>
      <c r="AK35" s="39"/>
      <c r="AL35" s="39"/>
      <c r="AM35" s="39"/>
      <c r="AN35" s="21"/>
      <c r="AO35" s="1857">
        <v>1</v>
      </c>
      <c r="AP35" s="45">
        <v>9004099</v>
      </c>
      <c r="AQ35" s="46"/>
      <c r="AR35" s="46"/>
      <c r="AS35" s="47">
        <v>1</v>
      </c>
      <c r="AT35" s="48" t="s">
        <v>628</v>
      </c>
      <c r="AU35" s="1890"/>
      <c r="AV35" s="54"/>
      <c r="AW35" s="1890"/>
      <c r="AX35" s="1890"/>
      <c r="AY35" s="1890"/>
      <c r="AZ35" s="54"/>
      <c r="BA35" s="1890"/>
      <c r="BB35" s="54"/>
      <c r="BC35" s="1890"/>
      <c r="BD35" s="1890"/>
      <c r="BE35" s="1890"/>
      <c r="BF35" s="54"/>
      <c r="BG35" s="1890"/>
      <c r="BH35" s="54"/>
      <c r="BI35" s="1890"/>
      <c r="BJ35" s="1890"/>
      <c r="BK35" s="1890"/>
      <c r="BL35" s="54"/>
      <c r="BM35" s="1890"/>
      <c r="BN35" s="54"/>
      <c r="BO35" s="1890"/>
      <c r="BP35" s="1890"/>
      <c r="BQ35" s="1890"/>
      <c r="BR35" s="54"/>
      <c r="BS35" s="1890"/>
      <c r="BT35" s="54"/>
      <c r="BU35" s="1890"/>
      <c r="BV35" s="1890"/>
      <c r="BW35" s="1890"/>
      <c r="BX35" s="54"/>
      <c r="BY35" s="1890"/>
      <c r="BZ35" s="54"/>
      <c r="CA35" s="1890"/>
      <c r="CB35" s="1890"/>
      <c r="CC35" s="1890"/>
      <c r="CD35" s="54"/>
      <c r="CE35" s="1890"/>
      <c r="CF35" s="54"/>
      <c r="CG35" s="1890"/>
      <c r="CH35" s="1890"/>
      <c r="CI35" s="1890"/>
      <c r="CJ35" s="1890"/>
    </row>
    <row r="36" spans="1:88" x14ac:dyDescent="0.5">
      <c r="A36" s="21" t="s">
        <v>4496</v>
      </c>
      <c r="B36" s="22">
        <v>20110877</v>
      </c>
      <c r="C36" s="55"/>
      <c r="D36" s="56"/>
      <c r="E36" s="910"/>
      <c r="F36" s="57"/>
      <c r="G36" s="58"/>
      <c r="H36" s="59"/>
      <c r="I36" s="60"/>
      <c r="J36" s="269"/>
      <c r="K36" s="59"/>
      <c r="L36" s="22" t="s">
        <v>4254</v>
      </c>
      <c r="M36" s="28" t="s">
        <v>4497</v>
      </c>
      <c r="N36" s="22" t="s">
        <v>52</v>
      </c>
      <c r="O36" s="29">
        <v>4200</v>
      </c>
      <c r="P36" s="100"/>
      <c r="Q36" s="29">
        <f t="shared" si="72"/>
        <v>4200</v>
      </c>
      <c r="R36" s="61"/>
      <c r="S36" s="96"/>
      <c r="T36" s="97"/>
      <c r="U36" s="98"/>
      <c r="V36" s="1225"/>
      <c r="W36" s="1225"/>
      <c r="X36" s="100"/>
      <c r="Y36" s="1225"/>
      <c r="Z36" s="1225"/>
      <c r="AA36" s="1225"/>
      <c r="AB36" s="1225"/>
      <c r="AC36" s="100"/>
      <c r="AD36" s="595"/>
      <c r="AE36" s="40"/>
      <c r="AF36" s="1186"/>
      <c r="AG36" s="41"/>
      <c r="AH36" s="63"/>
      <c r="AI36" s="52"/>
      <c r="AJ36" s="53"/>
      <c r="AK36" s="39"/>
      <c r="AL36" s="39"/>
      <c r="AM36" s="39"/>
      <c r="AN36" s="21" t="s">
        <v>4473</v>
      </c>
      <c r="AO36" s="1893">
        <v>1</v>
      </c>
      <c r="AP36" s="45" t="s">
        <v>404</v>
      </c>
      <c r="AQ36" s="46"/>
      <c r="AR36" s="46"/>
      <c r="AS36" s="47">
        <v>1</v>
      </c>
      <c r="AT36" s="102"/>
      <c r="AU36" s="1893"/>
      <c r="AV36" s="54"/>
      <c r="AW36" s="1893"/>
      <c r="AX36" s="1893"/>
      <c r="AY36" s="1893"/>
      <c r="AZ36" s="54"/>
      <c r="BA36" s="1893"/>
      <c r="BB36" s="54"/>
      <c r="BC36" s="1893"/>
      <c r="BD36" s="1893"/>
      <c r="BE36" s="1893"/>
      <c r="BF36" s="54"/>
      <c r="BG36" s="1893"/>
      <c r="BH36" s="54"/>
      <c r="BI36" s="1893"/>
      <c r="BJ36" s="1893"/>
      <c r="BK36" s="1893"/>
      <c r="BL36" s="54"/>
      <c r="BM36" s="1893"/>
      <c r="BN36" s="54"/>
      <c r="BO36" s="1893"/>
      <c r="BP36" s="1893"/>
      <c r="BQ36" s="1893"/>
      <c r="BR36" s="54"/>
      <c r="BS36" s="1893"/>
      <c r="BT36" s="54"/>
      <c r="BU36" s="1893"/>
      <c r="BV36" s="1893"/>
      <c r="BW36" s="1893"/>
      <c r="BX36" s="54"/>
      <c r="BY36" s="1893"/>
      <c r="BZ36" s="54"/>
      <c r="CA36" s="1893"/>
      <c r="CB36" s="1893"/>
      <c r="CC36" s="1893"/>
      <c r="CD36" s="54"/>
      <c r="CE36" s="1893"/>
      <c r="CF36" s="54"/>
      <c r="CG36" s="1893"/>
      <c r="CH36" s="1893"/>
      <c r="CI36" s="1893"/>
      <c r="CJ36" s="1893"/>
    </row>
    <row r="37" spans="1:88" x14ac:dyDescent="0.5">
      <c r="A37" s="21" t="s">
        <v>4471</v>
      </c>
      <c r="B37" s="22">
        <v>20110845</v>
      </c>
      <c r="C37" s="1019" t="s">
        <v>2639</v>
      </c>
      <c r="D37" s="1020" t="s">
        <v>1323</v>
      </c>
      <c r="E37" s="884">
        <v>44147</v>
      </c>
      <c r="F37" s="932" t="s">
        <v>3368</v>
      </c>
      <c r="G37" s="933" t="s">
        <v>2576</v>
      </c>
      <c r="H37" s="884">
        <v>44152</v>
      </c>
      <c r="I37" s="1021">
        <v>63265</v>
      </c>
      <c r="J37" s="931" t="s">
        <v>3423</v>
      </c>
      <c r="K37" s="957">
        <v>44147</v>
      </c>
      <c r="L37" s="22" t="s">
        <v>4254</v>
      </c>
      <c r="M37" s="28" t="s">
        <v>4472</v>
      </c>
      <c r="N37" s="22" t="s">
        <v>52</v>
      </c>
      <c r="O37" s="29">
        <v>13750</v>
      </c>
      <c r="P37" s="100"/>
      <c r="Q37" s="29">
        <f t="shared" si="72"/>
        <v>13750</v>
      </c>
      <c r="R37" s="61"/>
      <c r="S37" s="96"/>
      <c r="T37" s="97"/>
      <c r="U37" s="98"/>
      <c r="V37" s="1225"/>
      <c r="W37" s="1225"/>
      <c r="X37" s="100"/>
      <c r="Y37" s="1225"/>
      <c r="Z37" s="1225"/>
      <c r="AA37" s="1225"/>
      <c r="AB37" s="1225"/>
      <c r="AC37" s="100"/>
      <c r="AD37" s="595"/>
      <c r="AE37" s="40"/>
      <c r="AF37" s="1186"/>
      <c r="AG37" s="41"/>
      <c r="AH37" s="63"/>
      <c r="AI37" s="52"/>
      <c r="AJ37" s="43"/>
      <c r="AK37" s="39"/>
      <c r="AL37" s="39"/>
      <c r="AM37" s="39"/>
      <c r="AN37" s="21" t="s">
        <v>4473</v>
      </c>
      <c r="AO37" s="1890">
        <v>1</v>
      </c>
      <c r="AP37" s="45" t="s">
        <v>801</v>
      </c>
      <c r="AQ37" s="46"/>
      <c r="AR37" s="46" t="s">
        <v>3423</v>
      </c>
      <c r="AS37" s="47">
        <v>1</v>
      </c>
      <c r="AT37" s="48" t="s">
        <v>634</v>
      </c>
      <c r="AU37" s="1890"/>
      <c r="AV37" s="54"/>
      <c r="AW37" s="1890"/>
      <c r="AX37" s="1890"/>
      <c r="AY37" s="1890"/>
      <c r="AZ37" s="54"/>
      <c r="BA37" s="1890"/>
      <c r="BB37" s="54"/>
      <c r="BC37" s="1890"/>
      <c r="BD37" s="1890"/>
      <c r="BE37" s="1890"/>
      <c r="BF37" s="54"/>
      <c r="BG37" s="1890"/>
      <c r="BH37" s="54"/>
      <c r="BI37" s="1890"/>
      <c r="BJ37" s="1890"/>
      <c r="BK37" s="1890"/>
      <c r="BL37" s="54"/>
      <c r="BM37" s="1890"/>
      <c r="BN37" s="54"/>
      <c r="BO37" s="1890"/>
      <c r="BP37" s="1890"/>
      <c r="BQ37" s="1890"/>
      <c r="BR37" s="54"/>
      <c r="BS37" s="1890"/>
      <c r="BT37" s="54"/>
      <c r="BU37" s="1890"/>
      <c r="BV37" s="1890"/>
      <c r="BW37" s="1890"/>
      <c r="BX37" s="54"/>
      <c r="BY37" s="1890"/>
      <c r="BZ37" s="54"/>
      <c r="CA37" s="1890"/>
      <c r="CB37" s="1890"/>
      <c r="CC37" s="1890"/>
      <c r="CD37" s="54"/>
      <c r="CE37" s="1890"/>
      <c r="CF37" s="54"/>
      <c r="CG37" s="1890"/>
      <c r="CH37" s="1890"/>
      <c r="CI37" s="1890"/>
      <c r="CJ37" s="1890"/>
    </row>
    <row r="38" spans="1:88" x14ac:dyDescent="0.5">
      <c r="A38" s="21">
        <v>20116718</v>
      </c>
      <c r="B38" s="22">
        <v>20110840</v>
      </c>
      <c r="C38" s="1019" t="s">
        <v>2642</v>
      </c>
      <c r="D38" s="1020" t="s">
        <v>2691</v>
      </c>
      <c r="E38" s="884">
        <v>44146</v>
      </c>
      <c r="F38" s="932" t="s">
        <v>3368</v>
      </c>
      <c r="G38" s="933" t="s">
        <v>2578</v>
      </c>
      <c r="H38" s="884">
        <v>44146</v>
      </c>
      <c r="I38" s="1021">
        <v>63262</v>
      </c>
      <c r="J38" s="931" t="s">
        <v>3423</v>
      </c>
      <c r="K38" s="957">
        <v>44146</v>
      </c>
      <c r="L38" s="22" t="s">
        <v>1160</v>
      </c>
      <c r="M38" s="28" t="s">
        <v>3880</v>
      </c>
      <c r="N38" s="22" t="s">
        <v>50</v>
      </c>
      <c r="O38" s="29">
        <v>10450</v>
      </c>
      <c r="P38" s="29">
        <f t="shared" si="71"/>
        <v>731.5</v>
      </c>
      <c r="Q38" s="29">
        <f t="shared" si="72"/>
        <v>11181.5</v>
      </c>
      <c r="R38" s="30"/>
      <c r="S38" s="31"/>
      <c r="T38" s="32">
        <f t="shared" ref="T38" si="75">O38-R38</f>
        <v>10450</v>
      </c>
      <c r="U38" s="33"/>
      <c r="V38" s="1251">
        <f t="shared" ref="V38" si="76">T38*U38/100</f>
        <v>0</v>
      </c>
      <c r="W38" s="1231"/>
      <c r="X38" s="1184">
        <f t="shared" ref="X38" si="77">T38-V38</f>
        <v>10450</v>
      </c>
      <c r="Y38" s="1223">
        <f t="shared" ref="Y38" si="78">SUM((50-W38)/(100)*(2.5)+(0.5))</f>
        <v>1.75</v>
      </c>
      <c r="Z38" s="1223"/>
      <c r="AA38" s="1228"/>
      <c r="AB38" s="1228">
        <f t="shared" ref="AB38" si="79">X38*AA38/100</f>
        <v>0</v>
      </c>
      <c r="AC38" s="37"/>
      <c r="AD38" s="1234">
        <f t="shared" ref="AD38" si="80">X38*AC38/100</f>
        <v>0</v>
      </c>
      <c r="AE38" s="40">
        <v>20110312</v>
      </c>
      <c r="AF38" s="1186" t="s">
        <v>3423</v>
      </c>
      <c r="AG38" s="41">
        <v>10450</v>
      </c>
      <c r="AH38" s="63">
        <f t="shared" si="73"/>
        <v>731.5</v>
      </c>
      <c r="AI38" s="52">
        <f t="shared" si="74"/>
        <v>11181.5</v>
      </c>
      <c r="AJ38" s="53">
        <v>44192</v>
      </c>
      <c r="AK38" s="39"/>
      <c r="AL38" s="39"/>
      <c r="AM38" s="39" t="s">
        <v>3423</v>
      </c>
      <c r="AN38" s="21" t="s">
        <v>3896</v>
      </c>
      <c r="AO38" s="1857">
        <v>1</v>
      </c>
      <c r="AP38" s="45" t="s">
        <v>801</v>
      </c>
      <c r="AQ38" s="46"/>
      <c r="AR38" s="46" t="s">
        <v>3423</v>
      </c>
      <c r="AS38" s="47">
        <v>1</v>
      </c>
      <c r="AT38" s="48" t="s">
        <v>634</v>
      </c>
      <c r="AU38" s="1890"/>
      <c r="AV38" s="54"/>
      <c r="AW38" s="1890"/>
      <c r="AX38" s="1890"/>
      <c r="AY38" s="1890"/>
      <c r="AZ38" s="54"/>
      <c r="BA38" s="1890"/>
      <c r="BB38" s="54"/>
      <c r="BC38" s="1890"/>
      <c r="BD38" s="1890"/>
      <c r="BE38" s="1890"/>
      <c r="BF38" s="54"/>
      <c r="BG38" s="1890"/>
      <c r="BH38" s="54"/>
      <c r="BI38" s="1890"/>
      <c r="BJ38" s="1890"/>
      <c r="BK38" s="1890"/>
      <c r="BL38" s="54"/>
      <c r="BM38" s="1890"/>
      <c r="BN38" s="54"/>
      <c r="BO38" s="1890"/>
      <c r="BP38" s="1890"/>
      <c r="BQ38" s="1890"/>
      <c r="BR38" s="54"/>
      <c r="BS38" s="1890"/>
      <c r="BT38" s="54"/>
      <c r="BU38" s="1890"/>
      <c r="BV38" s="1890"/>
      <c r="BW38" s="1890"/>
      <c r="BX38" s="54"/>
      <c r="BY38" s="1890"/>
      <c r="BZ38" s="54"/>
      <c r="CA38" s="1890"/>
      <c r="CB38" s="1890"/>
      <c r="CC38" s="1890"/>
      <c r="CD38" s="54"/>
      <c r="CE38" s="1890"/>
      <c r="CF38" s="54"/>
      <c r="CG38" s="1890"/>
      <c r="CH38" s="1890"/>
      <c r="CI38" s="1890"/>
      <c r="CJ38" s="1890"/>
    </row>
    <row r="39" spans="1:88" x14ac:dyDescent="0.5">
      <c r="A39" s="103">
        <v>20116717</v>
      </c>
      <c r="B39" s="104">
        <v>20110833</v>
      </c>
      <c r="C39" s="1243" t="s">
        <v>2648</v>
      </c>
      <c r="D39" s="1244" t="s">
        <v>2691</v>
      </c>
      <c r="E39" s="302">
        <v>44145</v>
      </c>
      <c r="F39" s="936" t="s">
        <v>3368</v>
      </c>
      <c r="G39" s="937" t="s">
        <v>2589</v>
      </c>
      <c r="H39" s="914">
        <v>44146</v>
      </c>
      <c r="I39" s="1315">
        <v>63263</v>
      </c>
      <c r="J39" s="960" t="s">
        <v>3423</v>
      </c>
      <c r="K39" s="965">
        <v>44147</v>
      </c>
      <c r="L39" s="104" t="s">
        <v>4469</v>
      </c>
      <c r="M39" s="110" t="s">
        <v>4470</v>
      </c>
      <c r="N39" s="104" t="s">
        <v>50</v>
      </c>
      <c r="O39" s="111">
        <v>124000</v>
      </c>
      <c r="P39" s="111">
        <f t="shared" si="61"/>
        <v>8680</v>
      </c>
      <c r="Q39" s="111">
        <f t="shared" si="62"/>
        <v>132680</v>
      </c>
      <c r="R39" s="311"/>
      <c r="S39" s="113"/>
      <c r="T39" s="114">
        <f t="shared" si="63"/>
        <v>124000</v>
      </c>
      <c r="U39" s="115"/>
      <c r="V39" s="1252">
        <f t="shared" si="64"/>
        <v>0</v>
      </c>
      <c r="W39" s="1245"/>
      <c r="X39" s="1246">
        <f t="shared" si="65"/>
        <v>124000</v>
      </c>
      <c r="Y39" s="1247">
        <f t="shared" si="66"/>
        <v>1.75</v>
      </c>
      <c r="Z39" s="1247"/>
      <c r="AA39" s="1265"/>
      <c r="AB39" s="1265">
        <f t="shared" si="67"/>
        <v>0</v>
      </c>
      <c r="AC39" s="119"/>
      <c r="AD39" s="1248">
        <f t="shared" si="68"/>
        <v>0</v>
      </c>
      <c r="AE39" s="123">
        <v>20110297</v>
      </c>
      <c r="AF39" s="1249" t="s">
        <v>3423</v>
      </c>
      <c r="AG39" s="124">
        <v>124000</v>
      </c>
      <c r="AH39" s="260">
        <f t="shared" si="69"/>
        <v>8680</v>
      </c>
      <c r="AI39" s="125">
        <f t="shared" si="70"/>
        <v>132680</v>
      </c>
      <c r="AJ39" s="126">
        <v>44139</v>
      </c>
      <c r="AK39" s="127"/>
      <c r="AL39" s="127"/>
      <c r="AM39" s="127"/>
      <c r="AN39" s="103"/>
      <c r="AO39" s="128">
        <v>1</v>
      </c>
      <c r="AP39" s="129" t="s">
        <v>759</v>
      </c>
      <c r="AQ39" s="130"/>
      <c r="AR39" s="130" t="s">
        <v>3423</v>
      </c>
      <c r="AS39" s="131">
        <v>4</v>
      </c>
      <c r="AT39" s="132" t="s">
        <v>634</v>
      </c>
      <c r="AU39" s="128"/>
      <c r="AV39" s="133"/>
      <c r="AW39" s="128"/>
      <c r="AX39" s="128"/>
      <c r="AY39" s="128"/>
      <c r="AZ39" s="133"/>
      <c r="BA39" s="128"/>
      <c r="BB39" s="133"/>
      <c r="BC39" s="128"/>
      <c r="BD39" s="128"/>
      <c r="BE39" s="128"/>
      <c r="BF39" s="133"/>
      <c r="BG39" s="128"/>
      <c r="BH39" s="133"/>
      <c r="BI39" s="128"/>
      <c r="BJ39" s="128"/>
      <c r="BK39" s="128"/>
      <c r="BL39" s="133"/>
      <c r="BM39" s="128"/>
      <c r="BN39" s="133"/>
      <c r="BO39" s="128"/>
      <c r="BP39" s="128"/>
      <c r="BQ39" s="128"/>
      <c r="BR39" s="133"/>
      <c r="BS39" s="128"/>
      <c r="BT39" s="133"/>
      <c r="BU39" s="128"/>
      <c r="BV39" s="128"/>
      <c r="BW39" s="128"/>
      <c r="BX39" s="133"/>
      <c r="BY39" s="128"/>
      <c r="BZ39" s="133"/>
      <c r="CA39" s="128"/>
      <c r="CB39" s="128"/>
      <c r="CC39" s="128"/>
      <c r="CD39" s="133"/>
      <c r="CE39" s="128"/>
      <c r="CF39" s="133"/>
      <c r="CG39" s="128"/>
      <c r="CH39" s="128"/>
      <c r="CI39" s="128"/>
      <c r="CJ39" s="128"/>
    </row>
    <row r="40" spans="1:88" x14ac:dyDescent="0.5">
      <c r="A40" s="180"/>
      <c r="B40" s="181"/>
      <c r="C40" s="1236"/>
      <c r="D40" s="1237"/>
      <c r="E40" s="749"/>
      <c r="F40" s="938"/>
      <c r="G40" s="939"/>
      <c r="H40" s="749">
        <v>44146</v>
      </c>
      <c r="I40" s="1125">
        <v>63264</v>
      </c>
      <c r="J40" s="961"/>
      <c r="K40" s="200"/>
      <c r="L40" s="181"/>
      <c r="M40" s="188"/>
      <c r="N40" s="181"/>
      <c r="O40" s="189"/>
      <c r="P40" s="189"/>
      <c r="Q40" s="189"/>
      <c r="R40" s="190"/>
      <c r="S40" s="215"/>
      <c r="T40" s="216"/>
      <c r="U40" s="217"/>
      <c r="V40" s="1253"/>
      <c r="W40" s="1238"/>
      <c r="X40" s="1239"/>
      <c r="Y40" s="1240"/>
      <c r="Z40" s="1240"/>
      <c r="AA40" s="1263"/>
      <c r="AB40" s="1263"/>
      <c r="AC40" s="197"/>
      <c r="AD40" s="1241"/>
      <c r="AE40" s="200"/>
      <c r="AF40" s="1242"/>
      <c r="AG40" s="201"/>
      <c r="AH40" s="237"/>
      <c r="AI40" s="202"/>
      <c r="AJ40" s="241"/>
      <c r="AK40" s="199"/>
      <c r="AL40" s="199"/>
      <c r="AM40" s="199"/>
      <c r="AN40" s="180"/>
      <c r="AO40" s="204"/>
      <c r="AP40" s="205"/>
      <c r="AQ40" s="206"/>
      <c r="AR40" s="206"/>
      <c r="AS40" s="207"/>
      <c r="AT40" s="208"/>
      <c r="AU40" s="204"/>
      <c r="AV40" s="210"/>
      <c r="AW40" s="204"/>
      <c r="AX40" s="204"/>
      <c r="AY40" s="204"/>
      <c r="AZ40" s="210"/>
      <c r="BA40" s="204"/>
      <c r="BB40" s="210"/>
      <c r="BC40" s="204"/>
      <c r="BD40" s="204"/>
      <c r="BE40" s="204"/>
      <c r="BF40" s="210"/>
      <c r="BG40" s="204"/>
      <c r="BH40" s="210"/>
      <c r="BI40" s="204"/>
      <c r="BJ40" s="204"/>
      <c r="BK40" s="204"/>
      <c r="BL40" s="210"/>
      <c r="BM40" s="204"/>
      <c r="BN40" s="210"/>
      <c r="BO40" s="204"/>
      <c r="BP40" s="204"/>
      <c r="BQ40" s="204"/>
      <c r="BR40" s="210"/>
      <c r="BS40" s="204"/>
      <c r="BT40" s="210"/>
      <c r="BU40" s="204"/>
      <c r="BV40" s="204"/>
      <c r="BW40" s="204"/>
      <c r="BX40" s="210"/>
      <c r="BY40" s="204"/>
      <c r="BZ40" s="210"/>
      <c r="CA40" s="204"/>
      <c r="CB40" s="204"/>
      <c r="CC40" s="204"/>
      <c r="CD40" s="210"/>
      <c r="CE40" s="204"/>
      <c r="CF40" s="210"/>
      <c r="CG40" s="204"/>
      <c r="CH40" s="204"/>
      <c r="CI40" s="204"/>
      <c r="CJ40" s="204"/>
    </row>
    <row r="41" spans="1:88" x14ac:dyDescent="0.5">
      <c r="A41" s="21">
        <v>20116716</v>
      </c>
      <c r="B41" s="22">
        <v>20110832</v>
      </c>
      <c r="C41" s="55"/>
      <c r="D41" s="56"/>
      <c r="E41" s="910"/>
      <c r="F41" s="932"/>
      <c r="G41" s="933"/>
      <c r="H41" s="831"/>
      <c r="I41" s="1021"/>
      <c r="J41" s="931"/>
      <c r="K41" s="40"/>
      <c r="L41" s="22" t="s">
        <v>2784</v>
      </c>
      <c r="M41" s="28" t="s">
        <v>4474</v>
      </c>
      <c r="N41" s="22" t="s">
        <v>50</v>
      </c>
      <c r="O41" s="29">
        <v>54000</v>
      </c>
      <c r="P41" s="29">
        <f t="shared" ref="P41:P43" si="81">O41*7/100</f>
        <v>3780</v>
      </c>
      <c r="Q41" s="29">
        <f t="shared" ref="Q41:Q43" si="82">O41+P41</f>
        <v>57780</v>
      </c>
      <c r="R41" s="30"/>
      <c r="S41" s="31"/>
      <c r="T41" s="32">
        <f t="shared" ref="T41:T43" si="83">O41-R41</f>
        <v>54000</v>
      </c>
      <c r="U41" s="33"/>
      <c r="V41" s="1251">
        <f t="shared" ref="V41:V43" si="84">T41*U41/100</f>
        <v>0</v>
      </c>
      <c r="W41" s="1231"/>
      <c r="X41" s="1184">
        <f t="shared" ref="X41:X43" si="85">T41-V41</f>
        <v>54000</v>
      </c>
      <c r="Y41" s="1223">
        <f t="shared" ref="Y41:Y43" si="86">SUM((50-W41)/(100)*(2.5)+(0.5))</f>
        <v>1.75</v>
      </c>
      <c r="Z41" s="1223"/>
      <c r="AA41" s="1228"/>
      <c r="AB41" s="1228">
        <f t="shared" ref="AB41:AB43" si="87">X41*AA41/100</f>
        <v>0</v>
      </c>
      <c r="AC41" s="37"/>
      <c r="AD41" s="1234">
        <f t="shared" ref="AD41:AD43" si="88">X41*AC41/100</f>
        <v>0</v>
      </c>
      <c r="AE41" s="40">
        <v>20110292</v>
      </c>
      <c r="AF41" s="1186" t="s">
        <v>1205</v>
      </c>
      <c r="AG41" s="41">
        <v>16200</v>
      </c>
      <c r="AH41" s="63">
        <f t="shared" ref="AH41:AH43" si="89">AG41*7/100</f>
        <v>1134</v>
      </c>
      <c r="AI41" s="52">
        <f t="shared" ref="AI41:AI43" si="90">AG41+AH41</f>
        <v>17334</v>
      </c>
      <c r="AJ41" s="53">
        <v>44137</v>
      </c>
      <c r="AK41" s="39"/>
      <c r="AL41" s="39"/>
      <c r="AM41" s="39"/>
      <c r="AN41" s="1368">
        <v>0.3</v>
      </c>
      <c r="AO41" s="1845">
        <v>1</v>
      </c>
      <c r="AP41" s="45" t="s">
        <v>2344</v>
      </c>
      <c r="AQ41" s="46"/>
      <c r="AR41" s="46"/>
      <c r="AS41" s="47">
        <v>5</v>
      </c>
      <c r="AT41" s="48" t="s">
        <v>1485</v>
      </c>
      <c r="AU41" s="1845">
        <v>2</v>
      </c>
      <c r="AV41" s="40" t="s">
        <v>4475</v>
      </c>
      <c r="AW41" s="47"/>
      <c r="AX41" s="47"/>
      <c r="AY41" s="47">
        <v>6</v>
      </c>
      <c r="AZ41" s="49" t="s">
        <v>1485</v>
      </c>
      <c r="BA41" s="1891"/>
      <c r="BB41" s="54"/>
      <c r="BC41" s="1891"/>
      <c r="BD41" s="1891"/>
      <c r="BE41" s="1891"/>
      <c r="BF41" s="54"/>
      <c r="BG41" s="1891"/>
      <c r="BH41" s="54"/>
      <c r="BI41" s="1891"/>
      <c r="BJ41" s="1891"/>
      <c r="BK41" s="1891"/>
      <c r="BL41" s="54"/>
      <c r="BM41" s="1891"/>
      <c r="BN41" s="54"/>
      <c r="BO41" s="1891"/>
      <c r="BP41" s="1891"/>
      <c r="BQ41" s="1891"/>
      <c r="BR41" s="54"/>
      <c r="BS41" s="1891"/>
      <c r="BT41" s="54"/>
      <c r="BU41" s="1891"/>
      <c r="BV41" s="1891"/>
      <c r="BW41" s="1891"/>
      <c r="BX41" s="54"/>
      <c r="BY41" s="1891"/>
      <c r="BZ41" s="54"/>
      <c r="CA41" s="1891"/>
      <c r="CB41" s="1891"/>
      <c r="CC41" s="1891"/>
      <c r="CD41" s="54"/>
      <c r="CE41" s="1891"/>
      <c r="CF41" s="54"/>
      <c r="CG41" s="1891"/>
      <c r="CH41" s="1891"/>
      <c r="CI41" s="1891"/>
      <c r="CJ41" s="1891"/>
    </row>
    <row r="42" spans="1:88" s="1881" customFormat="1" ht="22.5" thickBot="1" x14ac:dyDescent="0.55000000000000004">
      <c r="A42" s="1858">
        <v>20116715</v>
      </c>
      <c r="B42" s="1859">
        <v>20110831</v>
      </c>
      <c r="C42" s="1860"/>
      <c r="D42" s="1861"/>
      <c r="E42" s="1862"/>
      <c r="F42" s="1863"/>
      <c r="G42" s="1864"/>
      <c r="H42" s="1865"/>
      <c r="I42" s="1866"/>
      <c r="J42" s="1867"/>
      <c r="K42" s="1865"/>
      <c r="L42" s="1859" t="s">
        <v>4246</v>
      </c>
      <c r="M42" s="1868" t="s">
        <v>4442</v>
      </c>
      <c r="N42" s="1859" t="s">
        <v>51</v>
      </c>
      <c r="O42" s="1869">
        <v>3300</v>
      </c>
      <c r="P42" s="1869">
        <f t="shared" si="81"/>
        <v>231</v>
      </c>
      <c r="Q42" s="1869">
        <f t="shared" si="82"/>
        <v>3531</v>
      </c>
      <c r="R42" s="1882"/>
      <c r="S42" s="1883"/>
      <c r="T42" s="1884"/>
      <c r="U42" s="1885"/>
      <c r="V42" s="1886"/>
      <c r="W42" s="1886"/>
      <c r="X42" s="1887"/>
      <c r="Y42" s="1886"/>
      <c r="Z42" s="1886"/>
      <c r="AA42" s="1886"/>
      <c r="AB42" s="1886"/>
      <c r="AC42" s="1887"/>
      <c r="AD42" s="1888"/>
      <c r="AE42" s="1870">
        <v>20110174</v>
      </c>
      <c r="AF42" s="1871" t="s">
        <v>3423</v>
      </c>
      <c r="AG42" s="1872">
        <v>3300</v>
      </c>
      <c r="AH42" s="1873">
        <f t="shared" si="89"/>
        <v>231</v>
      </c>
      <c r="AI42" s="1874">
        <f t="shared" si="90"/>
        <v>3531</v>
      </c>
      <c r="AJ42" s="1892">
        <v>44167</v>
      </c>
      <c r="AK42" s="1875"/>
      <c r="AL42" s="1875"/>
      <c r="AM42" s="1875" t="s">
        <v>3423</v>
      </c>
      <c r="AN42" s="1858"/>
      <c r="AO42" s="1876">
        <v>1</v>
      </c>
      <c r="AP42" s="1877" t="s">
        <v>4443</v>
      </c>
      <c r="AQ42" s="1878"/>
      <c r="AR42" s="1878"/>
      <c r="AS42" s="1879">
        <v>1</v>
      </c>
      <c r="AT42" s="1880" t="s">
        <v>628</v>
      </c>
      <c r="AU42" s="1876"/>
      <c r="AV42" s="1889"/>
      <c r="AW42" s="1876"/>
      <c r="AX42" s="1876"/>
      <c r="AY42" s="1876"/>
      <c r="AZ42" s="1889"/>
      <c r="BA42" s="1876"/>
      <c r="BB42" s="1889"/>
      <c r="BC42" s="1876"/>
      <c r="BD42" s="1876"/>
      <c r="BE42" s="1876"/>
      <c r="BF42" s="1889"/>
      <c r="BG42" s="1876"/>
      <c r="BH42" s="1889"/>
      <c r="BI42" s="1876"/>
      <c r="BJ42" s="1876"/>
      <c r="BK42" s="1876"/>
      <c r="BL42" s="1889"/>
      <c r="BM42" s="1876"/>
      <c r="BN42" s="1889"/>
      <c r="BO42" s="1876"/>
      <c r="BP42" s="1876"/>
      <c r="BQ42" s="1876"/>
      <c r="BR42" s="1889"/>
      <c r="BS42" s="1876"/>
      <c r="BT42" s="1889"/>
      <c r="BU42" s="1876"/>
      <c r="BV42" s="1876"/>
      <c r="BW42" s="1876"/>
      <c r="BX42" s="1889"/>
      <c r="BY42" s="1876"/>
      <c r="BZ42" s="1889"/>
      <c r="CA42" s="1876"/>
      <c r="CB42" s="1876"/>
      <c r="CC42" s="1876"/>
      <c r="CD42" s="1889"/>
      <c r="CE42" s="1876"/>
      <c r="CF42" s="1889"/>
      <c r="CG42" s="1876"/>
      <c r="CH42" s="1876"/>
      <c r="CI42" s="1876"/>
      <c r="CJ42" s="1876"/>
    </row>
    <row r="43" spans="1:88" ht="22.5" thickTop="1" x14ac:dyDescent="0.5">
      <c r="A43" s="180">
        <v>20106714</v>
      </c>
      <c r="B43" s="181">
        <v>20100828</v>
      </c>
      <c r="C43" s="1236" t="s">
        <v>2622</v>
      </c>
      <c r="D43" s="1237" t="s">
        <v>2691</v>
      </c>
      <c r="E43" s="749">
        <v>44145</v>
      </c>
      <c r="F43" s="938"/>
      <c r="G43" s="939"/>
      <c r="H43" s="304"/>
      <c r="I43" s="1125"/>
      <c r="J43" s="961"/>
      <c r="K43" s="200"/>
      <c r="L43" s="181" t="s">
        <v>165</v>
      </c>
      <c r="M43" s="188" t="s">
        <v>4444</v>
      </c>
      <c r="N43" s="181" t="s">
        <v>1523</v>
      </c>
      <c r="O43" s="189">
        <v>184455</v>
      </c>
      <c r="P43" s="189">
        <f t="shared" si="81"/>
        <v>12911.85</v>
      </c>
      <c r="Q43" s="189">
        <f t="shared" si="82"/>
        <v>197366.85</v>
      </c>
      <c r="R43" s="214"/>
      <c r="S43" s="215"/>
      <c r="T43" s="216">
        <f t="shared" si="83"/>
        <v>184455</v>
      </c>
      <c r="U43" s="217"/>
      <c r="V43" s="1253">
        <f t="shared" si="84"/>
        <v>0</v>
      </c>
      <c r="W43" s="1238"/>
      <c r="X43" s="1239">
        <f t="shared" si="85"/>
        <v>184455</v>
      </c>
      <c r="Y43" s="1240">
        <f t="shared" si="86"/>
        <v>1.75</v>
      </c>
      <c r="Z43" s="1240"/>
      <c r="AA43" s="1263"/>
      <c r="AB43" s="1263">
        <f t="shared" si="87"/>
        <v>0</v>
      </c>
      <c r="AC43" s="197"/>
      <c r="AD43" s="1241">
        <f t="shared" si="88"/>
        <v>0</v>
      </c>
      <c r="AE43" s="200"/>
      <c r="AF43" s="1242"/>
      <c r="AG43" s="201"/>
      <c r="AH43" s="237">
        <f t="shared" si="89"/>
        <v>0</v>
      </c>
      <c r="AI43" s="202">
        <f t="shared" si="90"/>
        <v>0</v>
      </c>
      <c r="AJ43" s="241"/>
      <c r="AK43" s="199"/>
      <c r="AL43" s="199"/>
      <c r="AM43" s="199"/>
      <c r="AN43" s="180"/>
      <c r="AO43" s="204">
        <v>1</v>
      </c>
      <c r="AP43" s="205" t="s">
        <v>815</v>
      </c>
      <c r="AQ43" s="206"/>
      <c r="AR43" s="206" t="s">
        <v>3423</v>
      </c>
      <c r="AS43" s="207">
        <v>1</v>
      </c>
      <c r="AT43" s="208" t="s">
        <v>636</v>
      </c>
      <c r="AU43" s="204"/>
      <c r="AV43" s="210"/>
      <c r="AW43" s="204"/>
      <c r="AX43" s="204"/>
      <c r="AY43" s="204"/>
      <c r="AZ43" s="210"/>
      <c r="BA43" s="204"/>
      <c r="BB43" s="210"/>
      <c r="BC43" s="204"/>
      <c r="BD43" s="204"/>
      <c r="BE43" s="204"/>
      <c r="BF43" s="210"/>
      <c r="BG43" s="204"/>
      <c r="BH43" s="210"/>
      <c r="BI43" s="204"/>
      <c r="BJ43" s="204"/>
      <c r="BK43" s="204"/>
      <c r="BL43" s="210"/>
      <c r="BM43" s="204"/>
      <c r="BN43" s="210"/>
      <c r="BO43" s="204"/>
      <c r="BP43" s="204"/>
      <c r="BQ43" s="204"/>
      <c r="BR43" s="210"/>
      <c r="BS43" s="204"/>
      <c r="BT43" s="210"/>
      <c r="BU43" s="204"/>
      <c r="BV43" s="204"/>
      <c r="BW43" s="204"/>
      <c r="BX43" s="210"/>
      <c r="BY43" s="204"/>
      <c r="BZ43" s="210"/>
      <c r="CA43" s="204"/>
      <c r="CB43" s="204"/>
      <c r="CC43" s="204"/>
      <c r="CD43" s="210"/>
      <c r="CE43" s="204"/>
      <c r="CF43" s="210"/>
      <c r="CG43" s="204"/>
      <c r="CH43" s="204"/>
      <c r="CI43" s="204"/>
      <c r="CJ43" s="204"/>
    </row>
    <row r="44" spans="1:88" x14ac:dyDescent="0.5">
      <c r="A44" s="21">
        <v>20106713</v>
      </c>
      <c r="B44" s="22">
        <v>20100824</v>
      </c>
      <c r="C44" s="55"/>
      <c r="D44" s="56"/>
      <c r="E44" s="910"/>
      <c r="F44" s="57"/>
      <c r="G44" s="58"/>
      <c r="H44" s="59"/>
      <c r="I44" s="60"/>
      <c r="J44" s="269"/>
      <c r="K44" s="59"/>
      <c r="L44" s="22" t="s">
        <v>4423</v>
      </c>
      <c r="M44" s="28" t="s">
        <v>4424</v>
      </c>
      <c r="N44" s="22" t="s">
        <v>51</v>
      </c>
      <c r="O44" s="29">
        <v>80000</v>
      </c>
      <c r="P44" s="29">
        <f t="shared" si="61"/>
        <v>5600</v>
      </c>
      <c r="Q44" s="29">
        <f t="shared" si="62"/>
        <v>85600</v>
      </c>
      <c r="R44" s="61"/>
      <c r="S44" s="96"/>
      <c r="T44" s="97"/>
      <c r="U44" s="98"/>
      <c r="V44" s="1225"/>
      <c r="W44" s="1225"/>
      <c r="X44" s="100"/>
      <c r="Y44" s="1225"/>
      <c r="Z44" s="1225"/>
      <c r="AA44" s="1225"/>
      <c r="AB44" s="1225"/>
      <c r="AC44" s="100"/>
      <c r="AD44" s="595"/>
      <c r="AE44" s="40">
        <v>20110295</v>
      </c>
      <c r="AF44" s="1186" t="s">
        <v>3423</v>
      </c>
      <c r="AG44" s="41">
        <v>80000</v>
      </c>
      <c r="AH44" s="63">
        <f t="shared" si="69"/>
        <v>5600</v>
      </c>
      <c r="AI44" s="52">
        <f t="shared" si="70"/>
        <v>85600</v>
      </c>
      <c r="AJ44" s="53">
        <v>44167</v>
      </c>
      <c r="AK44" s="39"/>
      <c r="AL44" s="39"/>
      <c r="AM44" s="39" t="s">
        <v>3423</v>
      </c>
      <c r="AN44" s="21"/>
      <c r="AO44" s="1845">
        <v>1</v>
      </c>
      <c r="AP44" s="45" t="s">
        <v>4425</v>
      </c>
      <c r="AQ44" s="46"/>
      <c r="AR44" s="46"/>
      <c r="AS44" s="47">
        <v>10</v>
      </c>
      <c r="AT44" s="48" t="s">
        <v>4426</v>
      </c>
      <c r="AU44" s="1845"/>
      <c r="AV44" s="54"/>
      <c r="AW44" s="1845"/>
      <c r="AX44" s="1845"/>
      <c r="AY44" s="1845"/>
      <c r="AZ44" s="54"/>
      <c r="BA44" s="1845"/>
      <c r="BB44" s="54"/>
      <c r="BC44" s="1845"/>
      <c r="BD44" s="1845"/>
      <c r="BE44" s="1845"/>
      <c r="BF44" s="54"/>
      <c r="BG44" s="1845"/>
      <c r="BH44" s="54"/>
      <c r="BI44" s="1845"/>
      <c r="BJ44" s="1845"/>
      <c r="BK44" s="1845"/>
      <c r="BL44" s="54"/>
      <c r="BM44" s="1845"/>
      <c r="BN44" s="54"/>
      <c r="BO44" s="1845"/>
      <c r="BP44" s="1845"/>
      <c r="BQ44" s="1845"/>
      <c r="BR44" s="54"/>
      <c r="BS44" s="1845"/>
      <c r="BT44" s="54"/>
      <c r="BU44" s="1845"/>
      <c r="BV44" s="1845"/>
      <c r="BW44" s="1845"/>
      <c r="BX44" s="54"/>
      <c r="BY44" s="1845"/>
      <c r="BZ44" s="54"/>
      <c r="CA44" s="1845"/>
      <c r="CB44" s="1845"/>
      <c r="CC44" s="1845"/>
      <c r="CD44" s="54"/>
      <c r="CE44" s="1845"/>
      <c r="CF44" s="54"/>
      <c r="CG44" s="1845"/>
      <c r="CH44" s="1845"/>
      <c r="CI44" s="1845"/>
      <c r="CJ44" s="1845"/>
    </row>
    <row r="45" spans="1:88" x14ac:dyDescent="0.5">
      <c r="A45" s="21">
        <v>20106712</v>
      </c>
      <c r="B45" s="22">
        <v>20100823</v>
      </c>
      <c r="C45" s="55"/>
      <c r="D45" s="56"/>
      <c r="E45" s="910"/>
      <c r="F45" s="57"/>
      <c r="G45" s="58"/>
      <c r="H45" s="59"/>
      <c r="I45" s="60"/>
      <c r="J45" s="269"/>
      <c r="K45" s="59"/>
      <c r="L45" s="22" t="s">
        <v>4427</v>
      </c>
      <c r="M45" s="28" t="s">
        <v>344</v>
      </c>
      <c r="N45" s="22" t="s">
        <v>51</v>
      </c>
      <c r="O45" s="29">
        <v>76000</v>
      </c>
      <c r="P45" s="29">
        <f t="shared" ref="P45:P57" si="91">O45*7/100</f>
        <v>5320</v>
      </c>
      <c r="Q45" s="29">
        <f t="shared" ref="Q45:Q57" si="92">O45+P45</f>
        <v>81320</v>
      </c>
      <c r="R45" s="61"/>
      <c r="S45" s="96"/>
      <c r="T45" s="97"/>
      <c r="U45" s="98"/>
      <c r="V45" s="1225"/>
      <c r="W45" s="1225"/>
      <c r="X45" s="100"/>
      <c r="Y45" s="1225"/>
      <c r="Z45" s="1225"/>
      <c r="AA45" s="1225"/>
      <c r="AB45" s="1225"/>
      <c r="AC45" s="100"/>
      <c r="AD45" s="595"/>
      <c r="AE45" s="40">
        <v>20110296</v>
      </c>
      <c r="AF45" s="1186" t="s">
        <v>3423</v>
      </c>
      <c r="AG45" s="41">
        <v>76000</v>
      </c>
      <c r="AH45" s="63">
        <f t="shared" ref="AH45:AH57" si="93">AG45*7/100</f>
        <v>5320</v>
      </c>
      <c r="AI45" s="52">
        <f t="shared" ref="AI45:AI57" si="94">AG45+AH45</f>
        <v>81320</v>
      </c>
      <c r="AJ45" s="53">
        <v>44170</v>
      </c>
      <c r="AK45" s="39"/>
      <c r="AL45" s="39"/>
      <c r="AM45" s="39" t="s">
        <v>3423</v>
      </c>
      <c r="AN45" s="21"/>
      <c r="AO45" s="1842">
        <v>1</v>
      </c>
      <c r="AP45" s="45" t="s">
        <v>4428</v>
      </c>
      <c r="AQ45" s="46"/>
      <c r="AR45" s="46"/>
      <c r="AS45" s="47">
        <v>1</v>
      </c>
      <c r="AT45" s="48" t="s">
        <v>628</v>
      </c>
      <c r="AU45" s="1842">
        <v>2</v>
      </c>
      <c r="AV45" s="40" t="s">
        <v>4429</v>
      </c>
      <c r="AW45" s="47"/>
      <c r="AX45" s="47"/>
      <c r="AY45" s="47">
        <v>1</v>
      </c>
      <c r="AZ45" s="49" t="s">
        <v>628</v>
      </c>
      <c r="BA45" s="1842">
        <v>3</v>
      </c>
      <c r="BB45" s="40" t="s">
        <v>4430</v>
      </c>
      <c r="BC45" s="47"/>
      <c r="BD45" s="47"/>
      <c r="BE45" s="47">
        <v>1</v>
      </c>
      <c r="BF45" s="49" t="s">
        <v>628</v>
      </c>
      <c r="BG45" s="1845"/>
      <c r="BH45" s="54"/>
      <c r="BI45" s="1845"/>
      <c r="BJ45" s="1845"/>
      <c r="BK45" s="1845"/>
      <c r="BL45" s="54"/>
      <c r="BM45" s="1845"/>
      <c r="BN45" s="54"/>
      <c r="BO45" s="1845"/>
      <c r="BP45" s="1845"/>
      <c r="BQ45" s="1845"/>
      <c r="BR45" s="54"/>
      <c r="BS45" s="1845"/>
      <c r="BT45" s="54"/>
      <c r="BU45" s="1845"/>
      <c r="BV45" s="1845"/>
      <c r="BW45" s="1845"/>
      <c r="BX45" s="54"/>
      <c r="BY45" s="1845"/>
      <c r="BZ45" s="54"/>
      <c r="CA45" s="1845"/>
      <c r="CB45" s="1845"/>
      <c r="CC45" s="1845"/>
      <c r="CD45" s="54"/>
      <c r="CE45" s="1845"/>
      <c r="CF45" s="54"/>
      <c r="CG45" s="1845"/>
      <c r="CH45" s="1845"/>
      <c r="CI45" s="1845"/>
      <c r="CJ45" s="1845"/>
    </row>
    <row r="46" spans="1:88" x14ac:dyDescent="0.5">
      <c r="A46" s="103">
        <v>20106711</v>
      </c>
      <c r="B46" s="104">
        <v>20100822</v>
      </c>
      <c r="C46" s="1243" t="s">
        <v>2604</v>
      </c>
      <c r="D46" s="1244" t="s">
        <v>2691</v>
      </c>
      <c r="E46" s="302">
        <v>44138</v>
      </c>
      <c r="F46" s="936" t="s">
        <v>3368</v>
      </c>
      <c r="G46" s="937" t="s">
        <v>2582</v>
      </c>
      <c r="H46" s="302">
        <v>44140</v>
      </c>
      <c r="I46" s="1124">
        <v>63261</v>
      </c>
      <c r="J46" s="960" t="s">
        <v>3423</v>
      </c>
      <c r="K46" s="965">
        <v>44141</v>
      </c>
      <c r="L46" s="104" t="s">
        <v>4419</v>
      </c>
      <c r="M46" s="110" t="s">
        <v>4431</v>
      </c>
      <c r="N46" s="104" t="s">
        <v>52</v>
      </c>
      <c r="O46" s="111">
        <v>86000</v>
      </c>
      <c r="P46" s="111">
        <f t="shared" si="91"/>
        <v>6020</v>
      </c>
      <c r="Q46" s="111">
        <f t="shared" si="92"/>
        <v>92020</v>
      </c>
      <c r="R46" s="212"/>
      <c r="S46" s="113" t="s">
        <v>4433</v>
      </c>
      <c r="T46" s="114">
        <f t="shared" ref="T46:T57" si="95">O46-R46</f>
        <v>86000</v>
      </c>
      <c r="U46" s="115">
        <v>5</v>
      </c>
      <c r="V46" s="1252">
        <f t="shared" ref="V46:V57" si="96">T46*U46/100</f>
        <v>4300</v>
      </c>
      <c r="W46" s="1245">
        <v>60.75</v>
      </c>
      <c r="X46" s="1246">
        <f t="shared" ref="X46:X57" si="97">T46-V46</f>
        <v>81700</v>
      </c>
      <c r="Y46" s="1247">
        <f t="shared" ref="Y46:Y57" si="98">SUM((50-W46)/(100)*(2.5)+(0.5))</f>
        <v>0.23125000000000001</v>
      </c>
      <c r="Z46" s="1247">
        <f>81700*0.23/100</f>
        <v>187.91</v>
      </c>
      <c r="AA46" s="1265"/>
      <c r="AB46" s="1265">
        <f t="shared" ref="AB46:AB57" si="99">X46*AA46/100</f>
        <v>0</v>
      </c>
      <c r="AC46" s="119">
        <v>0.2</v>
      </c>
      <c r="AD46" s="1248">
        <f t="shared" ref="AD46:AD57" si="100">X46*AC46/100</f>
        <v>163.4</v>
      </c>
      <c r="AE46" s="229">
        <v>20100285</v>
      </c>
      <c r="AF46" s="1313"/>
      <c r="AG46" s="230">
        <v>25800</v>
      </c>
      <c r="AH46" s="233">
        <f t="shared" si="93"/>
        <v>1806</v>
      </c>
      <c r="AI46" s="220">
        <f t="shared" si="94"/>
        <v>27606</v>
      </c>
      <c r="AJ46" s="221">
        <v>44130</v>
      </c>
      <c r="AK46" s="121" t="s">
        <v>3423</v>
      </c>
      <c r="AL46" s="121"/>
      <c r="AM46" s="121"/>
      <c r="AN46" s="222" t="s">
        <v>4420</v>
      </c>
      <c r="AO46" s="128">
        <v>1</v>
      </c>
      <c r="AP46" s="129" t="s">
        <v>838</v>
      </c>
      <c r="AQ46" s="130"/>
      <c r="AR46" s="130" t="s">
        <v>3423</v>
      </c>
      <c r="AS46" s="131">
        <v>2</v>
      </c>
      <c r="AT46" s="132" t="s">
        <v>634</v>
      </c>
      <c r="AU46" s="128"/>
      <c r="AV46" s="133"/>
      <c r="AW46" s="128"/>
      <c r="AX46" s="128"/>
      <c r="AY46" s="128"/>
      <c r="AZ46" s="133"/>
      <c r="BA46" s="128"/>
      <c r="BB46" s="133"/>
      <c r="BC46" s="128"/>
      <c r="BD46" s="128"/>
      <c r="BE46" s="128"/>
      <c r="BF46" s="133"/>
      <c r="BG46" s="128"/>
      <c r="BH46" s="133"/>
      <c r="BI46" s="128"/>
      <c r="BJ46" s="128"/>
      <c r="BK46" s="128"/>
      <c r="BL46" s="133"/>
      <c r="BM46" s="128"/>
      <c r="BN46" s="133"/>
      <c r="BO46" s="128"/>
      <c r="BP46" s="128"/>
      <c r="BQ46" s="128"/>
      <c r="BR46" s="133"/>
      <c r="BS46" s="128"/>
      <c r="BT46" s="133"/>
      <c r="BU46" s="128"/>
      <c r="BV46" s="128"/>
      <c r="BW46" s="128"/>
      <c r="BX46" s="133"/>
      <c r="BY46" s="128"/>
      <c r="BZ46" s="133"/>
      <c r="CA46" s="128"/>
      <c r="CB46" s="128"/>
      <c r="CC46" s="128"/>
      <c r="CD46" s="133"/>
      <c r="CE46" s="128"/>
      <c r="CF46" s="133"/>
      <c r="CG46" s="128"/>
      <c r="CH46" s="128"/>
      <c r="CI46" s="128"/>
      <c r="CJ46" s="128"/>
    </row>
    <row r="47" spans="1:88" x14ac:dyDescent="0.5">
      <c r="A47" s="180"/>
      <c r="B47" s="181"/>
      <c r="C47" s="1236"/>
      <c r="D47" s="1237"/>
      <c r="E47" s="749"/>
      <c r="F47" s="938"/>
      <c r="G47" s="939"/>
      <c r="H47" s="749"/>
      <c r="I47" s="1125"/>
      <c r="J47" s="961"/>
      <c r="K47" s="966"/>
      <c r="L47" s="181"/>
      <c r="M47" s="188"/>
      <c r="N47" s="181"/>
      <c r="O47" s="189"/>
      <c r="P47" s="189"/>
      <c r="Q47" s="189"/>
      <c r="R47" s="214"/>
      <c r="S47" s="215"/>
      <c r="T47" s="216"/>
      <c r="U47" s="217"/>
      <c r="V47" s="1253"/>
      <c r="W47" s="1238"/>
      <c r="X47" s="1239"/>
      <c r="Y47" s="1240"/>
      <c r="Z47" s="1240"/>
      <c r="AA47" s="1263"/>
      <c r="AB47" s="1263"/>
      <c r="AC47" s="197"/>
      <c r="AD47" s="1241"/>
      <c r="AE47" s="200">
        <v>20110294</v>
      </c>
      <c r="AF47" s="1242" t="s">
        <v>3423</v>
      </c>
      <c r="AG47" s="201">
        <v>60200</v>
      </c>
      <c r="AH47" s="237">
        <f>AG47*7/100</f>
        <v>4214</v>
      </c>
      <c r="AI47" s="202">
        <f t="shared" si="94"/>
        <v>64414</v>
      </c>
      <c r="AJ47" s="203">
        <v>44137</v>
      </c>
      <c r="AK47" s="199"/>
      <c r="AL47" s="199"/>
      <c r="AM47" s="199"/>
      <c r="AN47" s="843">
        <v>0.7</v>
      </c>
      <c r="AO47" s="204"/>
      <c r="AP47" s="205"/>
      <c r="AQ47" s="206"/>
      <c r="AR47" s="206"/>
      <c r="AS47" s="207"/>
      <c r="AT47" s="208"/>
      <c r="AU47" s="204"/>
      <c r="AV47" s="210"/>
      <c r="AW47" s="204"/>
      <c r="AX47" s="204"/>
      <c r="AY47" s="204"/>
      <c r="AZ47" s="210"/>
      <c r="BA47" s="204"/>
      <c r="BB47" s="210"/>
      <c r="BC47" s="204"/>
      <c r="BD47" s="204"/>
      <c r="BE47" s="204"/>
      <c r="BF47" s="210"/>
      <c r="BG47" s="204"/>
      <c r="BH47" s="210"/>
      <c r="BI47" s="204"/>
      <c r="BJ47" s="204"/>
      <c r="BK47" s="204"/>
      <c r="BL47" s="210"/>
      <c r="BM47" s="204"/>
      <c r="BN47" s="210"/>
      <c r="BO47" s="204"/>
      <c r="BP47" s="204"/>
      <c r="BQ47" s="204"/>
      <c r="BR47" s="210"/>
      <c r="BS47" s="204"/>
      <c r="BT47" s="210"/>
      <c r="BU47" s="204"/>
      <c r="BV47" s="204"/>
      <c r="BW47" s="204"/>
      <c r="BX47" s="210"/>
      <c r="BY47" s="204"/>
      <c r="BZ47" s="210"/>
      <c r="CA47" s="204"/>
      <c r="CB47" s="204"/>
      <c r="CC47" s="204"/>
      <c r="CD47" s="210"/>
      <c r="CE47" s="204"/>
      <c r="CF47" s="210"/>
      <c r="CG47" s="204"/>
      <c r="CH47" s="204"/>
      <c r="CI47" s="204"/>
      <c r="CJ47" s="204"/>
    </row>
    <row r="48" spans="1:88" x14ac:dyDescent="0.5">
      <c r="A48" s="21">
        <v>20106710</v>
      </c>
      <c r="B48" s="22">
        <v>20100821</v>
      </c>
      <c r="C48" s="1019" t="s">
        <v>2606</v>
      </c>
      <c r="D48" s="1020" t="s">
        <v>2691</v>
      </c>
      <c r="E48" s="884">
        <v>44138</v>
      </c>
      <c r="F48" s="932" t="s">
        <v>3368</v>
      </c>
      <c r="G48" s="933" t="s">
        <v>2654</v>
      </c>
      <c r="H48" s="884">
        <v>44160</v>
      </c>
      <c r="I48" s="1021">
        <v>63275</v>
      </c>
      <c r="J48" s="931" t="s">
        <v>3423</v>
      </c>
      <c r="K48" s="957">
        <v>44162</v>
      </c>
      <c r="L48" s="22" t="s">
        <v>167</v>
      </c>
      <c r="M48" s="28" t="s">
        <v>4432</v>
      </c>
      <c r="N48" s="22" t="s">
        <v>1523</v>
      </c>
      <c r="O48" s="29">
        <v>146700</v>
      </c>
      <c r="P48" s="29">
        <f t="shared" ref="P48:P56" si="101">O48*7/100</f>
        <v>10269</v>
      </c>
      <c r="Q48" s="29">
        <f t="shared" ref="Q48:Q56" si="102">O48+P48</f>
        <v>156969</v>
      </c>
      <c r="R48" s="61"/>
      <c r="S48" s="31" t="s">
        <v>3414</v>
      </c>
      <c r="T48" s="32">
        <f t="shared" ref="T48:T56" si="103">O48-R48</f>
        <v>146700</v>
      </c>
      <c r="U48" s="33">
        <v>5</v>
      </c>
      <c r="V48" s="1251">
        <f t="shared" ref="V48:V56" si="104">T48*U48/100</f>
        <v>7335</v>
      </c>
      <c r="W48" s="1231">
        <v>51.12</v>
      </c>
      <c r="X48" s="1184">
        <f t="shared" ref="X48:X56" si="105">T48-V48</f>
        <v>139365</v>
      </c>
      <c r="Y48" s="1223">
        <f t="shared" ref="Y48:Y56" si="106">SUM((50-W48)/(100)*(2.5)+(0.5))</f>
        <v>0.47200000000000009</v>
      </c>
      <c r="Z48" s="1223">
        <f>139365*0.47/100</f>
        <v>655.01549999999997</v>
      </c>
      <c r="AA48" s="1228"/>
      <c r="AB48" s="1228">
        <f t="shared" ref="AB48:AB56" si="107">X48*AA48/100</f>
        <v>0</v>
      </c>
      <c r="AC48" s="37">
        <v>0.2</v>
      </c>
      <c r="AD48" s="1234">
        <f t="shared" ref="AD48:AD56" si="108">X48*AC48/100</f>
        <v>278.73</v>
      </c>
      <c r="AE48" s="40">
        <v>20120319</v>
      </c>
      <c r="AF48" s="1186" t="s">
        <v>3423</v>
      </c>
      <c r="AG48" s="41">
        <v>146700</v>
      </c>
      <c r="AH48" s="63">
        <f t="shared" ref="AH48:AH56" si="109">AG48*7/100</f>
        <v>10269</v>
      </c>
      <c r="AI48" s="52">
        <f t="shared" ref="AI48:AI56" si="110">AG48+AH48</f>
        <v>156969</v>
      </c>
      <c r="AJ48" s="53">
        <v>44198</v>
      </c>
      <c r="AK48" s="39"/>
      <c r="AL48" s="39"/>
      <c r="AM48" s="39" t="s">
        <v>3423</v>
      </c>
      <c r="AN48" s="21" t="s">
        <v>4514</v>
      </c>
      <c r="AO48" s="1842">
        <v>1</v>
      </c>
      <c r="AP48" s="45" t="s">
        <v>710</v>
      </c>
      <c r="AQ48" s="46"/>
      <c r="AR48" s="46" t="s">
        <v>3423</v>
      </c>
      <c r="AS48" s="47">
        <v>1</v>
      </c>
      <c r="AT48" s="48" t="s">
        <v>634</v>
      </c>
      <c r="AU48" s="1845"/>
      <c r="AV48" s="54"/>
      <c r="AW48" s="1845"/>
      <c r="AX48" s="1845"/>
      <c r="AY48" s="1845"/>
      <c r="AZ48" s="54"/>
      <c r="BA48" s="1845"/>
      <c r="BB48" s="54"/>
      <c r="BC48" s="1845"/>
      <c r="BD48" s="1845"/>
      <c r="BE48" s="1845"/>
      <c r="BF48" s="54"/>
      <c r="BG48" s="1845"/>
      <c r="BH48" s="54"/>
      <c r="BI48" s="1845"/>
      <c r="BJ48" s="1845"/>
      <c r="BK48" s="1845"/>
      <c r="BL48" s="54"/>
      <c r="BM48" s="1845"/>
      <c r="BN48" s="54"/>
      <c r="BO48" s="1845"/>
      <c r="BP48" s="1845"/>
      <c r="BQ48" s="1845"/>
      <c r="BR48" s="54"/>
      <c r="BS48" s="1845"/>
      <c r="BT48" s="54"/>
      <c r="BU48" s="1845"/>
      <c r="BV48" s="1845"/>
      <c r="BW48" s="1845"/>
      <c r="BX48" s="54"/>
      <c r="BY48" s="1845"/>
      <c r="BZ48" s="54"/>
      <c r="CA48" s="1845"/>
      <c r="CB48" s="1845"/>
      <c r="CC48" s="1845"/>
      <c r="CD48" s="54"/>
      <c r="CE48" s="1845"/>
      <c r="CF48" s="54"/>
      <c r="CG48" s="1845"/>
      <c r="CH48" s="1845"/>
      <c r="CI48" s="1845"/>
      <c r="CJ48" s="1845"/>
    </row>
    <row r="49" spans="1:88" x14ac:dyDescent="0.5">
      <c r="A49" s="21">
        <v>20106709</v>
      </c>
      <c r="B49" s="22">
        <v>20100818</v>
      </c>
      <c r="C49" s="1019" t="s">
        <v>2650</v>
      </c>
      <c r="D49" s="1020" t="s">
        <v>2691</v>
      </c>
      <c r="E49" s="884">
        <v>44126</v>
      </c>
      <c r="F49" s="932" t="s">
        <v>3368</v>
      </c>
      <c r="G49" s="933" t="s">
        <v>2502</v>
      </c>
      <c r="H49" s="884">
        <v>44126</v>
      </c>
      <c r="I49" s="1021">
        <v>63253</v>
      </c>
      <c r="J49" s="931" t="s">
        <v>3423</v>
      </c>
      <c r="K49" s="957">
        <v>44126</v>
      </c>
      <c r="L49" s="22" t="s">
        <v>2436</v>
      </c>
      <c r="M49" s="28" t="s">
        <v>4391</v>
      </c>
      <c r="N49" s="22" t="s">
        <v>52</v>
      </c>
      <c r="O49" s="29">
        <v>18000</v>
      </c>
      <c r="P49" s="29">
        <f t="shared" si="101"/>
        <v>1260</v>
      </c>
      <c r="Q49" s="29">
        <f t="shared" si="102"/>
        <v>19260</v>
      </c>
      <c r="R49" s="61"/>
      <c r="S49" s="96"/>
      <c r="T49" s="97"/>
      <c r="U49" s="98"/>
      <c r="V49" s="1225"/>
      <c r="W49" s="1231">
        <v>60.43</v>
      </c>
      <c r="X49" s="1184">
        <f>O49</f>
        <v>18000</v>
      </c>
      <c r="Y49" s="1223">
        <f t="shared" si="106"/>
        <v>0.23924999999999996</v>
      </c>
      <c r="Z49" s="1223">
        <f>18000*0.24/100</f>
        <v>43.2</v>
      </c>
      <c r="AA49" s="1228"/>
      <c r="AB49" s="1228">
        <f t="shared" si="107"/>
        <v>0</v>
      </c>
      <c r="AC49" s="37">
        <v>0.2</v>
      </c>
      <c r="AD49" s="1234">
        <f t="shared" si="108"/>
        <v>36</v>
      </c>
      <c r="AE49" s="40">
        <v>20100276</v>
      </c>
      <c r="AF49" s="1186" t="s">
        <v>3423</v>
      </c>
      <c r="AG49" s="41">
        <v>18000</v>
      </c>
      <c r="AH49" s="63">
        <f t="shared" si="109"/>
        <v>1260</v>
      </c>
      <c r="AI49" s="52">
        <f t="shared" si="110"/>
        <v>19260</v>
      </c>
      <c r="AJ49" s="53">
        <v>44124</v>
      </c>
      <c r="AK49" s="39"/>
      <c r="AL49" s="39"/>
      <c r="AM49" s="39"/>
      <c r="AN49" s="21"/>
      <c r="AO49" s="1842">
        <v>1</v>
      </c>
      <c r="AP49" s="45" t="s">
        <v>4392</v>
      </c>
      <c r="AQ49" s="46"/>
      <c r="AR49" s="46" t="s">
        <v>3423</v>
      </c>
      <c r="AS49" s="47">
        <v>1</v>
      </c>
      <c r="AT49" s="48" t="s">
        <v>634</v>
      </c>
      <c r="AU49" s="1843"/>
      <c r="AV49" s="54"/>
      <c r="AW49" s="1843"/>
      <c r="AX49" s="1843"/>
      <c r="AY49" s="1843"/>
      <c r="AZ49" s="54"/>
      <c r="BA49" s="1843"/>
      <c r="BB49" s="54"/>
      <c r="BC49" s="1843"/>
      <c r="BD49" s="1843"/>
      <c r="BE49" s="1843"/>
      <c r="BF49" s="54"/>
      <c r="BG49" s="1843"/>
      <c r="BH49" s="54"/>
      <c r="BI49" s="1843"/>
      <c r="BJ49" s="1843"/>
      <c r="BK49" s="1843"/>
      <c r="BL49" s="54"/>
      <c r="BM49" s="1843"/>
      <c r="BN49" s="54"/>
      <c r="BO49" s="1843"/>
      <c r="BP49" s="1843"/>
      <c r="BQ49" s="1843"/>
      <c r="BR49" s="54"/>
      <c r="BS49" s="1843"/>
      <c r="BT49" s="54"/>
      <c r="BU49" s="1843"/>
      <c r="BV49" s="1843"/>
      <c r="BW49" s="1843"/>
      <c r="BX49" s="54"/>
      <c r="BY49" s="1843"/>
      <c r="BZ49" s="54"/>
      <c r="CA49" s="1843"/>
      <c r="CB49" s="1843"/>
      <c r="CC49" s="1843"/>
      <c r="CD49" s="54"/>
      <c r="CE49" s="1843"/>
      <c r="CF49" s="54"/>
      <c r="CG49" s="1843"/>
      <c r="CH49" s="1843"/>
      <c r="CI49" s="1843"/>
      <c r="CJ49" s="1843"/>
    </row>
    <row r="50" spans="1:88" x14ac:dyDescent="0.5">
      <c r="A50" s="21">
        <v>20106708</v>
      </c>
      <c r="B50" s="22">
        <v>20100820</v>
      </c>
      <c r="C50" s="55"/>
      <c r="D50" s="56"/>
      <c r="E50" s="910"/>
      <c r="F50" s="57"/>
      <c r="G50" s="58"/>
      <c r="H50" s="59"/>
      <c r="I50" s="60"/>
      <c r="J50" s="269"/>
      <c r="K50" s="59"/>
      <c r="L50" s="22" t="s">
        <v>4385</v>
      </c>
      <c r="M50" s="28" t="s">
        <v>4386</v>
      </c>
      <c r="N50" s="22" t="s">
        <v>51</v>
      </c>
      <c r="O50" s="29">
        <v>7100</v>
      </c>
      <c r="P50" s="29">
        <f t="shared" si="101"/>
        <v>497</v>
      </c>
      <c r="Q50" s="29">
        <f t="shared" si="102"/>
        <v>7597</v>
      </c>
      <c r="R50" s="61"/>
      <c r="S50" s="96"/>
      <c r="T50" s="97"/>
      <c r="U50" s="98"/>
      <c r="V50" s="1225"/>
      <c r="W50" s="1225"/>
      <c r="X50" s="100"/>
      <c r="Y50" s="1225"/>
      <c r="Z50" s="1225"/>
      <c r="AA50" s="1225"/>
      <c r="AB50" s="1225"/>
      <c r="AC50" s="100"/>
      <c r="AD50" s="595"/>
      <c r="AE50" s="40">
        <v>20100280</v>
      </c>
      <c r="AF50" s="1186" t="s">
        <v>3423</v>
      </c>
      <c r="AG50" s="41">
        <v>7100</v>
      </c>
      <c r="AH50" s="63">
        <f t="shared" si="109"/>
        <v>497</v>
      </c>
      <c r="AI50" s="52">
        <f t="shared" si="110"/>
        <v>7597</v>
      </c>
      <c r="AJ50" s="53">
        <v>44130</v>
      </c>
      <c r="AK50" s="39"/>
      <c r="AL50" s="39"/>
      <c r="AM50" s="39" t="s">
        <v>3423</v>
      </c>
      <c r="AN50" s="21" t="s">
        <v>4416</v>
      </c>
      <c r="AO50" s="1842">
        <v>1</v>
      </c>
      <c r="AP50" s="45" t="s">
        <v>4387</v>
      </c>
      <c r="AQ50" s="46"/>
      <c r="AR50" s="46"/>
      <c r="AS50" s="47">
        <v>2</v>
      </c>
      <c r="AT50" s="48" t="s">
        <v>628</v>
      </c>
      <c r="AU50" s="1842">
        <v>2</v>
      </c>
      <c r="AV50" s="40" t="s">
        <v>4388</v>
      </c>
      <c r="AW50" s="47"/>
      <c r="AX50" s="47"/>
      <c r="AY50" s="47">
        <v>1</v>
      </c>
      <c r="AZ50" s="49" t="s">
        <v>628</v>
      </c>
      <c r="BA50" s="1842"/>
      <c r="BB50" s="54"/>
      <c r="BC50" s="1842"/>
      <c r="BD50" s="1842"/>
      <c r="BE50" s="1842"/>
      <c r="BF50" s="54"/>
      <c r="BG50" s="1842"/>
      <c r="BH50" s="54"/>
      <c r="BI50" s="1842"/>
      <c r="BJ50" s="1842"/>
      <c r="BK50" s="1842"/>
      <c r="BL50" s="54"/>
      <c r="BM50" s="1842"/>
      <c r="BN50" s="54"/>
      <c r="BO50" s="1842"/>
      <c r="BP50" s="1842"/>
      <c r="BQ50" s="1842"/>
      <c r="BR50" s="54"/>
      <c r="BS50" s="1842"/>
      <c r="BT50" s="54"/>
      <c r="BU50" s="1842"/>
      <c r="BV50" s="1842"/>
      <c r="BW50" s="1842"/>
      <c r="BX50" s="54"/>
      <c r="BY50" s="1842"/>
      <c r="BZ50" s="54"/>
      <c r="CA50" s="1842"/>
      <c r="CB50" s="1842"/>
      <c r="CC50" s="1842"/>
      <c r="CD50" s="54"/>
      <c r="CE50" s="1842"/>
      <c r="CF50" s="54"/>
      <c r="CG50" s="1842"/>
      <c r="CH50" s="1842"/>
      <c r="CI50" s="1842"/>
      <c r="CJ50" s="1842"/>
    </row>
    <row r="51" spans="1:88" x14ac:dyDescent="0.5">
      <c r="A51" s="21">
        <v>20106707</v>
      </c>
      <c r="B51" s="22">
        <v>20100819</v>
      </c>
      <c r="C51" s="55"/>
      <c r="D51" s="56"/>
      <c r="E51" s="910"/>
      <c r="F51" s="57"/>
      <c r="G51" s="58"/>
      <c r="H51" s="59"/>
      <c r="I51" s="60"/>
      <c r="J51" s="269"/>
      <c r="K51" s="59"/>
      <c r="L51" s="22" t="s">
        <v>4385</v>
      </c>
      <c r="M51" s="28" t="s">
        <v>4389</v>
      </c>
      <c r="N51" s="22" t="s">
        <v>51</v>
      </c>
      <c r="O51" s="29">
        <v>23364.5</v>
      </c>
      <c r="P51" s="29">
        <f t="shared" ref="P51:P55" si="111">O51*7/100</f>
        <v>1635.5150000000001</v>
      </c>
      <c r="Q51" s="29">
        <f t="shared" ref="Q51:Q55" si="112">O51+P51</f>
        <v>25000.014999999999</v>
      </c>
      <c r="R51" s="61"/>
      <c r="S51" s="96"/>
      <c r="T51" s="97"/>
      <c r="U51" s="98"/>
      <c r="V51" s="1225"/>
      <c r="W51" s="1225"/>
      <c r="X51" s="100"/>
      <c r="Y51" s="1225"/>
      <c r="Z51" s="1225"/>
      <c r="AA51" s="1225"/>
      <c r="AB51" s="1225"/>
      <c r="AC51" s="100"/>
      <c r="AD51" s="595"/>
      <c r="AE51" s="40">
        <v>20100279</v>
      </c>
      <c r="AF51" s="1186" t="s">
        <v>3423</v>
      </c>
      <c r="AG51" s="41">
        <v>23364.5</v>
      </c>
      <c r="AH51" s="63">
        <f t="shared" ref="AH51:AH55" si="113">AG51*7/100</f>
        <v>1635.5150000000001</v>
      </c>
      <c r="AI51" s="52">
        <f t="shared" ref="AI51:AI55" si="114">AG51+AH51</f>
        <v>25000.014999999999</v>
      </c>
      <c r="AJ51" s="53">
        <v>44130</v>
      </c>
      <c r="AK51" s="39"/>
      <c r="AL51" s="39"/>
      <c r="AM51" s="39" t="s">
        <v>3423</v>
      </c>
      <c r="AN51" s="21" t="s">
        <v>4417</v>
      </c>
      <c r="AO51" s="1842">
        <v>1</v>
      </c>
      <c r="AP51" s="45" t="s">
        <v>4390</v>
      </c>
      <c r="AQ51" s="46"/>
      <c r="AR51" s="46"/>
      <c r="AS51" s="47">
        <v>1</v>
      </c>
      <c r="AT51" s="48" t="s">
        <v>628</v>
      </c>
      <c r="AU51" s="1842"/>
      <c r="AV51" s="54"/>
      <c r="AW51" s="1842"/>
      <c r="AX51" s="1842"/>
      <c r="AY51" s="1842"/>
      <c r="AZ51" s="54"/>
      <c r="BA51" s="1842"/>
      <c r="BB51" s="54"/>
      <c r="BC51" s="1842"/>
      <c r="BD51" s="1842"/>
      <c r="BE51" s="1842"/>
      <c r="BF51" s="54"/>
      <c r="BG51" s="1842"/>
      <c r="BH51" s="54"/>
      <c r="BI51" s="1842"/>
      <c r="BJ51" s="1842"/>
      <c r="BK51" s="1842"/>
      <c r="BL51" s="54"/>
      <c r="BM51" s="1842"/>
      <c r="BN51" s="54"/>
      <c r="BO51" s="1842"/>
      <c r="BP51" s="1842"/>
      <c r="BQ51" s="1842"/>
      <c r="BR51" s="54"/>
      <c r="BS51" s="1842"/>
      <c r="BT51" s="54"/>
      <c r="BU51" s="1842"/>
      <c r="BV51" s="1842"/>
      <c r="BW51" s="1842"/>
      <c r="BX51" s="54"/>
      <c r="BY51" s="1842"/>
      <c r="BZ51" s="54"/>
      <c r="CA51" s="1842"/>
      <c r="CB51" s="1842"/>
      <c r="CC51" s="1842"/>
      <c r="CD51" s="54"/>
      <c r="CE51" s="1842"/>
      <c r="CF51" s="54"/>
      <c r="CG51" s="1842"/>
      <c r="CH51" s="1842"/>
      <c r="CI51" s="1842"/>
      <c r="CJ51" s="1842"/>
    </row>
    <row r="52" spans="1:88" x14ac:dyDescent="0.5">
      <c r="A52" s="21">
        <v>20106706</v>
      </c>
      <c r="B52" s="22">
        <v>20100817</v>
      </c>
      <c r="C52" s="1019" t="s">
        <v>2616</v>
      </c>
      <c r="D52" s="1020" t="s">
        <v>2691</v>
      </c>
      <c r="E52" s="884">
        <v>44138</v>
      </c>
      <c r="F52" s="932"/>
      <c r="G52" s="933"/>
      <c r="H52" s="831"/>
      <c r="I52" s="1021"/>
      <c r="J52" s="931"/>
      <c r="K52" s="40"/>
      <c r="L52" s="22" t="s">
        <v>4393</v>
      </c>
      <c r="M52" s="28" t="s">
        <v>4394</v>
      </c>
      <c r="N52" s="22" t="s">
        <v>1523</v>
      </c>
      <c r="O52" s="29">
        <v>53050</v>
      </c>
      <c r="P52" s="29">
        <f t="shared" si="111"/>
        <v>3713.5</v>
      </c>
      <c r="Q52" s="29">
        <f t="shared" si="112"/>
        <v>56763.5</v>
      </c>
      <c r="R52" s="61"/>
      <c r="S52" s="31" t="s">
        <v>4414</v>
      </c>
      <c r="T52" s="32">
        <f t="shared" ref="T52:T55" si="115">O52-R52</f>
        <v>53050</v>
      </c>
      <c r="U52" s="33">
        <v>5</v>
      </c>
      <c r="V52" s="1251">
        <f t="shared" ref="V52:V55" si="116">T52*U52/100</f>
        <v>2652.5</v>
      </c>
      <c r="W52" s="1231">
        <v>66.06</v>
      </c>
      <c r="X52" s="1184">
        <f t="shared" ref="X52:X55" si="117">T52-V52</f>
        <v>50397.5</v>
      </c>
      <c r="Y52" s="1223">
        <f t="shared" ref="Y52:Y55" si="118">SUM((50-W52)/(100)*(2.5)+(0.5))</f>
        <v>9.8499999999999921E-2</v>
      </c>
      <c r="Z52" s="1223">
        <f>50397.5*0.1/100</f>
        <v>50.397500000000001</v>
      </c>
      <c r="AA52" s="1228"/>
      <c r="AB52" s="1228">
        <f t="shared" ref="AB52:AB55" si="119">X52*AA52/100</f>
        <v>0</v>
      </c>
      <c r="AC52" s="37">
        <v>0.2</v>
      </c>
      <c r="AD52" s="1234">
        <f t="shared" ref="AD52:AD55" si="120">X52*AC52/100</f>
        <v>100.795</v>
      </c>
      <c r="AE52" s="40"/>
      <c r="AF52" s="1186"/>
      <c r="AG52" s="41"/>
      <c r="AH52" s="63">
        <f t="shared" si="113"/>
        <v>0</v>
      </c>
      <c r="AI52" s="52">
        <f t="shared" si="114"/>
        <v>0</v>
      </c>
      <c r="AJ52" s="43"/>
      <c r="AK52" s="39"/>
      <c r="AL52" s="39"/>
      <c r="AM52" s="39"/>
      <c r="AN52" s="21"/>
      <c r="AO52" s="1842">
        <v>1</v>
      </c>
      <c r="AP52" s="45" t="s">
        <v>759</v>
      </c>
      <c r="AQ52" s="46"/>
      <c r="AR52" s="46" t="s">
        <v>3423</v>
      </c>
      <c r="AS52" s="47">
        <v>2</v>
      </c>
      <c r="AT52" s="48" t="s">
        <v>634</v>
      </c>
      <c r="AU52" s="1842">
        <v>2</v>
      </c>
      <c r="AV52" s="40" t="s">
        <v>3167</v>
      </c>
      <c r="AW52" s="47"/>
      <c r="AX52" s="47" t="s">
        <v>3423</v>
      </c>
      <c r="AY52" s="47">
        <v>1</v>
      </c>
      <c r="AZ52" s="49" t="s">
        <v>634</v>
      </c>
      <c r="BA52" s="1843"/>
      <c r="BB52" s="54"/>
      <c r="BC52" s="1843"/>
      <c r="BD52" s="1843"/>
      <c r="BE52" s="1843"/>
      <c r="BF52" s="54"/>
      <c r="BG52" s="1843"/>
      <c r="BH52" s="54"/>
      <c r="BI52" s="1843"/>
      <c r="BJ52" s="1843"/>
      <c r="BK52" s="1843"/>
      <c r="BL52" s="54"/>
      <c r="BM52" s="1843"/>
      <c r="BN52" s="54"/>
      <c r="BO52" s="1843"/>
      <c r="BP52" s="1843"/>
      <c r="BQ52" s="1843"/>
      <c r="BR52" s="54"/>
      <c r="BS52" s="1843"/>
      <c r="BT52" s="54"/>
      <c r="BU52" s="1843"/>
      <c r="BV52" s="1843"/>
      <c r="BW52" s="1843"/>
      <c r="BX52" s="54"/>
      <c r="BY52" s="1843"/>
      <c r="BZ52" s="54"/>
      <c r="CA52" s="1843"/>
      <c r="CB52" s="1843"/>
      <c r="CC52" s="1843"/>
      <c r="CD52" s="54"/>
      <c r="CE52" s="1843"/>
      <c r="CF52" s="54"/>
      <c r="CG52" s="1843"/>
      <c r="CH52" s="1843"/>
      <c r="CI52" s="1843"/>
      <c r="CJ52" s="1843"/>
    </row>
    <row r="53" spans="1:88" x14ac:dyDescent="0.5">
      <c r="A53" s="21">
        <v>20106705</v>
      </c>
      <c r="B53" s="22">
        <v>20100816</v>
      </c>
      <c r="C53" s="1019" t="s">
        <v>2654</v>
      </c>
      <c r="D53" s="1020" t="s">
        <v>2691</v>
      </c>
      <c r="E53" s="884">
        <v>44203</v>
      </c>
      <c r="F53" s="932"/>
      <c r="G53" s="933"/>
      <c r="H53" s="831"/>
      <c r="I53" s="1021"/>
      <c r="J53" s="931"/>
      <c r="K53" s="40"/>
      <c r="L53" s="22" t="s">
        <v>4393</v>
      </c>
      <c r="M53" s="28" t="s">
        <v>4395</v>
      </c>
      <c r="N53" s="22" t="s">
        <v>1523</v>
      </c>
      <c r="O53" s="29">
        <v>86800</v>
      </c>
      <c r="P53" s="29">
        <f t="shared" si="111"/>
        <v>6076</v>
      </c>
      <c r="Q53" s="29">
        <f t="shared" si="112"/>
        <v>92876</v>
      </c>
      <c r="R53" s="61"/>
      <c r="S53" s="31" t="s">
        <v>4414</v>
      </c>
      <c r="T53" s="32">
        <f t="shared" si="115"/>
        <v>86800</v>
      </c>
      <c r="U53" s="33">
        <v>5</v>
      </c>
      <c r="V53" s="1251">
        <f t="shared" si="116"/>
        <v>4340</v>
      </c>
      <c r="W53" s="1231">
        <v>66.06</v>
      </c>
      <c r="X53" s="1184">
        <f t="shared" si="117"/>
        <v>82460</v>
      </c>
      <c r="Y53" s="1223">
        <f t="shared" si="118"/>
        <v>9.8499999999999921E-2</v>
      </c>
      <c r="Z53" s="1223">
        <f>82460*0.1/100</f>
        <v>82.46</v>
      </c>
      <c r="AA53" s="1228"/>
      <c r="AB53" s="1228">
        <f t="shared" si="119"/>
        <v>0</v>
      </c>
      <c r="AC53" s="37">
        <v>0.2</v>
      </c>
      <c r="AD53" s="1234">
        <f t="shared" si="120"/>
        <v>164.92</v>
      </c>
      <c r="AE53" s="40"/>
      <c r="AF53" s="1186"/>
      <c r="AG53" s="41"/>
      <c r="AH53" s="63">
        <f t="shared" si="113"/>
        <v>0</v>
      </c>
      <c r="AI53" s="52">
        <f t="shared" si="114"/>
        <v>0</v>
      </c>
      <c r="AJ53" s="43"/>
      <c r="AK53" s="39"/>
      <c r="AL53" s="39"/>
      <c r="AM53" s="39"/>
      <c r="AN53" s="21"/>
      <c r="AO53" s="1842">
        <v>1</v>
      </c>
      <c r="AP53" s="45" t="s">
        <v>1316</v>
      </c>
      <c r="AQ53" s="46"/>
      <c r="AR53" s="46" t="s">
        <v>3423</v>
      </c>
      <c r="AS53" s="47">
        <v>1</v>
      </c>
      <c r="AT53" s="48" t="s">
        <v>634</v>
      </c>
      <c r="AU53" s="1842">
        <v>2</v>
      </c>
      <c r="AV53" s="40" t="s">
        <v>4396</v>
      </c>
      <c r="AW53" s="47"/>
      <c r="AX53" s="47" t="s">
        <v>3423</v>
      </c>
      <c r="AY53" s="47">
        <v>1</v>
      </c>
      <c r="AZ53" s="49" t="s">
        <v>634</v>
      </c>
      <c r="BA53" s="1844"/>
      <c r="BB53" s="54"/>
      <c r="BC53" s="1844"/>
      <c r="BD53" s="1844"/>
      <c r="BE53" s="1844"/>
      <c r="BF53" s="54"/>
      <c r="BG53" s="1844"/>
      <c r="BH53" s="54"/>
      <c r="BI53" s="1844"/>
      <c r="BJ53" s="1844"/>
      <c r="BK53" s="1844"/>
      <c r="BL53" s="54"/>
      <c r="BM53" s="1844"/>
      <c r="BN53" s="54"/>
      <c r="BO53" s="1844"/>
      <c r="BP53" s="1844"/>
      <c r="BQ53" s="1844"/>
      <c r="BR53" s="54"/>
      <c r="BS53" s="1844"/>
      <c r="BT53" s="54"/>
      <c r="BU53" s="1844"/>
      <c r="BV53" s="1844"/>
      <c r="BW53" s="1844"/>
      <c r="BX53" s="54"/>
      <c r="BY53" s="1844"/>
      <c r="BZ53" s="54"/>
      <c r="CA53" s="1844"/>
      <c r="CB53" s="1844"/>
      <c r="CC53" s="1844"/>
      <c r="CD53" s="54"/>
      <c r="CE53" s="1844"/>
      <c r="CF53" s="54"/>
      <c r="CG53" s="1844"/>
      <c r="CH53" s="1844"/>
      <c r="CI53" s="1844"/>
      <c r="CJ53" s="1844"/>
    </row>
    <row r="54" spans="1:88" x14ac:dyDescent="0.5">
      <c r="A54" s="21">
        <v>20106704</v>
      </c>
      <c r="B54" s="22">
        <v>20100815</v>
      </c>
      <c r="C54" s="1019" t="s">
        <v>2656</v>
      </c>
      <c r="D54" s="1020" t="s">
        <v>2691</v>
      </c>
      <c r="E54" s="884">
        <v>44208</v>
      </c>
      <c r="F54" s="932"/>
      <c r="G54" s="933"/>
      <c r="H54" s="831"/>
      <c r="I54" s="1021"/>
      <c r="J54" s="931"/>
      <c r="K54" s="40"/>
      <c r="L54" s="22" t="s">
        <v>4393</v>
      </c>
      <c r="M54" s="28" t="s">
        <v>4397</v>
      </c>
      <c r="N54" s="22" t="s">
        <v>1523</v>
      </c>
      <c r="O54" s="29">
        <v>104500</v>
      </c>
      <c r="P54" s="29">
        <f t="shared" si="111"/>
        <v>7315</v>
      </c>
      <c r="Q54" s="29">
        <f t="shared" si="112"/>
        <v>111815</v>
      </c>
      <c r="R54" s="61"/>
      <c r="S54" s="31" t="s">
        <v>4414</v>
      </c>
      <c r="T54" s="32">
        <f t="shared" si="115"/>
        <v>104500</v>
      </c>
      <c r="U54" s="33">
        <v>5</v>
      </c>
      <c r="V54" s="1251">
        <f t="shared" si="116"/>
        <v>5225</v>
      </c>
      <c r="W54" s="1231">
        <v>66.06</v>
      </c>
      <c r="X54" s="1184">
        <f t="shared" si="117"/>
        <v>99275</v>
      </c>
      <c r="Y54" s="1223">
        <f t="shared" si="118"/>
        <v>9.8499999999999921E-2</v>
      </c>
      <c r="Z54" s="1223">
        <f>99275*0.1/100</f>
        <v>99.275000000000006</v>
      </c>
      <c r="AA54" s="1228"/>
      <c r="AB54" s="1228">
        <f t="shared" si="119"/>
        <v>0</v>
      </c>
      <c r="AC54" s="37">
        <v>0.2</v>
      </c>
      <c r="AD54" s="1234">
        <f t="shared" si="120"/>
        <v>198.55</v>
      </c>
      <c r="AE54" s="40"/>
      <c r="AF54" s="1186"/>
      <c r="AG54" s="41"/>
      <c r="AH54" s="63">
        <f t="shared" si="113"/>
        <v>0</v>
      </c>
      <c r="AI54" s="52">
        <f t="shared" si="114"/>
        <v>0</v>
      </c>
      <c r="AJ54" s="43"/>
      <c r="AK54" s="39"/>
      <c r="AL54" s="39"/>
      <c r="AM54" s="39"/>
      <c r="AN54" s="21"/>
      <c r="AO54" s="1842">
        <v>1</v>
      </c>
      <c r="AP54" s="45" t="s">
        <v>4396</v>
      </c>
      <c r="AQ54" s="46"/>
      <c r="AR54" s="46" t="s">
        <v>3423</v>
      </c>
      <c r="AS54" s="47">
        <v>1</v>
      </c>
      <c r="AT54" s="48" t="s">
        <v>634</v>
      </c>
      <c r="AU54" s="1842">
        <v>2</v>
      </c>
      <c r="AV54" s="40" t="s">
        <v>1316</v>
      </c>
      <c r="AW54" s="47"/>
      <c r="AX54" s="47" t="s">
        <v>3423</v>
      </c>
      <c r="AY54" s="47">
        <v>1</v>
      </c>
      <c r="AZ54" s="49" t="s">
        <v>634</v>
      </c>
      <c r="BA54" s="1842">
        <v>3</v>
      </c>
      <c r="BB54" s="40" t="s">
        <v>3167</v>
      </c>
      <c r="BC54" s="47"/>
      <c r="BD54" s="47" t="s">
        <v>3423</v>
      </c>
      <c r="BE54" s="47">
        <v>1</v>
      </c>
      <c r="BF54" s="49" t="s">
        <v>634</v>
      </c>
      <c r="BG54" s="1842">
        <v>4</v>
      </c>
      <c r="BH54" s="40" t="s">
        <v>890</v>
      </c>
      <c r="BI54" s="47"/>
      <c r="BJ54" s="47" t="s">
        <v>3423</v>
      </c>
      <c r="BK54" s="47">
        <v>1</v>
      </c>
      <c r="BL54" s="49" t="s">
        <v>634</v>
      </c>
      <c r="BM54" s="1844"/>
      <c r="BN54" s="54"/>
      <c r="BO54" s="1844"/>
      <c r="BP54" s="1844"/>
      <c r="BQ54" s="1844"/>
      <c r="BR54" s="54"/>
      <c r="BS54" s="1844"/>
      <c r="BT54" s="54"/>
      <c r="BU54" s="1844"/>
      <c r="BV54" s="1844"/>
      <c r="BW54" s="1844"/>
      <c r="BX54" s="54"/>
      <c r="BY54" s="1844"/>
      <c r="BZ54" s="54"/>
      <c r="CA54" s="1844"/>
      <c r="CB54" s="1844"/>
      <c r="CC54" s="1844"/>
      <c r="CD54" s="54"/>
      <c r="CE54" s="1844"/>
      <c r="CF54" s="54"/>
      <c r="CG54" s="1844"/>
      <c r="CH54" s="1844"/>
      <c r="CI54" s="1844"/>
      <c r="CJ54" s="1844"/>
    </row>
    <row r="55" spans="1:88" x14ac:dyDescent="0.5">
      <c r="A55" s="21">
        <v>20106703</v>
      </c>
      <c r="B55" s="22">
        <v>20100814</v>
      </c>
      <c r="C55" s="1019" t="s">
        <v>2657</v>
      </c>
      <c r="D55" s="1020" t="s">
        <v>2691</v>
      </c>
      <c r="E55" s="884">
        <v>44206</v>
      </c>
      <c r="F55" s="932"/>
      <c r="G55" s="933"/>
      <c r="H55" s="831"/>
      <c r="I55" s="1021"/>
      <c r="J55" s="931"/>
      <c r="K55" s="40"/>
      <c r="L55" s="22" t="s">
        <v>4393</v>
      </c>
      <c r="M55" s="28" t="s">
        <v>4398</v>
      </c>
      <c r="N55" s="22" t="s">
        <v>1523</v>
      </c>
      <c r="O55" s="29">
        <v>464900</v>
      </c>
      <c r="P55" s="29">
        <f t="shared" si="111"/>
        <v>32543</v>
      </c>
      <c r="Q55" s="29">
        <f t="shared" si="112"/>
        <v>497443</v>
      </c>
      <c r="R55" s="61"/>
      <c r="S55" s="31" t="s">
        <v>4414</v>
      </c>
      <c r="T55" s="32">
        <f t="shared" si="115"/>
        <v>464900</v>
      </c>
      <c r="U55" s="33">
        <v>5</v>
      </c>
      <c r="V55" s="1251">
        <f t="shared" si="116"/>
        <v>23245</v>
      </c>
      <c r="W55" s="1231">
        <v>66.06</v>
      </c>
      <c r="X55" s="1184">
        <f t="shared" si="117"/>
        <v>441655</v>
      </c>
      <c r="Y55" s="1223">
        <f t="shared" si="118"/>
        <v>9.8499999999999921E-2</v>
      </c>
      <c r="Z55" s="1223">
        <f>441655*0.1/100</f>
        <v>441.65499999999997</v>
      </c>
      <c r="AA55" s="1228"/>
      <c r="AB55" s="1228">
        <f t="shared" si="119"/>
        <v>0</v>
      </c>
      <c r="AC55" s="37">
        <v>0.2</v>
      </c>
      <c r="AD55" s="1234">
        <f t="shared" si="120"/>
        <v>883.31</v>
      </c>
      <c r="AE55" s="40"/>
      <c r="AF55" s="1186"/>
      <c r="AG55" s="41"/>
      <c r="AH55" s="63">
        <f t="shared" si="113"/>
        <v>0</v>
      </c>
      <c r="AI55" s="52">
        <f t="shared" si="114"/>
        <v>0</v>
      </c>
      <c r="AJ55" s="43"/>
      <c r="AK55" s="39"/>
      <c r="AL55" s="39"/>
      <c r="AM55" s="39"/>
      <c r="AN55" s="21"/>
      <c r="AO55" s="1842">
        <v>1</v>
      </c>
      <c r="AP55" s="45" t="s">
        <v>4399</v>
      </c>
      <c r="AQ55" s="46"/>
      <c r="AR55" s="46" t="s">
        <v>3423</v>
      </c>
      <c r="AS55" s="47">
        <v>1</v>
      </c>
      <c r="AT55" s="48" t="s">
        <v>634</v>
      </c>
      <c r="AU55" s="1842">
        <v>2</v>
      </c>
      <c r="AV55" s="40" t="s">
        <v>4400</v>
      </c>
      <c r="AW55" s="47"/>
      <c r="AX55" s="47" t="s">
        <v>3423</v>
      </c>
      <c r="AY55" s="47">
        <v>1</v>
      </c>
      <c r="AZ55" s="49" t="s">
        <v>634</v>
      </c>
      <c r="BA55" s="1842">
        <v>3</v>
      </c>
      <c r="BB55" s="40" t="s">
        <v>4401</v>
      </c>
      <c r="BC55" s="47"/>
      <c r="BD55" s="47" t="s">
        <v>3423</v>
      </c>
      <c r="BE55" s="47">
        <v>1</v>
      </c>
      <c r="BF55" s="49" t="s">
        <v>634</v>
      </c>
      <c r="BG55" s="1842">
        <v>4</v>
      </c>
      <c r="BH55" s="40" t="s">
        <v>4402</v>
      </c>
      <c r="BI55" s="47"/>
      <c r="BJ55" s="47" t="s">
        <v>3423</v>
      </c>
      <c r="BK55" s="47">
        <v>1</v>
      </c>
      <c r="BL55" s="49" t="s">
        <v>634</v>
      </c>
      <c r="BM55" s="1842">
        <v>5</v>
      </c>
      <c r="BN55" s="40" t="s">
        <v>3569</v>
      </c>
      <c r="BO55" s="47" t="s">
        <v>3423</v>
      </c>
      <c r="BP55" s="47"/>
      <c r="BQ55" s="47">
        <v>1</v>
      </c>
      <c r="BR55" s="49" t="s">
        <v>636</v>
      </c>
      <c r="BS55" s="1844"/>
      <c r="BT55" s="54"/>
      <c r="BU55" s="1844"/>
      <c r="BV55" s="1844"/>
      <c r="BW55" s="1844"/>
      <c r="BX55" s="54"/>
      <c r="BY55" s="1844"/>
      <c r="BZ55" s="54"/>
      <c r="CA55" s="1844"/>
      <c r="CB55" s="1844"/>
      <c r="CC55" s="1844"/>
      <c r="CD55" s="54"/>
      <c r="CE55" s="1844"/>
      <c r="CF55" s="54"/>
      <c r="CG55" s="1844"/>
      <c r="CH55" s="1844"/>
      <c r="CI55" s="1844"/>
      <c r="CJ55" s="1844"/>
    </row>
    <row r="56" spans="1:88" x14ac:dyDescent="0.5">
      <c r="A56" s="21">
        <v>20106702</v>
      </c>
      <c r="B56" s="22">
        <v>20100813</v>
      </c>
      <c r="C56" s="1019" t="s">
        <v>2658</v>
      </c>
      <c r="D56" s="1020" t="s">
        <v>2691</v>
      </c>
      <c r="E56" s="884">
        <v>44192</v>
      </c>
      <c r="F56" s="932"/>
      <c r="G56" s="933"/>
      <c r="H56" s="831"/>
      <c r="I56" s="1021"/>
      <c r="J56" s="931"/>
      <c r="K56" s="40"/>
      <c r="L56" s="22" t="s">
        <v>4393</v>
      </c>
      <c r="M56" s="28" t="s">
        <v>4403</v>
      </c>
      <c r="N56" s="22" t="s">
        <v>1523</v>
      </c>
      <c r="O56" s="29">
        <v>165700</v>
      </c>
      <c r="P56" s="29">
        <f t="shared" si="101"/>
        <v>11599</v>
      </c>
      <c r="Q56" s="29">
        <f t="shared" si="102"/>
        <v>177299</v>
      </c>
      <c r="R56" s="61"/>
      <c r="S56" s="31" t="s">
        <v>4414</v>
      </c>
      <c r="T56" s="32">
        <f t="shared" si="103"/>
        <v>165700</v>
      </c>
      <c r="U56" s="33">
        <v>5</v>
      </c>
      <c r="V56" s="1251">
        <f t="shared" si="104"/>
        <v>8285</v>
      </c>
      <c r="W56" s="1231">
        <v>66.06</v>
      </c>
      <c r="X56" s="1184">
        <f t="shared" si="105"/>
        <v>157415</v>
      </c>
      <c r="Y56" s="1223">
        <f t="shared" si="106"/>
        <v>9.8499999999999921E-2</v>
      </c>
      <c r="Z56" s="1223">
        <f>157415*0.1/100</f>
        <v>157.41499999999999</v>
      </c>
      <c r="AA56" s="1228"/>
      <c r="AB56" s="1228">
        <f t="shared" si="107"/>
        <v>0</v>
      </c>
      <c r="AC56" s="37">
        <v>0.2</v>
      </c>
      <c r="AD56" s="1234">
        <f t="shared" si="108"/>
        <v>314.83</v>
      </c>
      <c r="AE56" s="40"/>
      <c r="AF56" s="1186"/>
      <c r="AG56" s="41"/>
      <c r="AH56" s="63">
        <f t="shared" si="109"/>
        <v>0</v>
      </c>
      <c r="AI56" s="52">
        <f t="shared" si="110"/>
        <v>0</v>
      </c>
      <c r="AJ56" s="43"/>
      <c r="AK56" s="39"/>
      <c r="AL56" s="39"/>
      <c r="AM56" s="39"/>
      <c r="AN56" s="21"/>
      <c r="AO56" s="1842">
        <v>1</v>
      </c>
      <c r="AP56" s="45" t="s">
        <v>3569</v>
      </c>
      <c r="AQ56" s="46" t="s">
        <v>3423</v>
      </c>
      <c r="AR56" s="46"/>
      <c r="AS56" s="47">
        <v>1</v>
      </c>
      <c r="AT56" s="48" t="s">
        <v>636</v>
      </c>
      <c r="AU56" s="1842">
        <v>2</v>
      </c>
      <c r="AV56" s="40" t="s">
        <v>4399</v>
      </c>
      <c r="AW56" s="47"/>
      <c r="AX56" s="47" t="s">
        <v>3423</v>
      </c>
      <c r="AY56" s="47">
        <v>1</v>
      </c>
      <c r="AZ56" s="49" t="s">
        <v>634</v>
      </c>
      <c r="BA56" s="1842">
        <v>3</v>
      </c>
      <c r="BB56" s="40" t="s">
        <v>895</v>
      </c>
      <c r="BC56" s="47"/>
      <c r="BD56" s="47" t="s">
        <v>3423</v>
      </c>
      <c r="BE56" s="47">
        <v>1</v>
      </c>
      <c r="BF56" s="49" t="s">
        <v>634</v>
      </c>
      <c r="BG56" s="1844"/>
      <c r="BH56" s="54"/>
      <c r="BI56" s="1844"/>
      <c r="BJ56" s="1844"/>
      <c r="BK56" s="1844"/>
      <c r="BL56" s="54"/>
      <c r="BM56" s="1844"/>
      <c r="BN56" s="54"/>
      <c r="BO56" s="1844"/>
      <c r="BP56" s="1844"/>
      <c r="BQ56" s="1844"/>
      <c r="BR56" s="54"/>
      <c r="BS56" s="1844"/>
      <c r="BT56" s="54"/>
      <c r="BU56" s="1844"/>
      <c r="BV56" s="1844"/>
      <c r="BW56" s="1844"/>
      <c r="BX56" s="54"/>
      <c r="BY56" s="1844"/>
      <c r="BZ56" s="54"/>
      <c r="CA56" s="1844"/>
      <c r="CB56" s="1844"/>
      <c r="CC56" s="1844"/>
      <c r="CD56" s="54"/>
      <c r="CE56" s="1844"/>
      <c r="CF56" s="54"/>
      <c r="CG56" s="1844"/>
      <c r="CH56" s="1844"/>
      <c r="CI56" s="1844"/>
      <c r="CJ56" s="1844"/>
    </row>
    <row r="57" spans="1:88" x14ac:dyDescent="0.5">
      <c r="A57" s="21">
        <v>20106701</v>
      </c>
      <c r="B57" s="22">
        <v>20100812</v>
      </c>
      <c r="C57" s="1019" t="s">
        <v>2660</v>
      </c>
      <c r="D57" s="1020" t="s">
        <v>2691</v>
      </c>
      <c r="E57" s="884">
        <v>44185</v>
      </c>
      <c r="F57" s="932"/>
      <c r="G57" s="933"/>
      <c r="H57" s="831"/>
      <c r="I57" s="1021"/>
      <c r="J57" s="931"/>
      <c r="K57" s="40"/>
      <c r="L57" s="22" t="s">
        <v>4393</v>
      </c>
      <c r="M57" s="28" t="s">
        <v>4404</v>
      </c>
      <c r="N57" s="22" t="s">
        <v>1523</v>
      </c>
      <c r="O57" s="29">
        <v>287700</v>
      </c>
      <c r="P57" s="29">
        <f t="shared" si="91"/>
        <v>20139</v>
      </c>
      <c r="Q57" s="29">
        <f t="shared" si="92"/>
        <v>307839</v>
      </c>
      <c r="R57" s="61"/>
      <c r="S57" s="31" t="s">
        <v>4414</v>
      </c>
      <c r="T57" s="32">
        <f t="shared" si="95"/>
        <v>287700</v>
      </c>
      <c r="U57" s="33">
        <v>5</v>
      </c>
      <c r="V57" s="1251">
        <f t="shared" si="96"/>
        <v>14385</v>
      </c>
      <c r="W57" s="1231">
        <v>66.06</v>
      </c>
      <c r="X57" s="1184">
        <f t="shared" si="97"/>
        <v>273315</v>
      </c>
      <c r="Y57" s="1223">
        <f t="shared" si="98"/>
        <v>9.8499999999999921E-2</v>
      </c>
      <c r="Z57" s="1223">
        <f>273315*0.1/100</f>
        <v>273.315</v>
      </c>
      <c r="AA57" s="1228"/>
      <c r="AB57" s="1228">
        <f t="shared" si="99"/>
        <v>0</v>
      </c>
      <c r="AC57" s="37">
        <v>0.2</v>
      </c>
      <c r="AD57" s="1234">
        <f t="shared" si="100"/>
        <v>546.63</v>
      </c>
      <c r="AE57" s="40"/>
      <c r="AF57" s="1186"/>
      <c r="AG57" s="41"/>
      <c r="AH57" s="63">
        <f t="shared" si="93"/>
        <v>0</v>
      </c>
      <c r="AI57" s="52">
        <f t="shared" si="94"/>
        <v>0</v>
      </c>
      <c r="AJ57" s="43"/>
      <c r="AK57" s="39"/>
      <c r="AL57" s="39"/>
      <c r="AM57" s="39"/>
      <c r="AN57" s="21"/>
      <c r="AO57" s="1842">
        <v>1</v>
      </c>
      <c r="AP57" s="45" t="s">
        <v>4399</v>
      </c>
      <c r="AQ57" s="46"/>
      <c r="AR57" s="46" t="s">
        <v>3423</v>
      </c>
      <c r="AS57" s="47">
        <v>2</v>
      </c>
      <c r="AT57" s="48" t="s">
        <v>634</v>
      </c>
      <c r="AU57" s="1842">
        <v>2</v>
      </c>
      <c r="AV57" s="40" t="s">
        <v>895</v>
      </c>
      <c r="AW57" s="47"/>
      <c r="AX57" s="47" t="s">
        <v>3423</v>
      </c>
      <c r="AY57" s="47">
        <v>2</v>
      </c>
      <c r="AZ57" s="49" t="s">
        <v>634</v>
      </c>
      <c r="BA57" s="1842">
        <v>3</v>
      </c>
      <c r="BB57" s="40" t="s">
        <v>3569</v>
      </c>
      <c r="BC57" s="47" t="s">
        <v>3423</v>
      </c>
      <c r="BD57" s="47"/>
      <c r="BE57" s="47">
        <v>1</v>
      </c>
      <c r="BF57" s="49" t="s">
        <v>636</v>
      </c>
      <c r="BG57" s="1844"/>
      <c r="BH57" s="54"/>
      <c r="BI57" s="1844"/>
      <c r="BJ57" s="1844"/>
      <c r="BK57" s="1844"/>
      <c r="BL57" s="54"/>
      <c r="BM57" s="1844"/>
      <c r="BN57" s="54"/>
      <c r="BO57" s="1844"/>
      <c r="BP57" s="1844"/>
      <c r="BQ57" s="1844"/>
      <c r="BR57" s="54"/>
      <c r="BS57" s="1844"/>
      <c r="BT57" s="54"/>
      <c r="BU57" s="1844"/>
      <c r="BV57" s="1844"/>
      <c r="BW57" s="1844"/>
      <c r="BX57" s="54"/>
      <c r="BY57" s="1844"/>
      <c r="BZ57" s="54"/>
      <c r="CA57" s="1844"/>
      <c r="CB57" s="1844"/>
      <c r="CC57" s="1844"/>
      <c r="CD57" s="54"/>
      <c r="CE57" s="1844"/>
      <c r="CF57" s="54"/>
      <c r="CG57" s="1844"/>
      <c r="CH57" s="1844"/>
      <c r="CI57" s="1844"/>
      <c r="CJ57" s="1844"/>
    </row>
    <row r="58" spans="1:88" x14ac:dyDescent="0.5">
      <c r="A58" s="21">
        <v>20106700</v>
      </c>
      <c r="B58" s="22">
        <v>20100811</v>
      </c>
      <c r="C58" s="1019" t="s">
        <v>2659</v>
      </c>
      <c r="D58" s="1020" t="s">
        <v>2691</v>
      </c>
      <c r="E58" s="884">
        <v>44145</v>
      </c>
      <c r="F58" s="932"/>
      <c r="G58" s="933"/>
      <c r="H58" s="831"/>
      <c r="I58" s="1021"/>
      <c r="J58" s="931"/>
      <c r="K58" s="40"/>
      <c r="L58" s="22" t="s">
        <v>4393</v>
      </c>
      <c r="M58" s="28" t="s">
        <v>4405</v>
      </c>
      <c r="N58" s="22" t="s">
        <v>1523</v>
      </c>
      <c r="O58" s="29">
        <v>181700</v>
      </c>
      <c r="P58" s="29">
        <f t="shared" si="61"/>
        <v>12719</v>
      </c>
      <c r="Q58" s="29">
        <f t="shared" si="62"/>
        <v>194419</v>
      </c>
      <c r="R58" s="61"/>
      <c r="S58" s="31" t="s">
        <v>4414</v>
      </c>
      <c r="T58" s="32">
        <f t="shared" si="63"/>
        <v>181700</v>
      </c>
      <c r="U58" s="33">
        <v>5</v>
      </c>
      <c r="V58" s="1251">
        <f t="shared" si="64"/>
        <v>9085</v>
      </c>
      <c r="W58" s="1231">
        <v>66.06</v>
      </c>
      <c r="X58" s="1184">
        <f t="shared" si="65"/>
        <v>172615</v>
      </c>
      <c r="Y58" s="1223">
        <f t="shared" si="66"/>
        <v>9.8499999999999921E-2</v>
      </c>
      <c r="Z58" s="1223">
        <f>172615*0.1/100</f>
        <v>172.61500000000001</v>
      </c>
      <c r="AA58" s="1228"/>
      <c r="AB58" s="1228">
        <f t="shared" si="67"/>
        <v>0</v>
      </c>
      <c r="AC58" s="37">
        <v>0.2</v>
      </c>
      <c r="AD58" s="1234">
        <f t="shared" si="68"/>
        <v>345.23</v>
      </c>
      <c r="AE58" s="40"/>
      <c r="AF58" s="1186"/>
      <c r="AG58" s="41"/>
      <c r="AH58" s="63">
        <f t="shared" si="69"/>
        <v>0</v>
      </c>
      <c r="AI58" s="52">
        <f t="shared" si="70"/>
        <v>0</v>
      </c>
      <c r="AJ58" s="43"/>
      <c r="AK58" s="39"/>
      <c r="AL58" s="39"/>
      <c r="AM58" s="39"/>
      <c r="AN58" s="21"/>
      <c r="AO58" s="1840">
        <v>1</v>
      </c>
      <c r="AP58" s="45" t="s">
        <v>4396</v>
      </c>
      <c r="AQ58" s="46"/>
      <c r="AR58" s="46" t="s">
        <v>3423</v>
      </c>
      <c r="AS58" s="47">
        <v>1</v>
      </c>
      <c r="AT58" s="48" t="s">
        <v>634</v>
      </c>
      <c r="AU58" s="1840">
        <v>2</v>
      </c>
      <c r="AV58" s="40" t="s">
        <v>1316</v>
      </c>
      <c r="AW58" s="47"/>
      <c r="AX58" s="47" t="s">
        <v>3423</v>
      </c>
      <c r="AY58" s="47">
        <v>1</v>
      </c>
      <c r="AZ58" s="49" t="s">
        <v>634</v>
      </c>
      <c r="BA58" s="1840">
        <v>3</v>
      </c>
      <c r="BB58" s="40" t="s">
        <v>1316</v>
      </c>
      <c r="BC58" s="47"/>
      <c r="BD58" s="47" t="s">
        <v>3423</v>
      </c>
      <c r="BE58" s="47">
        <v>1</v>
      </c>
      <c r="BF58" s="49" t="s">
        <v>634</v>
      </c>
      <c r="BG58" s="1840">
        <v>4</v>
      </c>
      <c r="BH58" s="40" t="s">
        <v>757</v>
      </c>
      <c r="BI58" s="47"/>
      <c r="BJ58" s="47" t="s">
        <v>3423</v>
      </c>
      <c r="BK58" s="47">
        <v>1</v>
      </c>
      <c r="BL58" s="49" t="s">
        <v>634</v>
      </c>
      <c r="BM58" s="1844"/>
      <c r="BN58" s="54"/>
      <c r="BO58" s="1844"/>
      <c r="BP58" s="1844"/>
      <c r="BQ58" s="1844"/>
      <c r="BR58" s="54"/>
      <c r="BS58" s="1844"/>
      <c r="BT58" s="54"/>
      <c r="BU58" s="1844"/>
      <c r="BV58" s="1844"/>
      <c r="BW58" s="1844"/>
      <c r="BX58" s="54"/>
      <c r="BY58" s="1844"/>
      <c r="BZ58" s="54"/>
      <c r="CA58" s="1844"/>
      <c r="CB58" s="1844"/>
      <c r="CC58" s="1844"/>
      <c r="CD58" s="54"/>
      <c r="CE58" s="1844"/>
      <c r="CF58" s="54"/>
      <c r="CG58" s="1844"/>
      <c r="CH58" s="1844"/>
      <c r="CI58" s="1844"/>
      <c r="CJ58" s="1844"/>
    </row>
    <row r="59" spans="1:88" x14ac:dyDescent="0.5">
      <c r="A59" s="21">
        <v>20106699</v>
      </c>
      <c r="B59" s="22">
        <v>20100810</v>
      </c>
      <c r="C59" s="1019" t="s">
        <v>2571</v>
      </c>
      <c r="D59" s="1020" t="s">
        <v>2691</v>
      </c>
      <c r="E59" s="884" t="s">
        <v>4406</v>
      </c>
      <c r="F59" s="932"/>
      <c r="G59" s="933"/>
      <c r="H59" s="831"/>
      <c r="I59" s="1021"/>
      <c r="J59" s="931"/>
      <c r="K59" s="40"/>
      <c r="L59" s="22" t="s">
        <v>4393</v>
      </c>
      <c r="M59" s="28" t="s">
        <v>4407</v>
      </c>
      <c r="N59" s="22" t="s">
        <v>1523</v>
      </c>
      <c r="O59" s="29">
        <v>355650</v>
      </c>
      <c r="P59" s="29">
        <f t="shared" si="61"/>
        <v>24895.5</v>
      </c>
      <c r="Q59" s="29">
        <f t="shared" si="62"/>
        <v>380545.5</v>
      </c>
      <c r="R59" s="61"/>
      <c r="S59" s="31" t="s">
        <v>4414</v>
      </c>
      <c r="T59" s="32">
        <f t="shared" si="63"/>
        <v>355650</v>
      </c>
      <c r="U59" s="33">
        <v>5</v>
      </c>
      <c r="V59" s="1251">
        <f t="shared" si="64"/>
        <v>17782.5</v>
      </c>
      <c r="W59" s="1231">
        <v>66.06</v>
      </c>
      <c r="X59" s="1184">
        <f t="shared" si="65"/>
        <v>337867.5</v>
      </c>
      <c r="Y59" s="1223">
        <f t="shared" si="66"/>
        <v>9.8499999999999921E-2</v>
      </c>
      <c r="Z59" s="1223">
        <f>337867.5*0.1/100</f>
        <v>337.86750000000001</v>
      </c>
      <c r="AA59" s="1228"/>
      <c r="AB59" s="1228">
        <f t="shared" si="67"/>
        <v>0</v>
      </c>
      <c r="AC59" s="37">
        <v>0.2</v>
      </c>
      <c r="AD59" s="1234">
        <f t="shared" si="68"/>
        <v>675.73500000000001</v>
      </c>
      <c r="AE59" s="40"/>
      <c r="AF59" s="1186"/>
      <c r="AG59" s="41"/>
      <c r="AH59" s="63">
        <f t="shared" si="69"/>
        <v>0</v>
      </c>
      <c r="AI59" s="52">
        <f t="shared" si="70"/>
        <v>0</v>
      </c>
      <c r="AJ59" s="43"/>
      <c r="AK59" s="39"/>
      <c r="AL59" s="39"/>
      <c r="AM59" s="39"/>
      <c r="AN59" s="21"/>
      <c r="AO59" s="1840">
        <v>1</v>
      </c>
      <c r="AP59" s="45" t="s">
        <v>4408</v>
      </c>
      <c r="AQ59" s="46"/>
      <c r="AR59" s="46" t="s">
        <v>3423</v>
      </c>
      <c r="AS59" s="47">
        <v>1</v>
      </c>
      <c r="AT59" s="48" t="s">
        <v>634</v>
      </c>
      <c r="AU59" s="1840">
        <v>2</v>
      </c>
      <c r="AV59" s="40" t="s">
        <v>4409</v>
      </c>
      <c r="AW59" s="47"/>
      <c r="AX59" s="47" t="s">
        <v>3423</v>
      </c>
      <c r="AY59" s="47">
        <v>1</v>
      </c>
      <c r="AZ59" s="49" t="s">
        <v>634</v>
      </c>
      <c r="BA59" s="1840">
        <v>3</v>
      </c>
      <c r="BB59" s="40" t="s">
        <v>3167</v>
      </c>
      <c r="BC59" s="47"/>
      <c r="BD59" s="47" t="s">
        <v>3423</v>
      </c>
      <c r="BE59" s="47">
        <v>1</v>
      </c>
      <c r="BF59" s="49" t="s">
        <v>634</v>
      </c>
      <c r="BG59" s="1840">
        <v>4</v>
      </c>
      <c r="BH59" s="40" t="s">
        <v>890</v>
      </c>
      <c r="BI59" s="47"/>
      <c r="BJ59" s="47" t="s">
        <v>3423</v>
      </c>
      <c r="BK59" s="47">
        <v>2</v>
      </c>
      <c r="BL59" s="49" t="s">
        <v>634</v>
      </c>
      <c r="BM59" s="1844"/>
      <c r="BN59" s="54"/>
      <c r="BO59" s="1844"/>
      <c r="BP59" s="1844"/>
      <c r="BQ59" s="1844"/>
      <c r="BR59" s="54"/>
      <c r="BS59" s="1844"/>
      <c r="BT59" s="54"/>
      <c r="BU59" s="1844"/>
      <c r="BV59" s="1844"/>
      <c r="BW59" s="1844"/>
      <c r="BX59" s="54"/>
      <c r="BY59" s="1844"/>
      <c r="BZ59" s="54"/>
      <c r="CA59" s="1844"/>
      <c r="CB59" s="1844"/>
      <c r="CC59" s="1844"/>
      <c r="CD59" s="54"/>
      <c r="CE59" s="1844"/>
      <c r="CF59" s="54"/>
      <c r="CG59" s="1844"/>
      <c r="CH59" s="1844"/>
      <c r="CI59" s="1844"/>
      <c r="CJ59" s="1844"/>
    </row>
    <row r="60" spans="1:88" x14ac:dyDescent="0.5">
      <c r="A60" s="103">
        <v>20106698</v>
      </c>
      <c r="B60" s="104">
        <v>20100804</v>
      </c>
      <c r="C60" s="1243" t="s">
        <v>2574</v>
      </c>
      <c r="D60" s="1244" t="s">
        <v>2691</v>
      </c>
      <c r="E60" s="302">
        <v>44134</v>
      </c>
      <c r="F60" s="936" t="s">
        <v>3368</v>
      </c>
      <c r="G60" s="937" t="s">
        <v>2584</v>
      </c>
      <c r="H60" s="302">
        <v>44137</v>
      </c>
      <c r="I60" s="1124">
        <v>63260</v>
      </c>
      <c r="J60" s="960" t="s">
        <v>3423</v>
      </c>
      <c r="K60" s="965">
        <v>44138</v>
      </c>
      <c r="L60" s="104" t="s">
        <v>3961</v>
      </c>
      <c r="M60" s="104" t="s">
        <v>4085</v>
      </c>
      <c r="N60" s="104" t="s">
        <v>52</v>
      </c>
      <c r="O60" s="111">
        <v>67800</v>
      </c>
      <c r="P60" s="111">
        <f t="shared" si="61"/>
        <v>4746</v>
      </c>
      <c r="Q60" s="111">
        <f t="shared" si="62"/>
        <v>72546</v>
      </c>
      <c r="R60" s="311">
        <v>7000</v>
      </c>
      <c r="S60" s="113" t="s">
        <v>568</v>
      </c>
      <c r="T60" s="114">
        <f t="shared" si="63"/>
        <v>60800</v>
      </c>
      <c r="U60" s="115">
        <v>5</v>
      </c>
      <c r="V60" s="1252">
        <f t="shared" si="64"/>
        <v>3040</v>
      </c>
      <c r="W60" s="1245">
        <v>59.97</v>
      </c>
      <c r="X60" s="1246">
        <f t="shared" si="65"/>
        <v>57760</v>
      </c>
      <c r="Y60" s="1247">
        <f t="shared" si="66"/>
        <v>0.25075000000000003</v>
      </c>
      <c r="Z60" s="1247">
        <f>57760*0.25/100</f>
        <v>144.4</v>
      </c>
      <c r="AA60" s="1265"/>
      <c r="AB60" s="1265">
        <f t="shared" si="67"/>
        <v>0</v>
      </c>
      <c r="AC60" s="119">
        <v>0.2</v>
      </c>
      <c r="AD60" s="1248">
        <f t="shared" si="68"/>
        <v>115.52</v>
      </c>
      <c r="AE60" s="229">
        <v>20100282</v>
      </c>
      <c r="AF60" s="1313"/>
      <c r="AG60" s="230">
        <v>20340</v>
      </c>
      <c r="AH60" s="233">
        <f t="shared" si="69"/>
        <v>1423.8</v>
      </c>
      <c r="AI60" s="220">
        <f t="shared" si="70"/>
        <v>21763.8</v>
      </c>
      <c r="AJ60" s="221">
        <v>44130</v>
      </c>
      <c r="AK60" s="121"/>
      <c r="AL60" s="121"/>
      <c r="AM60" s="121" t="s">
        <v>3423</v>
      </c>
      <c r="AN60" s="979">
        <v>0.3</v>
      </c>
      <c r="AO60" s="128">
        <v>1</v>
      </c>
      <c r="AP60" s="129" t="s">
        <v>4133</v>
      </c>
      <c r="AQ60" s="130"/>
      <c r="AR60" s="130" t="s">
        <v>3423</v>
      </c>
      <c r="AS60" s="131">
        <v>2</v>
      </c>
      <c r="AT60" s="132" t="s">
        <v>4410</v>
      </c>
      <c r="AU60" s="128">
        <v>2</v>
      </c>
      <c r="AV60" s="123" t="s">
        <v>600</v>
      </c>
      <c r="AW60" s="131"/>
      <c r="AX60" s="131" t="s">
        <v>3423</v>
      </c>
      <c r="AY60" s="131">
        <v>1</v>
      </c>
      <c r="AZ60" s="169" t="s">
        <v>636</v>
      </c>
      <c r="BA60" s="128"/>
      <c r="BB60" s="133"/>
      <c r="BC60" s="128"/>
      <c r="BD60" s="128"/>
      <c r="BE60" s="128"/>
      <c r="BF60" s="133"/>
      <c r="BG60" s="128"/>
      <c r="BH60" s="133"/>
      <c r="BI60" s="128"/>
      <c r="BJ60" s="128"/>
      <c r="BK60" s="128"/>
      <c r="BL60" s="133"/>
      <c r="BM60" s="128"/>
      <c r="BN60" s="133"/>
      <c r="BO60" s="128"/>
      <c r="BP60" s="128"/>
      <c r="BQ60" s="128"/>
      <c r="BR60" s="133"/>
      <c r="BS60" s="128"/>
      <c r="BT60" s="133"/>
      <c r="BU60" s="128"/>
      <c r="BV60" s="128"/>
      <c r="BW60" s="128"/>
      <c r="BX60" s="133"/>
      <c r="BY60" s="128"/>
      <c r="BZ60" s="133"/>
      <c r="CA60" s="128"/>
      <c r="CB60" s="128"/>
      <c r="CC60" s="128"/>
      <c r="CD60" s="133"/>
      <c r="CE60" s="128"/>
      <c r="CF60" s="133"/>
      <c r="CG60" s="128"/>
      <c r="CH60" s="128"/>
      <c r="CI60" s="128"/>
      <c r="CJ60" s="128"/>
    </row>
    <row r="61" spans="1:88" x14ac:dyDescent="0.5">
      <c r="A61" s="180"/>
      <c r="B61" s="181"/>
      <c r="C61" s="1236"/>
      <c r="D61" s="1237"/>
      <c r="E61" s="749"/>
      <c r="F61" s="938"/>
      <c r="G61" s="939"/>
      <c r="H61" s="304"/>
      <c r="I61" s="1125"/>
      <c r="J61" s="961"/>
      <c r="K61" s="200"/>
      <c r="L61" s="181"/>
      <c r="M61" s="188"/>
      <c r="N61" s="181"/>
      <c r="O61" s="189"/>
      <c r="P61" s="189"/>
      <c r="Q61" s="189"/>
      <c r="R61" s="190"/>
      <c r="S61" s="215"/>
      <c r="T61" s="216"/>
      <c r="U61" s="217"/>
      <c r="V61" s="1253"/>
      <c r="W61" s="1238"/>
      <c r="X61" s="1239"/>
      <c r="Y61" s="1240"/>
      <c r="Z61" s="1240"/>
      <c r="AA61" s="1263"/>
      <c r="AB61" s="1263"/>
      <c r="AC61" s="197"/>
      <c r="AD61" s="1241"/>
      <c r="AE61" s="200">
        <v>20100281</v>
      </c>
      <c r="AF61" s="1242" t="s">
        <v>3423</v>
      </c>
      <c r="AG61" s="201">
        <v>47460</v>
      </c>
      <c r="AH61" s="237">
        <f>AG61*7/100</f>
        <v>3322.2</v>
      </c>
      <c r="AI61" s="202">
        <f>AG61+AH61</f>
        <v>50782.2</v>
      </c>
      <c r="AJ61" s="203">
        <v>44130</v>
      </c>
      <c r="AK61" s="199"/>
      <c r="AL61" s="199"/>
      <c r="AM61" s="199" t="s">
        <v>3423</v>
      </c>
      <c r="AN61" s="843">
        <v>0.7</v>
      </c>
      <c r="AO61" s="204"/>
      <c r="AP61" s="205"/>
      <c r="AQ61" s="206"/>
      <c r="AR61" s="206"/>
      <c r="AS61" s="207"/>
      <c r="AT61" s="208"/>
      <c r="AU61" s="204"/>
      <c r="AV61" s="200"/>
      <c r="AW61" s="207"/>
      <c r="AX61" s="207"/>
      <c r="AY61" s="207"/>
      <c r="AZ61" s="209"/>
      <c r="BA61" s="204"/>
      <c r="BB61" s="210"/>
      <c r="BC61" s="204"/>
      <c r="BD61" s="204"/>
      <c r="BE61" s="204"/>
      <c r="BF61" s="210"/>
      <c r="BG61" s="204"/>
      <c r="BH61" s="210"/>
      <c r="BI61" s="204"/>
      <c r="BJ61" s="204"/>
      <c r="BK61" s="204"/>
      <c r="BL61" s="210"/>
      <c r="BM61" s="204"/>
      <c r="BN61" s="210"/>
      <c r="BO61" s="204"/>
      <c r="BP61" s="204"/>
      <c r="BQ61" s="204"/>
      <c r="BR61" s="210"/>
      <c r="BS61" s="204"/>
      <c r="BT61" s="210"/>
      <c r="BU61" s="204"/>
      <c r="BV61" s="204"/>
      <c r="BW61" s="204"/>
      <c r="BX61" s="210"/>
      <c r="BY61" s="204"/>
      <c r="BZ61" s="210"/>
      <c r="CA61" s="204"/>
      <c r="CB61" s="204"/>
      <c r="CC61" s="204"/>
      <c r="CD61" s="210"/>
      <c r="CE61" s="204"/>
      <c r="CF61" s="210"/>
      <c r="CG61" s="204"/>
      <c r="CH61" s="204"/>
      <c r="CI61" s="204"/>
      <c r="CJ61" s="204"/>
    </row>
    <row r="62" spans="1:88" x14ac:dyDescent="0.5">
      <c r="A62" s="21">
        <v>20106697</v>
      </c>
      <c r="B62" s="22">
        <v>20100805</v>
      </c>
      <c r="C62" s="1019" t="s">
        <v>2576</v>
      </c>
      <c r="D62" s="1020" t="s">
        <v>2691</v>
      </c>
      <c r="E62" s="884">
        <v>44130</v>
      </c>
      <c r="F62" s="932" t="s">
        <v>3368</v>
      </c>
      <c r="G62" s="933" t="s">
        <v>2660</v>
      </c>
      <c r="H62" s="884">
        <v>44156</v>
      </c>
      <c r="I62" s="1021">
        <v>63270</v>
      </c>
      <c r="J62" s="931" t="s">
        <v>3423</v>
      </c>
      <c r="K62" s="957">
        <v>44158</v>
      </c>
      <c r="L62" s="22" t="s">
        <v>1346</v>
      </c>
      <c r="M62" s="28" t="s">
        <v>4411</v>
      </c>
      <c r="N62" s="22" t="s">
        <v>52</v>
      </c>
      <c r="O62" s="29">
        <v>195327.1</v>
      </c>
      <c r="P62" s="29">
        <f t="shared" ref="P62:P103" si="121">O62*7/100</f>
        <v>13672.896999999999</v>
      </c>
      <c r="Q62" s="29">
        <f t="shared" ref="Q62:Q103" si="122">O62+P62</f>
        <v>208999.997</v>
      </c>
      <c r="R62" s="30">
        <v>5900</v>
      </c>
      <c r="S62" s="96"/>
      <c r="T62" s="97"/>
      <c r="U62" s="98"/>
      <c r="V62" s="1225"/>
      <c r="W62" s="1231">
        <v>60.6</v>
      </c>
      <c r="X62" s="1184">
        <f>O62-R62</f>
        <v>189427.1</v>
      </c>
      <c r="Y62" s="1223">
        <f t="shared" ref="Y62:Y103" si="123">SUM((50-W62)/(100)*(2.5)+(0.5))</f>
        <v>0.23499999999999999</v>
      </c>
      <c r="Z62" s="1223">
        <f>189427.1*0.24/100</f>
        <v>454.62504000000001</v>
      </c>
      <c r="AA62" s="1228"/>
      <c r="AB62" s="1228">
        <f t="shared" si="0"/>
        <v>0</v>
      </c>
      <c r="AC62" s="37">
        <v>0.2</v>
      </c>
      <c r="AD62" s="1234">
        <f t="shared" ref="AD62:AD103" si="124">X62*AC62/100</f>
        <v>378.85420000000005</v>
      </c>
      <c r="AE62" s="40">
        <v>20100278</v>
      </c>
      <c r="AF62" s="1186" t="s">
        <v>3423</v>
      </c>
      <c r="AG62" s="41">
        <v>195327.1</v>
      </c>
      <c r="AH62" s="63">
        <f t="shared" ref="AH62:AH103" si="125">AG62*7/100</f>
        <v>13672.896999999999</v>
      </c>
      <c r="AI62" s="52">
        <f t="shared" ref="AI62:AI103" si="126">AG62+AH62</f>
        <v>208999.997</v>
      </c>
      <c r="AJ62" s="53">
        <v>44129</v>
      </c>
      <c r="AK62" s="39"/>
      <c r="AL62" s="39"/>
      <c r="AM62" s="39" t="s">
        <v>3423</v>
      </c>
      <c r="AN62" s="21"/>
      <c r="AO62" s="1739">
        <v>1</v>
      </c>
      <c r="AP62" s="45" t="s">
        <v>650</v>
      </c>
      <c r="AQ62" s="46"/>
      <c r="AR62" s="46" t="s">
        <v>3423</v>
      </c>
      <c r="AS62" s="47">
        <v>1</v>
      </c>
      <c r="AT62" s="48" t="s">
        <v>634</v>
      </c>
      <c r="AU62" s="1739">
        <v>2</v>
      </c>
      <c r="AV62" s="40" t="s">
        <v>4412</v>
      </c>
      <c r="AW62" s="47"/>
      <c r="AX62" s="47" t="s">
        <v>3423</v>
      </c>
      <c r="AY62" s="47">
        <v>1</v>
      </c>
      <c r="AZ62" s="49" t="s">
        <v>634</v>
      </c>
      <c r="BA62" s="1844"/>
      <c r="BB62" s="54"/>
      <c r="BC62" s="1844"/>
      <c r="BD62" s="1844"/>
      <c r="BE62" s="1844"/>
      <c r="BF62" s="54"/>
      <c r="BG62" s="1844"/>
      <c r="BH62" s="54"/>
      <c r="BI62" s="1844"/>
      <c r="BJ62" s="1844"/>
      <c r="BK62" s="1844"/>
      <c r="BL62" s="54"/>
      <c r="BM62" s="1844"/>
      <c r="BN62" s="54"/>
      <c r="BO62" s="1844"/>
      <c r="BP62" s="1844"/>
      <c r="BQ62" s="1844"/>
      <c r="BR62" s="54"/>
      <c r="BS62" s="1844"/>
      <c r="BT62" s="54"/>
      <c r="BU62" s="1844"/>
      <c r="BV62" s="1844"/>
      <c r="BW62" s="1844"/>
      <c r="BX62" s="54"/>
      <c r="BY62" s="1844"/>
      <c r="BZ62" s="54"/>
      <c r="CA62" s="1844"/>
      <c r="CB62" s="1844"/>
      <c r="CC62" s="1844"/>
      <c r="CD62" s="54"/>
      <c r="CE62" s="1844"/>
      <c r="CF62" s="54"/>
      <c r="CG62" s="1844"/>
      <c r="CH62" s="1844"/>
      <c r="CI62" s="1844"/>
      <c r="CJ62" s="1844"/>
    </row>
    <row r="63" spans="1:88" x14ac:dyDescent="0.5">
      <c r="A63" s="103">
        <v>20106696</v>
      </c>
      <c r="B63" s="104">
        <v>20100807</v>
      </c>
      <c r="C63" s="1243" t="s">
        <v>2589</v>
      </c>
      <c r="D63" s="1244" t="s">
        <v>2691</v>
      </c>
      <c r="E63" s="302">
        <v>44139</v>
      </c>
      <c r="F63" s="936" t="s">
        <v>3368</v>
      </c>
      <c r="G63" s="937" t="s">
        <v>2616</v>
      </c>
      <c r="H63" s="914">
        <v>44161</v>
      </c>
      <c r="I63" s="1315">
        <v>63277</v>
      </c>
      <c r="J63" s="960" t="s">
        <v>3423</v>
      </c>
      <c r="K63" s="965">
        <v>44164</v>
      </c>
      <c r="L63" s="104" t="s">
        <v>4371</v>
      </c>
      <c r="M63" s="110" t="s">
        <v>4372</v>
      </c>
      <c r="N63" s="104" t="s">
        <v>50</v>
      </c>
      <c r="O63" s="111">
        <v>480000</v>
      </c>
      <c r="P63" s="111">
        <f t="shared" si="121"/>
        <v>33600</v>
      </c>
      <c r="Q63" s="111">
        <f t="shared" si="122"/>
        <v>513600</v>
      </c>
      <c r="R63" s="1009"/>
      <c r="S63" s="1010"/>
      <c r="T63" s="1011">
        <f t="shared" ref="T63:T103" si="127">O63-R63</f>
        <v>480000</v>
      </c>
      <c r="U63" s="1012"/>
      <c r="V63" s="1417">
        <f t="shared" ref="V63:V103" si="128">T63*U63/100</f>
        <v>0</v>
      </c>
      <c r="W63" s="1417"/>
      <c r="X63" s="1014">
        <f t="shared" ref="X63:X103" si="129">T63-V63</f>
        <v>480000</v>
      </c>
      <c r="Y63" s="1417">
        <f t="shared" si="123"/>
        <v>1.75</v>
      </c>
      <c r="Z63" s="1417"/>
      <c r="AA63" s="1265"/>
      <c r="AB63" s="1265">
        <f t="shared" si="0"/>
        <v>0</v>
      </c>
      <c r="AC63" s="231"/>
      <c r="AD63" s="1309">
        <f t="shared" si="124"/>
        <v>0</v>
      </c>
      <c r="AE63" s="229">
        <v>20100275</v>
      </c>
      <c r="AF63" s="1313"/>
      <c r="AG63" s="230">
        <v>144000</v>
      </c>
      <c r="AH63" s="233">
        <f t="shared" si="125"/>
        <v>10080</v>
      </c>
      <c r="AI63" s="220">
        <f t="shared" si="126"/>
        <v>154080</v>
      </c>
      <c r="AJ63" s="221">
        <v>44119</v>
      </c>
      <c r="AK63" s="121"/>
      <c r="AL63" s="121"/>
      <c r="AM63" s="121"/>
      <c r="AN63" s="222" t="s">
        <v>1025</v>
      </c>
      <c r="AO63" s="128">
        <v>1</v>
      </c>
      <c r="AP63" s="129" t="s">
        <v>1831</v>
      </c>
      <c r="AQ63" s="130"/>
      <c r="AR63" s="130" t="s">
        <v>3423</v>
      </c>
      <c r="AS63" s="131">
        <v>1</v>
      </c>
      <c r="AT63" s="132" t="s">
        <v>634</v>
      </c>
      <c r="AU63" s="128">
        <v>2</v>
      </c>
      <c r="AV63" s="123" t="s">
        <v>4373</v>
      </c>
      <c r="AW63" s="131"/>
      <c r="AX63" s="131" t="s">
        <v>3423</v>
      </c>
      <c r="AY63" s="131">
        <v>1</v>
      </c>
      <c r="AZ63" s="169" t="s">
        <v>634</v>
      </c>
      <c r="BA63" s="128">
        <v>3</v>
      </c>
      <c r="BB63" s="123" t="s">
        <v>2530</v>
      </c>
      <c r="BC63" s="131"/>
      <c r="BD63" s="131" t="s">
        <v>3423</v>
      </c>
      <c r="BE63" s="131">
        <v>1</v>
      </c>
      <c r="BF63" s="169" t="s">
        <v>634</v>
      </c>
      <c r="BG63" s="128"/>
      <c r="BH63" s="133"/>
      <c r="BI63" s="128"/>
      <c r="BJ63" s="128"/>
      <c r="BK63" s="128"/>
      <c r="BL63" s="133"/>
      <c r="BM63" s="128"/>
      <c r="BN63" s="133"/>
      <c r="BO63" s="128"/>
      <c r="BP63" s="128"/>
      <c r="BQ63" s="128"/>
      <c r="BR63" s="133"/>
      <c r="BS63" s="128"/>
      <c r="BT63" s="133"/>
      <c r="BU63" s="128"/>
      <c r="BV63" s="128"/>
      <c r="BW63" s="128"/>
      <c r="BX63" s="133"/>
      <c r="BY63" s="128"/>
      <c r="BZ63" s="133"/>
      <c r="CA63" s="128"/>
      <c r="CB63" s="128"/>
      <c r="CC63" s="128"/>
      <c r="CD63" s="133"/>
      <c r="CE63" s="128"/>
      <c r="CF63" s="133"/>
      <c r="CG63" s="128"/>
      <c r="CH63" s="128"/>
      <c r="CI63" s="128"/>
      <c r="CJ63" s="128"/>
    </row>
    <row r="64" spans="1:88" x14ac:dyDescent="0.5">
      <c r="A64" s="134"/>
      <c r="B64" s="135"/>
      <c r="C64" s="1290"/>
      <c r="D64" s="1291"/>
      <c r="E64" s="906"/>
      <c r="F64" s="940"/>
      <c r="G64" s="941"/>
      <c r="H64" s="1316">
        <v>44161</v>
      </c>
      <c r="I64" s="1317">
        <v>63278</v>
      </c>
      <c r="J64" s="963"/>
      <c r="K64" s="154"/>
      <c r="L64" s="135"/>
      <c r="M64" s="135"/>
      <c r="N64" s="135"/>
      <c r="O64" s="142"/>
      <c r="P64" s="142"/>
      <c r="Q64" s="142"/>
      <c r="R64" s="1986"/>
      <c r="S64" s="1324"/>
      <c r="T64" s="1987"/>
      <c r="U64" s="1988"/>
      <c r="V64" s="1989"/>
      <c r="W64" s="1989"/>
      <c r="X64" s="1117"/>
      <c r="Y64" s="1989"/>
      <c r="Z64" s="1989"/>
      <c r="AA64" s="1308"/>
      <c r="AB64" s="1308"/>
      <c r="AC64" s="282"/>
      <c r="AD64" s="1311"/>
      <c r="AE64" s="154">
        <v>20120314</v>
      </c>
      <c r="AF64" s="1298" t="s">
        <v>1205</v>
      </c>
      <c r="AG64" s="155">
        <v>240000</v>
      </c>
      <c r="AH64" s="253">
        <f t="shared" si="125"/>
        <v>16800</v>
      </c>
      <c r="AI64" s="156">
        <f t="shared" si="126"/>
        <v>256800</v>
      </c>
      <c r="AJ64" s="157">
        <v>44166</v>
      </c>
      <c r="AK64" s="152"/>
      <c r="AL64" s="152"/>
      <c r="AM64" s="152" t="s">
        <v>3423</v>
      </c>
      <c r="AN64" s="134" t="s">
        <v>4499</v>
      </c>
      <c r="AO64" s="158"/>
      <c r="AP64" s="159"/>
      <c r="AQ64" s="160"/>
      <c r="AR64" s="160"/>
      <c r="AS64" s="161"/>
      <c r="AT64" s="162"/>
      <c r="AU64" s="158"/>
      <c r="AV64" s="154"/>
      <c r="AW64" s="161"/>
      <c r="AX64" s="161"/>
      <c r="AY64" s="161"/>
      <c r="AZ64" s="177"/>
      <c r="BA64" s="158"/>
      <c r="BB64" s="154"/>
      <c r="BC64" s="161"/>
      <c r="BD64" s="161"/>
      <c r="BE64" s="161"/>
      <c r="BF64" s="177"/>
      <c r="BG64" s="158"/>
      <c r="BH64" s="163"/>
      <c r="BI64" s="158"/>
      <c r="BJ64" s="158"/>
      <c r="BK64" s="158"/>
      <c r="BL64" s="163"/>
      <c r="BM64" s="158"/>
      <c r="BN64" s="163"/>
      <c r="BO64" s="158"/>
      <c r="BP64" s="158"/>
      <c r="BQ64" s="158"/>
      <c r="BR64" s="163"/>
      <c r="BS64" s="158"/>
      <c r="BT64" s="163"/>
      <c r="BU64" s="158"/>
      <c r="BV64" s="158"/>
      <c r="BW64" s="158"/>
      <c r="BX64" s="163"/>
      <c r="BY64" s="158"/>
      <c r="BZ64" s="163"/>
      <c r="CA64" s="158"/>
      <c r="CB64" s="158"/>
      <c r="CC64" s="158"/>
      <c r="CD64" s="163"/>
      <c r="CE64" s="158"/>
      <c r="CF64" s="163"/>
      <c r="CG64" s="158"/>
      <c r="CH64" s="158"/>
      <c r="CI64" s="158"/>
      <c r="CJ64" s="158"/>
    </row>
    <row r="65" spans="1:88" x14ac:dyDescent="0.5">
      <c r="A65" s="180"/>
      <c r="B65" s="181"/>
      <c r="C65" s="1236"/>
      <c r="D65" s="1237"/>
      <c r="E65" s="749"/>
      <c r="F65" s="938"/>
      <c r="G65" s="939"/>
      <c r="H65" s="749">
        <v>44161</v>
      </c>
      <c r="I65" s="1125">
        <v>63249</v>
      </c>
      <c r="J65" s="961"/>
      <c r="K65" s="200"/>
      <c r="L65" s="181"/>
      <c r="M65" s="188"/>
      <c r="N65" s="181"/>
      <c r="O65" s="189"/>
      <c r="P65" s="189"/>
      <c r="Q65" s="189"/>
      <c r="R65" s="1002"/>
      <c r="S65" s="1003"/>
      <c r="T65" s="1004"/>
      <c r="U65" s="1005"/>
      <c r="V65" s="1822"/>
      <c r="W65" s="1822"/>
      <c r="X65" s="1007"/>
      <c r="Y65" s="1822"/>
      <c r="Z65" s="1822"/>
      <c r="AA65" s="1263"/>
      <c r="AB65" s="1263"/>
      <c r="AC65" s="235"/>
      <c r="AD65" s="1303"/>
      <c r="AE65" s="200"/>
      <c r="AF65" s="1242"/>
      <c r="AG65" s="201"/>
      <c r="AH65" s="237"/>
      <c r="AI65" s="202"/>
      <c r="AJ65" s="203"/>
      <c r="AK65" s="199"/>
      <c r="AL65" s="199"/>
      <c r="AM65" s="199"/>
      <c r="AN65" s="180"/>
      <c r="AO65" s="204"/>
      <c r="AP65" s="205"/>
      <c r="AQ65" s="206"/>
      <c r="AR65" s="206"/>
      <c r="AS65" s="207"/>
      <c r="AT65" s="208"/>
      <c r="AU65" s="204"/>
      <c r="AV65" s="200"/>
      <c r="AW65" s="207"/>
      <c r="AX65" s="207"/>
      <c r="AY65" s="207"/>
      <c r="AZ65" s="209"/>
      <c r="BA65" s="204"/>
      <c r="BB65" s="200"/>
      <c r="BC65" s="207"/>
      <c r="BD65" s="207"/>
      <c r="BE65" s="207"/>
      <c r="BF65" s="209"/>
      <c r="BG65" s="204"/>
      <c r="BH65" s="210"/>
      <c r="BI65" s="204"/>
      <c r="BJ65" s="204"/>
      <c r="BK65" s="204"/>
      <c r="BL65" s="210"/>
      <c r="BM65" s="204"/>
      <c r="BN65" s="210"/>
      <c r="BO65" s="204"/>
      <c r="BP65" s="204"/>
      <c r="BQ65" s="204"/>
      <c r="BR65" s="210"/>
      <c r="BS65" s="204"/>
      <c r="BT65" s="210"/>
      <c r="BU65" s="204"/>
      <c r="BV65" s="204"/>
      <c r="BW65" s="204"/>
      <c r="BX65" s="210"/>
      <c r="BY65" s="204"/>
      <c r="BZ65" s="210"/>
      <c r="CA65" s="204"/>
      <c r="CB65" s="204"/>
      <c r="CC65" s="204"/>
      <c r="CD65" s="210"/>
      <c r="CE65" s="204"/>
      <c r="CF65" s="210"/>
      <c r="CG65" s="204"/>
      <c r="CH65" s="204"/>
      <c r="CI65" s="204"/>
      <c r="CJ65" s="204"/>
    </row>
    <row r="66" spans="1:88" x14ac:dyDescent="0.5">
      <c r="A66" s="21">
        <v>20106695</v>
      </c>
      <c r="B66" s="22">
        <v>20100806</v>
      </c>
      <c r="C66" s="1019" t="s">
        <v>2578</v>
      </c>
      <c r="D66" s="1020" t="s">
        <v>2691</v>
      </c>
      <c r="E66" s="884">
        <v>44131</v>
      </c>
      <c r="F66" s="932"/>
      <c r="G66" s="933"/>
      <c r="H66" s="831"/>
      <c r="I66" s="1021"/>
      <c r="J66" s="931"/>
      <c r="K66" s="40"/>
      <c r="L66" s="22" t="s">
        <v>4374</v>
      </c>
      <c r="M66" s="28" t="s">
        <v>4375</v>
      </c>
      <c r="N66" s="22" t="s">
        <v>50</v>
      </c>
      <c r="O66" s="29">
        <v>164000</v>
      </c>
      <c r="P66" s="29">
        <f t="shared" si="121"/>
        <v>11480</v>
      </c>
      <c r="Q66" s="29">
        <f t="shared" si="122"/>
        <v>175480</v>
      </c>
      <c r="R66" s="61"/>
      <c r="S66" s="96"/>
      <c r="T66" s="97"/>
      <c r="U66" s="98"/>
      <c r="V66" s="1225"/>
      <c r="W66" s="1231">
        <v>60.19</v>
      </c>
      <c r="X66" s="1184">
        <f>O66</f>
        <v>164000</v>
      </c>
      <c r="Y66" s="1223">
        <f t="shared" si="123"/>
        <v>0.24525000000000008</v>
      </c>
      <c r="Z66" s="1223">
        <f>164000*0.25/100</f>
        <v>410</v>
      </c>
      <c r="AA66" s="1228"/>
      <c r="AB66" s="1228">
        <f t="shared" si="0"/>
        <v>0</v>
      </c>
      <c r="AC66" s="100"/>
      <c r="AD66" s="595"/>
      <c r="AE66" s="40">
        <v>20100274</v>
      </c>
      <c r="AF66" s="1186" t="s">
        <v>1205</v>
      </c>
      <c r="AG66" s="41">
        <v>49200</v>
      </c>
      <c r="AH66" s="63">
        <f t="shared" si="125"/>
        <v>3444</v>
      </c>
      <c r="AI66" s="52">
        <f t="shared" si="126"/>
        <v>52644</v>
      </c>
      <c r="AJ66" s="53">
        <v>44119</v>
      </c>
      <c r="AK66" s="39"/>
      <c r="AL66" s="39"/>
      <c r="AM66" s="39"/>
      <c r="AN66" s="1368">
        <v>0.3</v>
      </c>
      <c r="AO66" s="1778">
        <v>1</v>
      </c>
      <c r="AP66" s="45" t="s">
        <v>4376</v>
      </c>
      <c r="AQ66" s="46" t="s">
        <v>3423</v>
      </c>
      <c r="AR66" s="46"/>
      <c r="AS66" s="47">
        <v>2</v>
      </c>
      <c r="AT66" s="48" t="s">
        <v>636</v>
      </c>
      <c r="AU66" s="1840"/>
      <c r="AV66" s="54"/>
      <c r="AW66" s="1840"/>
      <c r="AX66" s="1840"/>
      <c r="AY66" s="1840"/>
      <c r="AZ66" s="54"/>
      <c r="BA66" s="1840"/>
      <c r="BB66" s="54"/>
      <c r="BC66" s="1840"/>
      <c r="BD66" s="1840"/>
      <c r="BE66" s="1840"/>
      <c r="BF66" s="54"/>
      <c r="BG66" s="1840"/>
      <c r="BH66" s="54"/>
      <c r="BI66" s="1840"/>
      <c r="BJ66" s="1840"/>
      <c r="BK66" s="1840"/>
      <c r="BL66" s="54"/>
      <c r="BM66" s="1840"/>
      <c r="BN66" s="54"/>
      <c r="BO66" s="1840"/>
      <c r="BP66" s="1840"/>
      <c r="BQ66" s="1840"/>
      <c r="BR66" s="54"/>
      <c r="BS66" s="1840"/>
      <c r="BT66" s="54"/>
      <c r="BU66" s="1840"/>
      <c r="BV66" s="1840"/>
      <c r="BW66" s="1840"/>
      <c r="BX66" s="54"/>
      <c r="BY66" s="1840"/>
      <c r="BZ66" s="54"/>
      <c r="CA66" s="1840"/>
      <c r="CB66" s="1840"/>
      <c r="CC66" s="1840"/>
      <c r="CD66" s="54"/>
      <c r="CE66" s="1840"/>
      <c r="CF66" s="54"/>
      <c r="CG66" s="1840"/>
      <c r="CH66" s="1840"/>
      <c r="CI66" s="1840"/>
      <c r="CJ66" s="1840"/>
    </row>
    <row r="67" spans="1:88" x14ac:dyDescent="0.5">
      <c r="A67" s="21">
        <v>20106694</v>
      </c>
      <c r="B67" s="22">
        <v>20100809</v>
      </c>
      <c r="C67" s="55"/>
      <c r="D67" s="56"/>
      <c r="E67" s="910"/>
      <c r="F67" s="57"/>
      <c r="G67" s="58"/>
      <c r="H67" s="59"/>
      <c r="I67" s="60"/>
      <c r="J67" s="269"/>
      <c r="K67" s="59"/>
      <c r="L67" s="22" t="s">
        <v>4246</v>
      </c>
      <c r="M67" s="28" t="s">
        <v>4247</v>
      </c>
      <c r="N67" s="22" t="s">
        <v>51</v>
      </c>
      <c r="O67" s="29">
        <v>20000</v>
      </c>
      <c r="P67" s="29">
        <f t="shared" ref="P67:P72" si="130">O67*7/100</f>
        <v>1400</v>
      </c>
      <c r="Q67" s="29">
        <f t="shared" ref="Q67:Q72" si="131">O67+P67</f>
        <v>21400</v>
      </c>
      <c r="R67" s="61"/>
      <c r="S67" s="96"/>
      <c r="T67" s="97"/>
      <c r="U67" s="98"/>
      <c r="V67" s="1225"/>
      <c r="W67" s="1225"/>
      <c r="X67" s="100"/>
      <c r="Y67" s="1225"/>
      <c r="Z67" s="1225"/>
      <c r="AA67" s="1225"/>
      <c r="AB67" s="1225"/>
      <c r="AC67" s="100"/>
      <c r="AD67" s="595"/>
      <c r="AE67" s="40">
        <v>20100273</v>
      </c>
      <c r="AF67" s="1186" t="s">
        <v>3423</v>
      </c>
      <c r="AG67" s="41">
        <v>20000</v>
      </c>
      <c r="AH67" s="63">
        <f t="shared" ref="AH67:AH72" si="132">AG67*7/100</f>
        <v>1400</v>
      </c>
      <c r="AI67" s="52">
        <f t="shared" ref="AI67:AI72" si="133">AG67+AH67</f>
        <v>21400</v>
      </c>
      <c r="AJ67" s="53">
        <v>44149</v>
      </c>
      <c r="AK67" s="39"/>
      <c r="AL67" s="39"/>
      <c r="AM67" s="39" t="s">
        <v>3423</v>
      </c>
      <c r="AN67" s="21"/>
      <c r="AO67" s="1778">
        <v>1</v>
      </c>
      <c r="AP67" s="45" t="s">
        <v>4248</v>
      </c>
      <c r="AQ67" s="46"/>
      <c r="AR67" s="46"/>
      <c r="AS67" s="47">
        <v>2</v>
      </c>
      <c r="AT67" s="48" t="s">
        <v>628</v>
      </c>
      <c r="AU67" s="1841"/>
      <c r="AV67" s="54"/>
      <c r="AW67" s="1841"/>
      <c r="AX67" s="1841"/>
      <c r="AY67" s="1841"/>
      <c r="AZ67" s="54"/>
      <c r="BA67" s="1841"/>
      <c r="BB67" s="54"/>
      <c r="BC67" s="1841"/>
      <c r="BD67" s="1841"/>
      <c r="BE67" s="1841"/>
      <c r="BF67" s="54"/>
      <c r="BG67" s="1841"/>
      <c r="BH67" s="54"/>
      <c r="BI67" s="1841"/>
      <c r="BJ67" s="1841"/>
      <c r="BK67" s="1841"/>
      <c r="BL67" s="54"/>
      <c r="BM67" s="1841"/>
      <c r="BN67" s="54"/>
      <c r="BO67" s="1841"/>
      <c r="BP67" s="1841"/>
      <c r="BQ67" s="1841"/>
      <c r="BR67" s="54"/>
      <c r="BS67" s="1841"/>
      <c r="BT67" s="54"/>
      <c r="BU67" s="1841"/>
      <c r="BV67" s="1841"/>
      <c r="BW67" s="1841"/>
      <c r="BX67" s="54"/>
      <c r="BY67" s="1841"/>
      <c r="BZ67" s="54"/>
      <c r="CA67" s="1841"/>
      <c r="CB67" s="1841"/>
      <c r="CC67" s="1841"/>
      <c r="CD67" s="54"/>
      <c r="CE67" s="1841"/>
      <c r="CF67" s="54"/>
      <c r="CG67" s="1841"/>
      <c r="CH67" s="1841"/>
      <c r="CI67" s="1841"/>
      <c r="CJ67" s="1841"/>
    </row>
    <row r="68" spans="1:88" x14ac:dyDescent="0.5">
      <c r="A68" s="21">
        <v>20106693</v>
      </c>
      <c r="B68" s="22">
        <v>20100808</v>
      </c>
      <c r="C68" s="55"/>
      <c r="D68" s="56"/>
      <c r="E68" s="910"/>
      <c r="F68" s="57"/>
      <c r="G68" s="58"/>
      <c r="H68" s="59"/>
      <c r="I68" s="60"/>
      <c r="J68" s="269"/>
      <c r="K68" s="59"/>
      <c r="L68" s="22" t="s">
        <v>3255</v>
      </c>
      <c r="M68" s="28" t="s">
        <v>4377</v>
      </c>
      <c r="N68" s="22" t="s">
        <v>51</v>
      </c>
      <c r="O68" s="29">
        <v>7200</v>
      </c>
      <c r="P68" s="29">
        <f t="shared" si="130"/>
        <v>504</v>
      </c>
      <c r="Q68" s="29">
        <f t="shared" si="131"/>
        <v>7704</v>
      </c>
      <c r="R68" s="61"/>
      <c r="S68" s="96"/>
      <c r="T68" s="97"/>
      <c r="U68" s="98"/>
      <c r="V68" s="1225"/>
      <c r="W68" s="1225"/>
      <c r="X68" s="100"/>
      <c r="Y68" s="1225"/>
      <c r="Z68" s="1225"/>
      <c r="AA68" s="1225"/>
      <c r="AB68" s="1225"/>
      <c r="AC68" s="100"/>
      <c r="AD68" s="595"/>
      <c r="AE68" s="40">
        <v>20110293</v>
      </c>
      <c r="AF68" s="1186" t="s">
        <v>3423</v>
      </c>
      <c r="AG68" s="41">
        <v>7200</v>
      </c>
      <c r="AH68" s="63">
        <f t="shared" si="132"/>
        <v>504</v>
      </c>
      <c r="AI68" s="52">
        <f t="shared" si="133"/>
        <v>7704</v>
      </c>
      <c r="AJ68" s="53">
        <v>44167</v>
      </c>
      <c r="AK68" s="39"/>
      <c r="AL68" s="39"/>
      <c r="AM68" s="39" t="s">
        <v>3423</v>
      </c>
      <c r="AN68" s="21"/>
      <c r="AO68" s="1778">
        <v>1</v>
      </c>
      <c r="AP68" s="45" t="s">
        <v>4378</v>
      </c>
      <c r="AQ68" s="46"/>
      <c r="AR68" s="46"/>
      <c r="AS68" s="47">
        <v>1</v>
      </c>
      <c r="AT68" s="48" t="s">
        <v>628</v>
      </c>
      <c r="AU68" s="1841"/>
      <c r="AV68" s="54"/>
      <c r="AW68" s="1841"/>
      <c r="AX68" s="1841"/>
      <c r="AY68" s="1841"/>
      <c r="AZ68" s="54"/>
      <c r="BA68" s="1841"/>
      <c r="BB68" s="54"/>
      <c r="BC68" s="1841"/>
      <c r="BD68" s="1841"/>
      <c r="BE68" s="1841"/>
      <c r="BF68" s="54"/>
      <c r="BG68" s="1841"/>
      <c r="BH68" s="54"/>
      <c r="BI68" s="1841"/>
      <c r="BJ68" s="1841"/>
      <c r="BK68" s="1841"/>
      <c r="BL68" s="54"/>
      <c r="BM68" s="1841"/>
      <c r="BN68" s="54"/>
      <c r="BO68" s="1841"/>
      <c r="BP68" s="1841"/>
      <c r="BQ68" s="1841"/>
      <c r="BR68" s="54"/>
      <c r="BS68" s="1841"/>
      <c r="BT68" s="54"/>
      <c r="BU68" s="1841"/>
      <c r="BV68" s="1841"/>
      <c r="BW68" s="1841"/>
      <c r="BX68" s="54"/>
      <c r="BY68" s="1841"/>
      <c r="BZ68" s="54"/>
      <c r="CA68" s="1841"/>
      <c r="CB68" s="1841"/>
      <c r="CC68" s="1841"/>
      <c r="CD68" s="54"/>
      <c r="CE68" s="1841"/>
      <c r="CF68" s="54"/>
      <c r="CG68" s="1841"/>
      <c r="CH68" s="1841"/>
      <c r="CI68" s="1841"/>
      <c r="CJ68" s="1841"/>
    </row>
    <row r="69" spans="1:88" x14ac:dyDescent="0.5">
      <c r="A69" s="21">
        <v>20106692</v>
      </c>
      <c r="B69" s="22">
        <v>20100795</v>
      </c>
      <c r="C69" s="55"/>
      <c r="D69" s="56"/>
      <c r="E69" s="910"/>
      <c r="F69" s="57"/>
      <c r="G69" s="58"/>
      <c r="H69" s="884">
        <v>44111</v>
      </c>
      <c r="I69" s="1021">
        <v>63236</v>
      </c>
      <c r="J69" s="931" t="s">
        <v>3423</v>
      </c>
      <c r="K69" s="957">
        <v>44112</v>
      </c>
      <c r="L69" s="22" t="s">
        <v>101</v>
      </c>
      <c r="M69" s="28" t="s">
        <v>4361</v>
      </c>
      <c r="N69" s="22" t="s">
        <v>1523</v>
      </c>
      <c r="O69" s="29">
        <v>30280.37</v>
      </c>
      <c r="P69" s="29">
        <f t="shared" si="130"/>
        <v>2119.6259</v>
      </c>
      <c r="Q69" s="29">
        <f t="shared" si="131"/>
        <v>32399.995899999998</v>
      </c>
      <c r="R69" s="61"/>
      <c r="S69" s="96"/>
      <c r="T69" s="97"/>
      <c r="U69" s="98"/>
      <c r="V69" s="1225"/>
      <c r="W69" s="1231">
        <v>6.54</v>
      </c>
      <c r="X69" s="1184">
        <f>O69</f>
        <v>30280.37</v>
      </c>
      <c r="Y69" s="1223">
        <v>1</v>
      </c>
      <c r="Z69" s="1223">
        <f>30280.37*1/100</f>
        <v>302.80369999999999</v>
      </c>
      <c r="AA69" s="1228"/>
      <c r="AB69" s="1228">
        <f t="shared" ref="AB69:AB72" si="134">X69*AA69/100</f>
        <v>0</v>
      </c>
      <c r="AC69" s="100"/>
      <c r="AD69" s="595"/>
      <c r="AE69" s="40">
        <v>20100265</v>
      </c>
      <c r="AF69" s="1186" t="s">
        <v>3423</v>
      </c>
      <c r="AG69" s="41">
        <v>30280.37</v>
      </c>
      <c r="AH69" s="63">
        <f t="shared" si="132"/>
        <v>2119.6259</v>
      </c>
      <c r="AI69" s="52">
        <f t="shared" si="133"/>
        <v>32399.995899999998</v>
      </c>
      <c r="AJ69" s="53">
        <v>44111</v>
      </c>
      <c r="AK69" s="39" t="s">
        <v>3423</v>
      </c>
      <c r="AL69" s="39"/>
      <c r="AM69" s="39"/>
      <c r="AN69" s="21" t="s">
        <v>4300</v>
      </c>
      <c r="AO69" s="1778">
        <v>1</v>
      </c>
      <c r="AP69" s="45" t="s">
        <v>649</v>
      </c>
      <c r="AQ69" s="46"/>
      <c r="AR69" s="46"/>
      <c r="AS69" s="47">
        <v>27</v>
      </c>
      <c r="AT69" s="48" t="s">
        <v>628</v>
      </c>
      <c r="AU69" s="1813"/>
      <c r="AV69" s="54"/>
      <c r="AW69" s="1813"/>
      <c r="AX69" s="1813"/>
      <c r="AY69" s="1813"/>
      <c r="AZ69" s="54"/>
      <c r="BA69" s="1813"/>
      <c r="BB69" s="54"/>
      <c r="BC69" s="1813"/>
      <c r="BD69" s="1813"/>
      <c r="BE69" s="1813"/>
      <c r="BF69" s="54"/>
      <c r="BG69" s="1813"/>
      <c r="BH69" s="54"/>
      <c r="BI69" s="1813"/>
      <c r="BJ69" s="1813"/>
      <c r="BK69" s="1813"/>
      <c r="BL69" s="54"/>
      <c r="BM69" s="1813"/>
      <c r="BN69" s="54"/>
      <c r="BO69" s="1813"/>
      <c r="BP69" s="1813"/>
      <c r="BQ69" s="1813"/>
      <c r="BR69" s="54"/>
      <c r="BS69" s="1813"/>
      <c r="BT69" s="54"/>
      <c r="BU69" s="1813"/>
      <c r="BV69" s="1813"/>
      <c r="BW69" s="1813"/>
      <c r="BX69" s="54"/>
      <c r="BY69" s="1813"/>
      <c r="BZ69" s="54"/>
      <c r="CA69" s="1813"/>
      <c r="CB69" s="1813"/>
      <c r="CC69" s="1813"/>
      <c r="CD69" s="54"/>
      <c r="CE69" s="1813"/>
      <c r="CF69" s="54"/>
      <c r="CG69" s="1813"/>
      <c r="CH69" s="1813"/>
      <c r="CI69" s="1813"/>
      <c r="CJ69" s="1813"/>
    </row>
    <row r="70" spans="1:88" s="1808" customFormat="1" ht="22.5" thickBot="1" x14ac:dyDescent="0.55000000000000004">
      <c r="A70" s="1784">
        <v>20106691</v>
      </c>
      <c r="B70" s="1785">
        <v>20100794</v>
      </c>
      <c r="C70" s="1786" t="s">
        <v>2582</v>
      </c>
      <c r="D70" s="1787" t="s">
        <v>2691</v>
      </c>
      <c r="E70" s="1788">
        <v>44120</v>
      </c>
      <c r="F70" s="1789"/>
      <c r="G70" s="1790"/>
      <c r="H70" s="1791"/>
      <c r="I70" s="1792"/>
      <c r="J70" s="1793"/>
      <c r="K70" s="1794"/>
      <c r="L70" s="1785" t="s">
        <v>23</v>
      </c>
      <c r="M70" s="1795" t="s">
        <v>505</v>
      </c>
      <c r="N70" s="1785" t="s">
        <v>51</v>
      </c>
      <c r="O70" s="1796">
        <v>71000</v>
      </c>
      <c r="P70" s="1796">
        <f t="shared" si="130"/>
        <v>4970</v>
      </c>
      <c r="Q70" s="1796">
        <f t="shared" si="131"/>
        <v>75970</v>
      </c>
      <c r="R70" s="1832"/>
      <c r="S70" s="1833"/>
      <c r="T70" s="1834"/>
      <c r="U70" s="1835"/>
      <c r="V70" s="1836"/>
      <c r="W70" s="1836"/>
      <c r="X70" s="1837"/>
      <c r="Y70" s="1836"/>
      <c r="Z70" s="1836"/>
      <c r="AA70" s="1836"/>
      <c r="AB70" s="1836"/>
      <c r="AC70" s="1837"/>
      <c r="AD70" s="1838"/>
      <c r="AE70" s="1794"/>
      <c r="AF70" s="1797"/>
      <c r="AG70" s="1798"/>
      <c r="AH70" s="1799">
        <f t="shared" si="132"/>
        <v>0</v>
      </c>
      <c r="AI70" s="1800">
        <f t="shared" si="133"/>
        <v>0</v>
      </c>
      <c r="AJ70" s="1801"/>
      <c r="AK70" s="1802"/>
      <c r="AL70" s="1802"/>
      <c r="AM70" s="1802"/>
      <c r="AN70" s="1784"/>
      <c r="AO70" s="1803">
        <v>1</v>
      </c>
      <c r="AP70" s="1804" t="s">
        <v>4362</v>
      </c>
      <c r="AQ70" s="1805"/>
      <c r="AR70" s="1805"/>
      <c r="AS70" s="1806">
        <v>1</v>
      </c>
      <c r="AT70" s="1807" t="s">
        <v>633</v>
      </c>
      <c r="AU70" s="1803"/>
      <c r="AV70" s="1839"/>
      <c r="AW70" s="1803"/>
      <c r="AX70" s="1803"/>
      <c r="AY70" s="1803"/>
      <c r="AZ70" s="1839"/>
      <c r="BA70" s="1803"/>
      <c r="BB70" s="1839"/>
      <c r="BC70" s="1803"/>
      <c r="BD70" s="1803"/>
      <c r="BE70" s="1803"/>
      <c r="BF70" s="1839"/>
      <c r="BG70" s="1803"/>
      <c r="BH70" s="1839"/>
      <c r="BI70" s="1803"/>
      <c r="BJ70" s="1803"/>
      <c r="BK70" s="1803"/>
      <c r="BL70" s="1839"/>
      <c r="BM70" s="1803"/>
      <c r="BN70" s="1839"/>
      <c r="BO70" s="1803"/>
      <c r="BP70" s="1803"/>
      <c r="BQ70" s="1803"/>
      <c r="BR70" s="1839"/>
      <c r="BS70" s="1803"/>
      <c r="BT70" s="1839"/>
      <c r="BU70" s="1803"/>
      <c r="BV70" s="1803"/>
      <c r="BW70" s="1803"/>
      <c r="BX70" s="1839"/>
      <c r="BY70" s="1803"/>
      <c r="BZ70" s="1839"/>
      <c r="CA70" s="1803"/>
      <c r="CB70" s="1803"/>
      <c r="CC70" s="1803"/>
      <c r="CD70" s="1839"/>
      <c r="CE70" s="1803"/>
      <c r="CF70" s="1839"/>
      <c r="CG70" s="1803"/>
      <c r="CH70" s="1803"/>
      <c r="CI70" s="1803"/>
      <c r="CJ70" s="1803"/>
    </row>
    <row r="71" spans="1:88" ht="22.5" thickTop="1" x14ac:dyDescent="0.5">
      <c r="A71" s="1782">
        <v>20096690</v>
      </c>
      <c r="B71" s="1783" t="s">
        <v>4299</v>
      </c>
      <c r="C71" s="1814"/>
      <c r="D71" s="1815"/>
      <c r="E71" s="1816"/>
      <c r="F71" s="1817"/>
      <c r="G71" s="1818"/>
      <c r="H71" s="1783"/>
      <c r="I71" s="1819"/>
      <c r="J71" s="1820"/>
      <c r="K71" s="1783"/>
      <c r="L71" s="1783"/>
      <c r="M71" s="1821"/>
      <c r="N71" s="1783"/>
      <c r="O71" s="1007"/>
      <c r="P71" s="1007">
        <f t="shared" si="130"/>
        <v>0</v>
      </c>
      <c r="Q71" s="1007">
        <f t="shared" si="131"/>
        <v>0</v>
      </c>
      <c r="R71" s="1002"/>
      <c r="S71" s="1003"/>
      <c r="T71" s="1004">
        <f t="shared" ref="T71:T72" si="135">O71-R71</f>
        <v>0</v>
      </c>
      <c r="U71" s="1005"/>
      <c r="V71" s="1822">
        <f t="shared" ref="V71" si="136">T71*U71/100</f>
        <v>0</v>
      </c>
      <c r="W71" s="1822"/>
      <c r="X71" s="1007">
        <f t="shared" ref="X71:X72" si="137">T71-V71</f>
        <v>0</v>
      </c>
      <c r="Y71" s="1822">
        <f t="shared" ref="Y71:Y72" si="138">SUM((50-W71)/(100)*(2.5)+(0.5))</f>
        <v>1.75</v>
      </c>
      <c r="Z71" s="1822"/>
      <c r="AA71" s="1822"/>
      <c r="AB71" s="1822">
        <f t="shared" si="134"/>
        <v>0</v>
      </c>
      <c r="AC71" s="1007"/>
      <c r="AD71" s="1823">
        <f t="shared" ref="AD71:AD72" si="139">X71*AC71/100</f>
        <v>0</v>
      </c>
      <c r="AE71" s="1783"/>
      <c r="AF71" s="1824"/>
      <c r="AG71" s="1825"/>
      <c r="AH71" s="1004">
        <f t="shared" si="132"/>
        <v>0</v>
      </c>
      <c r="AI71" s="1826">
        <f t="shared" si="133"/>
        <v>0</v>
      </c>
      <c r="AJ71" s="1827"/>
      <c r="AK71" s="1820"/>
      <c r="AL71" s="1820"/>
      <c r="AM71" s="1820"/>
      <c r="AN71" s="1828"/>
      <c r="AO71" s="1829">
        <v>1</v>
      </c>
      <c r="AP71" s="1830"/>
      <c r="AQ71" s="1831"/>
      <c r="AR71" s="1831"/>
      <c r="AS71" s="1829"/>
      <c r="AT71" s="1821"/>
      <c r="AU71" s="1829">
        <v>2</v>
      </c>
      <c r="AV71" s="1783"/>
      <c r="AW71" s="1829"/>
      <c r="AX71" s="1829"/>
      <c r="AY71" s="1829"/>
      <c r="AZ71" s="1783"/>
      <c r="BA71" s="1829">
        <v>3</v>
      </c>
      <c r="BB71" s="1783"/>
      <c r="BC71" s="1829"/>
      <c r="BD71" s="1829"/>
      <c r="BE71" s="1829"/>
      <c r="BF71" s="1783"/>
      <c r="BG71" s="1829">
        <v>4</v>
      </c>
      <c r="BH71" s="1783"/>
      <c r="BI71" s="1829"/>
      <c r="BJ71" s="1829"/>
      <c r="BK71" s="1829"/>
      <c r="BL71" s="1783"/>
      <c r="BM71" s="1829">
        <v>5</v>
      </c>
      <c r="BN71" s="1783"/>
      <c r="BO71" s="1829"/>
      <c r="BP71" s="1829"/>
      <c r="BQ71" s="1829"/>
      <c r="BR71" s="1783"/>
      <c r="BS71" s="1829"/>
      <c r="BT71" s="1783"/>
      <c r="BU71" s="1829"/>
      <c r="BV71" s="1829"/>
      <c r="BW71" s="1829"/>
      <c r="BX71" s="1783"/>
      <c r="BY71" s="1829"/>
      <c r="BZ71" s="1783"/>
      <c r="CA71" s="1829"/>
      <c r="CB71" s="1829"/>
      <c r="CC71" s="1829"/>
      <c r="CD71" s="1783"/>
      <c r="CE71" s="1829"/>
      <c r="CF71" s="1783"/>
      <c r="CG71" s="1829"/>
      <c r="CH71" s="1829"/>
      <c r="CI71" s="1829"/>
      <c r="CJ71" s="1829"/>
    </row>
    <row r="72" spans="1:88" x14ac:dyDescent="0.5">
      <c r="A72" s="21">
        <v>20096689</v>
      </c>
      <c r="B72" s="22">
        <v>20090792</v>
      </c>
      <c r="C72" s="1019" t="s">
        <v>2584</v>
      </c>
      <c r="D72" s="1020" t="s">
        <v>2691</v>
      </c>
      <c r="E72" s="884">
        <v>44144</v>
      </c>
      <c r="F72" s="932"/>
      <c r="G72" s="933"/>
      <c r="H72" s="831"/>
      <c r="I72" s="1021"/>
      <c r="J72" s="931"/>
      <c r="K72" s="40"/>
      <c r="L72" s="22" t="s">
        <v>4272</v>
      </c>
      <c r="M72" s="28" t="s">
        <v>4273</v>
      </c>
      <c r="N72" s="22" t="s">
        <v>50</v>
      </c>
      <c r="O72" s="29">
        <v>1900000</v>
      </c>
      <c r="P72" s="29">
        <f t="shared" si="130"/>
        <v>133000</v>
      </c>
      <c r="Q72" s="29">
        <f t="shared" si="131"/>
        <v>2033000</v>
      </c>
      <c r="R72" s="30">
        <v>285000</v>
      </c>
      <c r="S72" s="1301" t="s">
        <v>4122</v>
      </c>
      <c r="T72" s="32">
        <f t="shared" si="135"/>
        <v>1615000</v>
      </c>
      <c r="U72" s="98"/>
      <c r="V72" s="1251">
        <v>80000</v>
      </c>
      <c r="W72" s="1231">
        <v>66.540000000000006</v>
      </c>
      <c r="X72" s="1184">
        <f t="shared" si="137"/>
        <v>1535000</v>
      </c>
      <c r="Y72" s="1223">
        <f t="shared" si="138"/>
        <v>8.6499999999999799E-2</v>
      </c>
      <c r="Z72" s="1223">
        <f>1535000*0.09/100</f>
        <v>1381.5</v>
      </c>
      <c r="AA72" s="1228">
        <v>0.7</v>
      </c>
      <c r="AB72" s="1228">
        <f t="shared" si="134"/>
        <v>10745</v>
      </c>
      <c r="AC72" s="37">
        <v>0.2</v>
      </c>
      <c r="AD72" s="1234">
        <f t="shared" si="139"/>
        <v>3070</v>
      </c>
      <c r="AE72" s="40"/>
      <c r="AF72" s="1186"/>
      <c r="AG72" s="41"/>
      <c r="AH72" s="63">
        <f t="shared" si="132"/>
        <v>0</v>
      </c>
      <c r="AI72" s="52">
        <f t="shared" si="133"/>
        <v>0</v>
      </c>
      <c r="AJ72" s="43"/>
      <c r="AK72" s="39"/>
      <c r="AL72" s="39"/>
      <c r="AM72" s="39"/>
      <c r="AN72" s="21"/>
      <c r="AO72" s="1778">
        <v>1</v>
      </c>
      <c r="AP72" s="45" t="s">
        <v>661</v>
      </c>
      <c r="AQ72" s="46"/>
      <c r="AR72" s="46" t="s">
        <v>3423</v>
      </c>
      <c r="AS72" s="47">
        <v>11</v>
      </c>
      <c r="AT72" s="48" t="s">
        <v>634</v>
      </c>
      <c r="AU72" s="1778">
        <v>2</v>
      </c>
      <c r="AV72" s="40" t="s">
        <v>759</v>
      </c>
      <c r="AW72" s="47"/>
      <c r="AX72" s="47" t="s">
        <v>3423</v>
      </c>
      <c r="AY72" s="47">
        <v>9</v>
      </c>
      <c r="AZ72" s="49" t="s">
        <v>634</v>
      </c>
      <c r="BA72" s="1778">
        <v>3</v>
      </c>
      <c r="BB72" s="40" t="s">
        <v>804</v>
      </c>
      <c r="BC72" s="47"/>
      <c r="BD72" s="47" t="s">
        <v>3423</v>
      </c>
      <c r="BE72" s="47">
        <v>12</v>
      </c>
      <c r="BF72" s="49" t="s">
        <v>634</v>
      </c>
      <c r="BG72" s="1778">
        <v>4</v>
      </c>
      <c r="BH72" s="40" t="s">
        <v>4274</v>
      </c>
      <c r="BI72" s="47"/>
      <c r="BJ72" s="47" t="s">
        <v>3423</v>
      </c>
      <c r="BK72" s="47">
        <v>1</v>
      </c>
      <c r="BL72" s="49" t="s">
        <v>634</v>
      </c>
      <c r="BM72" s="1778">
        <v>5</v>
      </c>
      <c r="BN72" s="40" t="s">
        <v>4275</v>
      </c>
      <c r="BO72" s="47"/>
      <c r="BP72" s="47" t="s">
        <v>3423</v>
      </c>
      <c r="BQ72" s="47">
        <v>5</v>
      </c>
      <c r="BR72" s="49" t="s">
        <v>634</v>
      </c>
      <c r="BS72" s="1778">
        <v>6</v>
      </c>
      <c r="BT72" s="40" t="s">
        <v>4276</v>
      </c>
      <c r="BU72" s="47"/>
      <c r="BV72" s="47" t="s">
        <v>3423</v>
      </c>
      <c r="BW72" s="47">
        <v>4</v>
      </c>
      <c r="BX72" s="49" t="s">
        <v>634</v>
      </c>
      <c r="BY72" s="1778"/>
      <c r="BZ72" s="54"/>
      <c r="CA72" s="1778"/>
      <c r="CB72" s="1778"/>
      <c r="CC72" s="1778"/>
      <c r="CD72" s="54"/>
      <c r="CE72" s="1778"/>
      <c r="CF72" s="54"/>
      <c r="CG72" s="1778"/>
      <c r="CH72" s="1778"/>
      <c r="CI72" s="1778"/>
      <c r="CJ72" s="1778"/>
    </row>
    <row r="73" spans="1:88" x14ac:dyDescent="0.5">
      <c r="A73" s="103">
        <v>20096688</v>
      </c>
      <c r="B73" s="104">
        <v>20090793</v>
      </c>
      <c r="C73" s="1243" t="s">
        <v>2568</v>
      </c>
      <c r="D73" s="1244" t="s">
        <v>2691</v>
      </c>
      <c r="E73" s="302">
        <v>44118</v>
      </c>
      <c r="F73" s="936" t="s">
        <v>3368</v>
      </c>
      <c r="G73" s="937" t="s">
        <v>2533</v>
      </c>
      <c r="H73" s="914">
        <v>44118</v>
      </c>
      <c r="I73" s="1315">
        <v>63246</v>
      </c>
      <c r="J73" s="960" t="s">
        <v>3423</v>
      </c>
      <c r="K73" s="965">
        <v>44119</v>
      </c>
      <c r="L73" s="104" t="s">
        <v>1766</v>
      </c>
      <c r="M73" s="110" t="s">
        <v>4277</v>
      </c>
      <c r="N73" s="104" t="s">
        <v>50</v>
      </c>
      <c r="O73" s="111">
        <v>162800</v>
      </c>
      <c r="P73" s="111">
        <f t="shared" si="121"/>
        <v>11396</v>
      </c>
      <c r="Q73" s="111">
        <f t="shared" si="122"/>
        <v>174196</v>
      </c>
      <c r="R73" s="311">
        <v>30000</v>
      </c>
      <c r="S73" s="113" t="s">
        <v>1778</v>
      </c>
      <c r="T73" s="114">
        <f t="shared" si="127"/>
        <v>132800</v>
      </c>
      <c r="U73" s="115">
        <v>5</v>
      </c>
      <c r="V73" s="1252">
        <f t="shared" si="128"/>
        <v>6640</v>
      </c>
      <c r="W73" s="1245">
        <v>57.39</v>
      </c>
      <c r="X73" s="1246">
        <f t="shared" si="129"/>
        <v>126160</v>
      </c>
      <c r="Y73" s="1247">
        <f t="shared" si="123"/>
        <v>0.31524999999999997</v>
      </c>
      <c r="Z73" s="1247">
        <f>126160*0.32/100</f>
        <v>403.71200000000005</v>
      </c>
      <c r="AA73" s="1265">
        <v>0.7</v>
      </c>
      <c r="AB73" s="1265">
        <f t="shared" si="0"/>
        <v>883.12</v>
      </c>
      <c r="AC73" s="119">
        <v>0.2</v>
      </c>
      <c r="AD73" s="1248">
        <f t="shared" si="124"/>
        <v>252.32</v>
      </c>
      <c r="AE73" s="229">
        <v>20090262</v>
      </c>
      <c r="AF73" s="1313"/>
      <c r="AG73" s="230">
        <v>48840</v>
      </c>
      <c r="AH73" s="233">
        <f t="shared" si="125"/>
        <v>3418.8</v>
      </c>
      <c r="AI73" s="220">
        <f t="shared" si="126"/>
        <v>52258.8</v>
      </c>
      <c r="AJ73" s="221">
        <v>44104</v>
      </c>
      <c r="AK73" s="121"/>
      <c r="AL73" s="121"/>
      <c r="AM73" s="121"/>
      <c r="AN73" s="222" t="s">
        <v>4297</v>
      </c>
      <c r="AO73" s="128">
        <v>1</v>
      </c>
      <c r="AP73" s="129" t="s">
        <v>830</v>
      </c>
      <c r="AQ73" s="130"/>
      <c r="AR73" s="130" t="s">
        <v>3423</v>
      </c>
      <c r="AS73" s="131">
        <v>2</v>
      </c>
      <c r="AT73" s="132" t="s">
        <v>634</v>
      </c>
      <c r="AU73" s="128">
        <v>2</v>
      </c>
      <c r="AV73" s="123" t="s">
        <v>2887</v>
      </c>
      <c r="AW73" s="131"/>
      <c r="AX73" s="131" t="s">
        <v>3423</v>
      </c>
      <c r="AY73" s="131">
        <v>1</v>
      </c>
      <c r="AZ73" s="169" t="s">
        <v>634</v>
      </c>
      <c r="BA73" s="128">
        <v>3</v>
      </c>
      <c r="BB73" s="123" t="s">
        <v>4278</v>
      </c>
      <c r="BC73" s="131"/>
      <c r="BD73" s="131" t="s">
        <v>3423</v>
      </c>
      <c r="BE73" s="131">
        <v>3</v>
      </c>
      <c r="BF73" s="169" t="s">
        <v>636</v>
      </c>
      <c r="BG73" s="128">
        <v>4</v>
      </c>
      <c r="BH73" s="123" t="s">
        <v>4279</v>
      </c>
      <c r="BI73" s="131"/>
      <c r="BJ73" s="131" t="s">
        <v>3423</v>
      </c>
      <c r="BK73" s="131">
        <v>1</v>
      </c>
      <c r="BL73" s="169" t="s">
        <v>636</v>
      </c>
      <c r="BM73" s="128">
        <v>5</v>
      </c>
      <c r="BN73" s="123" t="s">
        <v>1157</v>
      </c>
      <c r="BO73" s="131"/>
      <c r="BP73" s="131" t="s">
        <v>3423</v>
      </c>
      <c r="BQ73" s="131">
        <v>1</v>
      </c>
      <c r="BR73" s="169" t="s">
        <v>634</v>
      </c>
      <c r="BS73" s="128"/>
      <c r="BT73" s="133"/>
      <c r="BU73" s="128"/>
      <c r="BV73" s="128"/>
      <c r="BW73" s="128"/>
      <c r="BX73" s="133"/>
      <c r="BY73" s="128"/>
      <c r="BZ73" s="133"/>
      <c r="CA73" s="128"/>
      <c r="CB73" s="128"/>
      <c r="CC73" s="128"/>
      <c r="CD73" s="133"/>
      <c r="CE73" s="128"/>
      <c r="CF73" s="133"/>
      <c r="CG73" s="128"/>
      <c r="CH73" s="128"/>
      <c r="CI73" s="128"/>
      <c r="CJ73" s="128"/>
    </row>
    <row r="74" spans="1:88" x14ac:dyDescent="0.5">
      <c r="A74" s="180"/>
      <c r="B74" s="181"/>
      <c r="C74" s="1236"/>
      <c r="D74" s="1237"/>
      <c r="E74" s="749"/>
      <c r="F74" s="938"/>
      <c r="G74" s="939"/>
      <c r="H74" s="749">
        <v>44118</v>
      </c>
      <c r="I74" s="1125">
        <v>63247</v>
      </c>
      <c r="J74" s="961"/>
      <c r="K74" s="200"/>
      <c r="L74" s="181"/>
      <c r="M74" s="188"/>
      <c r="N74" s="181"/>
      <c r="O74" s="189"/>
      <c r="P74" s="189"/>
      <c r="Q74" s="189"/>
      <c r="R74" s="190"/>
      <c r="S74" s="215"/>
      <c r="T74" s="216"/>
      <c r="U74" s="217"/>
      <c r="V74" s="1253"/>
      <c r="W74" s="1238"/>
      <c r="X74" s="1239"/>
      <c r="Y74" s="1240"/>
      <c r="Z74" s="1240"/>
      <c r="AA74" s="1263"/>
      <c r="AB74" s="1263"/>
      <c r="AC74" s="197"/>
      <c r="AD74" s="1241"/>
      <c r="AE74" s="200">
        <v>20100288</v>
      </c>
      <c r="AF74" s="1242" t="s">
        <v>3423</v>
      </c>
      <c r="AG74" s="201">
        <v>113960</v>
      </c>
      <c r="AH74" s="237">
        <f>AG74*7/100</f>
        <v>7977.2</v>
      </c>
      <c r="AI74" s="202">
        <f>AG74+AH74</f>
        <v>121937.2</v>
      </c>
      <c r="AJ74" s="203">
        <v>44176</v>
      </c>
      <c r="AK74" s="199"/>
      <c r="AL74" s="199"/>
      <c r="AM74" s="199" t="s">
        <v>3423</v>
      </c>
      <c r="AN74" s="180" t="s">
        <v>4421</v>
      </c>
      <c r="AO74" s="204"/>
      <c r="AP74" s="205"/>
      <c r="AQ74" s="206"/>
      <c r="AR74" s="206"/>
      <c r="AS74" s="207"/>
      <c r="AT74" s="208"/>
      <c r="AU74" s="204"/>
      <c r="AV74" s="200"/>
      <c r="AW74" s="207"/>
      <c r="AX74" s="207"/>
      <c r="AY74" s="207"/>
      <c r="AZ74" s="209"/>
      <c r="BA74" s="204"/>
      <c r="BB74" s="200"/>
      <c r="BC74" s="207"/>
      <c r="BD74" s="207"/>
      <c r="BE74" s="207"/>
      <c r="BF74" s="209"/>
      <c r="BG74" s="204"/>
      <c r="BH74" s="200"/>
      <c r="BI74" s="207"/>
      <c r="BJ74" s="207"/>
      <c r="BK74" s="207"/>
      <c r="BL74" s="209"/>
      <c r="BM74" s="204"/>
      <c r="BN74" s="200"/>
      <c r="BO74" s="207"/>
      <c r="BP74" s="207"/>
      <c r="BQ74" s="207"/>
      <c r="BR74" s="209"/>
      <c r="BS74" s="204"/>
      <c r="BT74" s="210"/>
      <c r="BU74" s="204"/>
      <c r="BV74" s="204"/>
      <c r="BW74" s="204"/>
      <c r="BX74" s="210"/>
      <c r="BY74" s="204"/>
      <c r="BZ74" s="210"/>
      <c r="CA74" s="204"/>
      <c r="CB74" s="204"/>
      <c r="CC74" s="204"/>
      <c r="CD74" s="210"/>
      <c r="CE74" s="204"/>
      <c r="CF74" s="210"/>
      <c r="CG74" s="204"/>
      <c r="CH74" s="204"/>
      <c r="CI74" s="204"/>
      <c r="CJ74" s="204"/>
    </row>
    <row r="75" spans="1:88" x14ac:dyDescent="0.5">
      <c r="A75" s="103">
        <v>20096687</v>
      </c>
      <c r="B75" s="104">
        <v>20090789</v>
      </c>
      <c r="C75" s="1243" t="s">
        <v>2587</v>
      </c>
      <c r="D75" s="1244" t="s">
        <v>2691</v>
      </c>
      <c r="E75" s="302">
        <v>44114</v>
      </c>
      <c r="F75" s="936" t="s">
        <v>3368</v>
      </c>
      <c r="G75" s="937" t="s">
        <v>2527</v>
      </c>
      <c r="H75" s="302">
        <v>44119</v>
      </c>
      <c r="I75" s="1124">
        <v>63249</v>
      </c>
      <c r="J75" s="960" t="s">
        <v>3423</v>
      </c>
      <c r="K75" s="965">
        <v>44120</v>
      </c>
      <c r="L75" s="104" t="s">
        <v>3961</v>
      </c>
      <c r="M75" s="110" t="s">
        <v>4280</v>
      </c>
      <c r="N75" s="104" t="s">
        <v>52</v>
      </c>
      <c r="O75" s="111">
        <v>67800</v>
      </c>
      <c r="P75" s="111">
        <f t="shared" si="121"/>
        <v>4746</v>
      </c>
      <c r="Q75" s="111">
        <f t="shared" si="122"/>
        <v>72546</v>
      </c>
      <c r="R75" s="311">
        <v>7000</v>
      </c>
      <c r="S75" s="113" t="s">
        <v>568</v>
      </c>
      <c r="T75" s="114">
        <f t="shared" si="127"/>
        <v>60800</v>
      </c>
      <c r="U75" s="115">
        <v>5</v>
      </c>
      <c r="V75" s="1252">
        <f t="shared" si="128"/>
        <v>3040</v>
      </c>
      <c r="W75" s="1245">
        <v>59.97</v>
      </c>
      <c r="X75" s="1246">
        <f t="shared" si="129"/>
        <v>57760</v>
      </c>
      <c r="Y75" s="1247">
        <f t="shared" si="123"/>
        <v>0.25075000000000003</v>
      </c>
      <c r="Z75" s="1247">
        <f>57760*0.25/100</f>
        <v>144.4</v>
      </c>
      <c r="AA75" s="1265">
        <v>0.5</v>
      </c>
      <c r="AB75" s="1265">
        <f t="shared" si="0"/>
        <v>288.8</v>
      </c>
      <c r="AC75" s="119">
        <v>0.2</v>
      </c>
      <c r="AD75" s="1248">
        <f t="shared" si="124"/>
        <v>115.52</v>
      </c>
      <c r="AE75" s="229">
        <v>20090261</v>
      </c>
      <c r="AF75" s="1313"/>
      <c r="AG75" s="230">
        <v>20340</v>
      </c>
      <c r="AH75" s="233">
        <f t="shared" si="125"/>
        <v>1423.8</v>
      </c>
      <c r="AI75" s="220">
        <f t="shared" si="126"/>
        <v>21763.8</v>
      </c>
      <c r="AJ75" s="221">
        <v>44104</v>
      </c>
      <c r="AK75" s="121"/>
      <c r="AL75" s="121"/>
      <c r="AM75" s="121"/>
      <c r="AN75" s="222" t="s">
        <v>4292</v>
      </c>
      <c r="AO75" s="128">
        <v>1</v>
      </c>
      <c r="AP75" s="129" t="s">
        <v>4133</v>
      </c>
      <c r="AQ75" s="130"/>
      <c r="AR75" s="130" t="s">
        <v>3423</v>
      </c>
      <c r="AS75" s="131">
        <v>2</v>
      </c>
      <c r="AT75" s="132" t="s">
        <v>634</v>
      </c>
      <c r="AU75" s="128">
        <v>2</v>
      </c>
      <c r="AV75" s="123" t="s">
        <v>600</v>
      </c>
      <c r="AW75" s="131"/>
      <c r="AX75" s="131" t="s">
        <v>3423</v>
      </c>
      <c r="AY75" s="131">
        <v>1</v>
      </c>
      <c r="AZ75" s="169" t="s">
        <v>636</v>
      </c>
      <c r="BA75" s="128"/>
      <c r="BB75" s="133"/>
      <c r="BC75" s="128"/>
      <c r="BD75" s="128"/>
      <c r="BE75" s="128"/>
      <c r="BF75" s="133"/>
      <c r="BG75" s="128"/>
      <c r="BH75" s="133"/>
      <c r="BI75" s="128"/>
      <c r="BJ75" s="128"/>
      <c r="BK75" s="128"/>
      <c r="BL75" s="133"/>
      <c r="BM75" s="128"/>
      <c r="BN75" s="133"/>
      <c r="BO75" s="128"/>
      <c r="BP75" s="128"/>
      <c r="BQ75" s="128"/>
      <c r="BR75" s="133"/>
      <c r="BS75" s="128"/>
      <c r="BT75" s="133"/>
      <c r="BU75" s="128"/>
      <c r="BV75" s="128"/>
      <c r="BW75" s="128"/>
      <c r="BX75" s="133"/>
      <c r="BY75" s="128"/>
      <c r="BZ75" s="133"/>
      <c r="CA75" s="128"/>
      <c r="CB75" s="128"/>
      <c r="CC75" s="128"/>
      <c r="CD75" s="133"/>
      <c r="CE75" s="128"/>
      <c r="CF75" s="133"/>
      <c r="CG75" s="128"/>
      <c r="CH75" s="128"/>
      <c r="CI75" s="128"/>
      <c r="CJ75" s="128"/>
    </row>
    <row r="76" spans="1:88" x14ac:dyDescent="0.5">
      <c r="A76" s="180"/>
      <c r="B76" s="181"/>
      <c r="C76" s="1236"/>
      <c r="D76" s="1237"/>
      <c r="E76" s="749"/>
      <c r="F76" s="938"/>
      <c r="G76" s="939"/>
      <c r="H76" s="749"/>
      <c r="I76" s="1125"/>
      <c r="J76" s="961"/>
      <c r="K76" s="966"/>
      <c r="L76" s="181"/>
      <c r="M76" s="188"/>
      <c r="N76" s="181"/>
      <c r="O76" s="189"/>
      <c r="P76" s="189"/>
      <c r="Q76" s="189"/>
      <c r="R76" s="190"/>
      <c r="S76" s="215"/>
      <c r="T76" s="216"/>
      <c r="U76" s="217"/>
      <c r="V76" s="1253"/>
      <c r="W76" s="1238"/>
      <c r="X76" s="1239"/>
      <c r="Y76" s="1240"/>
      <c r="Z76" s="1240"/>
      <c r="AA76" s="1263"/>
      <c r="AB76" s="1263"/>
      <c r="AC76" s="197"/>
      <c r="AD76" s="1241"/>
      <c r="AE76" s="200">
        <v>20100270</v>
      </c>
      <c r="AF76" s="1242" t="s">
        <v>3423</v>
      </c>
      <c r="AG76" s="201">
        <v>47460</v>
      </c>
      <c r="AH76" s="237">
        <f>AG76*7/100</f>
        <v>3322.2</v>
      </c>
      <c r="AI76" s="202">
        <f t="shared" si="126"/>
        <v>50782.2</v>
      </c>
      <c r="AJ76" s="203">
        <v>44118</v>
      </c>
      <c r="AK76" s="199"/>
      <c r="AL76" s="199"/>
      <c r="AM76" s="199"/>
      <c r="AN76" s="843">
        <v>0.7</v>
      </c>
      <c r="AO76" s="204"/>
      <c r="AP76" s="205"/>
      <c r="AQ76" s="206"/>
      <c r="AR76" s="206"/>
      <c r="AS76" s="207"/>
      <c r="AT76" s="208"/>
      <c r="AU76" s="204"/>
      <c r="AV76" s="200"/>
      <c r="AW76" s="207"/>
      <c r="AX76" s="207"/>
      <c r="AY76" s="207"/>
      <c r="AZ76" s="209"/>
      <c r="BA76" s="204"/>
      <c r="BB76" s="210"/>
      <c r="BC76" s="204"/>
      <c r="BD76" s="204"/>
      <c r="BE76" s="204"/>
      <c r="BF76" s="210"/>
      <c r="BG76" s="204"/>
      <c r="BH76" s="210"/>
      <c r="BI76" s="204"/>
      <c r="BJ76" s="204"/>
      <c r="BK76" s="204"/>
      <c r="BL76" s="210"/>
      <c r="BM76" s="204"/>
      <c r="BN76" s="210"/>
      <c r="BO76" s="204"/>
      <c r="BP76" s="204"/>
      <c r="BQ76" s="204"/>
      <c r="BR76" s="210"/>
      <c r="BS76" s="204"/>
      <c r="BT76" s="210"/>
      <c r="BU76" s="204"/>
      <c r="BV76" s="204"/>
      <c r="BW76" s="204"/>
      <c r="BX76" s="210"/>
      <c r="BY76" s="204"/>
      <c r="BZ76" s="210"/>
      <c r="CA76" s="204"/>
      <c r="CB76" s="204"/>
      <c r="CC76" s="204"/>
      <c r="CD76" s="210"/>
      <c r="CE76" s="204"/>
      <c r="CF76" s="210"/>
      <c r="CG76" s="204"/>
      <c r="CH76" s="204"/>
      <c r="CI76" s="204"/>
      <c r="CJ76" s="204"/>
    </row>
    <row r="77" spans="1:88" x14ac:dyDescent="0.5">
      <c r="A77" s="103">
        <v>20096686</v>
      </c>
      <c r="B77" s="104">
        <v>20090790</v>
      </c>
      <c r="C77" s="1243" t="s">
        <v>2507</v>
      </c>
      <c r="D77" s="1244" t="s">
        <v>2691</v>
      </c>
      <c r="E77" s="302">
        <v>44124</v>
      </c>
      <c r="F77" s="936"/>
      <c r="G77" s="937"/>
      <c r="H77" s="1264"/>
      <c r="I77" s="1124"/>
      <c r="J77" s="960"/>
      <c r="K77" s="123"/>
      <c r="L77" s="104" t="s">
        <v>3825</v>
      </c>
      <c r="M77" s="104" t="s">
        <v>4281</v>
      </c>
      <c r="N77" s="104" t="s">
        <v>52</v>
      </c>
      <c r="O77" s="111">
        <v>65000</v>
      </c>
      <c r="P77" s="111">
        <f t="shared" ref="P77:P98" si="140">O77*7/100</f>
        <v>4550</v>
      </c>
      <c r="Q77" s="111">
        <f t="shared" ref="Q77:Q98" si="141">O77+P77</f>
        <v>69550</v>
      </c>
      <c r="R77" s="311">
        <v>7000</v>
      </c>
      <c r="S77" s="113" t="s">
        <v>568</v>
      </c>
      <c r="T77" s="114">
        <f t="shared" ref="T77:T98" si="142">O77-R77</f>
        <v>58000</v>
      </c>
      <c r="U77" s="115">
        <v>5</v>
      </c>
      <c r="V77" s="1252">
        <f t="shared" ref="V77:V98" si="143">T77*U77/100</f>
        <v>2900</v>
      </c>
      <c r="W77" s="1245">
        <v>60.58</v>
      </c>
      <c r="X77" s="1246">
        <f t="shared" ref="X77:X98" si="144">T77-V77</f>
        <v>55100</v>
      </c>
      <c r="Y77" s="1247">
        <f t="shared" ref="Y77:Y98" si="145">SUM((50-W77)/(100)*(2.5)+(0.5))</f>
        <v>0.23550000000000004</v>
      </c>
      <c r="Z77" s="1247">
        <f>55100*0.24/100</f>
        <v>132.24</v>
      </c>
      <c r="AA77" s="1265">
        <v>0.5</v>
      </c>
      <c r="AB77" s="1265">
        <f t="shared" ref="AB77:AB98" si="146">X77*AA77/100</f>
        <v>275.5</v>
      </c>
      <c r="AC77" s="119">
        <v>0.2</v>
      </c>
      <c r="AD77" s="1248">
        <f t="shared" ref="AD77:AD98" si="147">X77*AC77/100</f>
        <v>110.2</v>
      </c>
      <c r="AE77" s="229">
        <v>20090260</v>
      </c>
      <c r="AF77" s="1313"/>
      <c r="AG77" s="230">
        <v>19500</v>
      </c>
      <c r="AH77" s="233">
        <f t="shared" ref="AH77:AH100" si="148">AG77*7/100</f>
        <v>1365</v>
      </c>
      <c r="AI77" s="220">
        <f t="shared" ref="AI77:AI100" si="149">AG77+AH77</f>
        <v>20865</v>
      </c>
      <c r="AJ77" s="221">
        <v>44104</v>
      </c>
      <c r="AK77" s="121"/>
      <c r="AL77" s="121"/>
      <c r="AM77" s="121"/>
      <c r="AN77" s="222" t="s">
        <v>4292</v>
      </c>
      <c r="AO77" s="128">
        <v>1</v>
      </c>
      <c r="AP77" s="129" t="s">
        <v>599</v>
      </c>
      <c r="AQ77" s="130"/>
      <c r="AR77" s="130" t="s">
        <v>3423</v>
      </c>
      <c r="AS77" s="131">
        <v>1</v>
      </c>
      <c r="AT77" s="132" t="s">
        <v>634</v>
      </c>
      <c r="AU77" s="128">
        <v>2</v>
      </c>
      <c r="AV77" s="123" t="s">
        <v>600</v>
      </c>
      <c r="AW77" s="131"/>
      <c r="AX77" s="131" t="s">
        <v>3423</v>
      </c>
      <c r="AY77" s="131">
        <v>1</v>
      </c>
      <c r="AZ77" s="169" t="s">
        <v>636</v>
      </c>
      <c r="BA77" s="128"/>
      <c r="BB77" s="133"/>
      <c r="BC77" s="128"/>
      <c r="BD77" s="128"/>
      <c r="BE77" s="128"/>
      <c r="BF77" s="133"/>
      <c r="BG77" s="128"/>
      <c r="BH77" s="133"/>
      <c r="BI77" s="128"/>
      <c r="BJ77" s="128"/>
      <c r="BK77" s="128"/>
      <c r="BL77" s="133"/>
      <c r="BM77" s="128"/>
      <c r="BN77" s="133"/>
      <c r="BO77" s="128"/>
      <c r="BP77" s="128"/>
      <c r="BQ77" s="128"/>
      <c r="BR77" s="133"/>
      <c r="BS77" s="128"/>
      <c r="BT77" s="133"/>
      <c r="BU77" s="128"/>
      <c r="BV77" s="128"/>
      <c r="BW77" s="128"/>
      <c r="BX77" s="133"/>
      <c r="BY77" s="128"/>
      <c r="BZ77" s="133"/>
      <c r="CA77" s="128"/>
      <c r="CB77" s="128"/>
      <c r="CC77" s="128"/>
      <c r="CD77" s="133"/>
      <c r="CE77" s="128"/>
      <c r="CF77" s="133"/>
      <c r="CG77" s="128"/>
      <c r="CH77" s="128"/>
      <c r="CI77" s="128"/>
      <c r="CJ77" s="128"/>
    </row>
    <row r="78" spans="1:88" x14ac:dyDescent="0.5">
      <c r="A78" s="180"/>
      <c r="B78" s="181"/>
      <c r="C78" s="1236"/>
      <c r="D78" s="1237"/>
      <c r="E78" s="749"/>
      <c r="F78" s="938"/>
      <c r="G78" s="939"/>
      <c r="H78" s="304"/>
      <c r="I78" s="1125"/>
      <c r="J78" s="961"/>
      <c r="K78" s="200"/>
      <c r="L78" s="181"/>
      <c r="M78" s="188"/>
      <c r="N78" s="181"/>
      <c r="O78" s="189"/>
      <c r="P78" s="189"/>
      <c r="Q78" s="189"/>
      <c r="R78" s="190"/>
      <c r="S78" s="215"/>
      <c r="T78" s="216"/>
      <c r="U78" s="217"/>
      <c r="V78" s="1253"/>
      <c r="W78" s="1238"/>
      <c r="X78" s="1239"/>
      <c r="Y78" s="1240"/>
      <c r="Z78" s="1240"/>
      <c r="AA78" s="1263"/>
      <c r="AB78" s="1263"/>
      <c r="AC78" s="197"/>
      <c r="AD78" s="1241"/>
      <c r="AE78" s="200">
        <v>20120318</v>
      </c>
      <c r="AF78" s="1242" t="s">
        <v>3423</v>
      </c>
      <c r="AG78" s="201">
        <v>45500</v>
      </c>
      <c r="AH78" s="237">
        <f t="shared" si="148"/>
        <v>3185</v>
      </c>
      <c r="AI78" s="202">
        <f t="shared" si="149"/>
        <v>48685</v>
      </c>
      <c r="AJ78" s="203">
        <v>44168</v>
      </c>
      <c r="AK78" s="199" t="s">
        <v>3423</v>
      </c>
      <c r="AL78" s="199"/>
      <c r="AM78" s="199"/>
      <c r="AN78" s="180" t="s">
        <v>4513</v>
      </c>
      <c r="AO78" s="204"/>
      <c r="AP78" s="205"/>
      <c r="AQ78" s="206"/>
      <c r="AR78" s="206"/>
      <c r="AS78" s="207"/>
      <c r="AT78" s="208"/>
      <c r="AU78" s="204"/>
      <c r="AV78" s="200"/>
      <c r="AW78" s="207"/>
      <c r="AX78" s="207"/>
      <c r="AY78" s="207"/>
      <c r="AZ78" s="209"/>
      <c r="BA78" s="204"/>
      <c r="BB78" s="210"/>
      <c r="BC78" s="204"/>
      <c r="BD78" s="204"/>
      <c r="BE78" s="204"/>
      <c r="BF78" s="210"/>
      <c r="BG78" s="204"/>
      <c r="BH78" s="210"/>
      <c r="BI78" s="204"/>
      <c r="BJ78" s="204"/>
      <c r="BK78" s="204"/>
      <c r="BL78" s="210"/>
      <c r="BM78" s="204"/>
      <c r="BN78" s="210"/>
      <c r="BO78" s="204"/>
      <c r="BP78" s="204"/>
      <c r="BQ78" s="204"/>
      <c r="BR78" s="210"/>
      <c r="BS78" s="204"/>
      <c r="BT78" s="210"/>
      <c r="BU78" s="204"/>
      <c r="BV78" s="204"/>
      <c r="BW78" s="204"/>
      <c r="BX78" s="210"/>
      <c r="BY78" s="204"/>
      <c r="BZ78" s="210"/>
      <c r="CA78" s="204"/>
      <c r="CB78" s="204"/>
      <c r="CC78" s="204"/>
      <c r="CD78" s="210"/>
      <c r="CE78" s="204"/>
      <c r="CF78" s="210"/>
      <c r="CG78" s="204"/>
      <c r="CH78" s="204"/>
      <c r="CI78" s="204"/>
      <c r="CJ78" s="204"/>
    </row>
    <row r="79" spans="1:88" x14ac:dyDescent="0.5">
      <c r="A79" s="21">
        <v>20096685</v>
      </c>
      <c r="B79" s="22">
        <v>20090786</v>
      </c>
      <c r="C79" s="1019" t="s">
        <v>2502</v>
      </c>
      <c r="D79" s="1020" t="s">
        <v>2691</v>
      </c>
      <c r="E79" s="884">
        <v>44195</v>
      </c>
      <c r="F79" s="932"/>
      <c r="G79" s="933"/>
      <c r="H79" s="831"/>
      <c r="I79" s="1021"/>
      <c r="J79" s="931"/>
      <c r="K79" s="40"/>
      <c r="L79" s="22" t="s">
        <v>165</v>
      </c>
      <c r="M79" s="28" t="s">
        <v>4282</v>
      </c>
      <c r="N79" s="22" t="s">
        <v>1523</v>
      </c>
      <c r="O79" s="29">
        <v>82100</v>
      </c>
      <c r="P79" s="29">
        <f t="shared" ref="P79:P91" si="150">O79*7/100</f>
        <v>5747</v>
      </c>
      <c r="Q79" s="29">
        <f t="shared" ref="Q79:Q91" si="151">O79+P79</f>
        <v>87847</v>
      </c>
      <c r="R79" s="61"/>
      <c r="S79" s="31" t="s">
        <v>3939</v>
      </c>
      <c r="T79" s="32">
        <f t="shared" ref="T79:T91" si="152">O79-R79</f>
        <v>82100</v>
      </c>
      <c r="U79" s="33">
        <v>5</v>
      </c>
      <c r="V79" s="1251">
        <f t="shared" ref="V79:V91" si="153">T79*U79/100</f>
        <v>4105</v>
      </c>
      <c r="W79" s="1231">
        <v>57.24</v>
      </c>
      <c r="X79" s="1184">
        <f t="shared" ref="X79:X91" si="154">T79-V79</f>
        <v>77995</v>
      </c>
      <c r="Y79" s="1223">
        <f t="shared" ref="Y79:Y91" si="155">SUM((50-W79)/(100)*(2.5)+(0.5))</f>
        <v>0.31899999999999995</v>
      </c>
      <c r="Z79" s="1223">
        <f>77995*0.32/100</f>
        <v>249.584</v>
      </c>
      <c r="AA79" s="1228">
        <v>0.5</v>
      </c>
      <c r="AB79" s="1228">
        <f t="shared" ref="AB79:AB91" si="156">X79*AA79/100</f>
        <v>389.97500000000002</v>
      </c>
      <c r="AC79" s="37">
        <v>0.2</v>
      </c>
      <c r="AD79" s="1234">
        <f t="shared" ref="AD79:AD91" si="157">X79*AC79/100</f>
        <v>155.99</v>
      </c>
      <c r="AE79" s="40"/>
      <c r="AF79" s="1186"/>
      <c r="AG79" s="41"/>
      <c r="AH79" s="63">
        <f t="shared" ref="AH79:AH92" si="158">AG79*7/100</f>
        <v>0</v>
      </c>
      <c r="AI79" s="52">
        <f t="shared" ref="AI79:AI92" si="159">AG79+AH79</f>
        <v>0</v>
      </c>
      <c r="AJ79" s="43"/>
      <c r="AK79" s="39"/>
      <c r="AL79" s="39"/>
      <c r="AM79" s="39"/>
      <c r="AN79" s="21"/>
      <c r="AO79" s="1775">
        <v>1</v>
      </c>
      <c r="AP79" s="45" t="s">
        <v>4283</v>
      </c>
      <c r="AQ79" s="46"/>
      <c r="AR79" s="46" t="s">
        <v>3423</v>
      </c>
      <c r="AS79" s="47">
        <v>1</v>
      </c>
      <c r="AT79" s="48" t="s">
        <v>634</v>
      </c>
      <c r="AU79" s="1775">
        <v>2</v>
      </c>
      <c r="AV79" s="40" t="s">
        <v>2958</v>
      </c>
      <c r="AW79" s="47"/>
      <c r="AX79" s="47" t="s">
        <v>3423</v>
      </c>
      <c r="AY79" s="47">
        <v>1</v>
      </c>
      <c r="AZ79" s="49" t="s">
        <v>634</v>
      </c>
      <c r="BA79" s="1775">
        <v>3</v>
      </c>
      <c r="BB79" s="40" t="s">
        <v>880</v>
      </c>
      <c r="BC79" s="47"/>
      <c r="BD79" s="47" t="s">
        <v>3423</v>
      </c>
      <c r="BE79" s="47">
        <v>1</v>
      </c>
      <c r="BF79" s="49" t="s">
        <v>636</v>
      </c>
      <c r="BG79" s="1775">
        <v>4</v>
      </c>
      <c r="BH79" s="40" t="s">
        <v>3781</v>
      </c>
      <c r="BI79" s="47" t="s">
        <v>3423</v>
      </c>
      <c r="BJ79" s="47"/>
      <c r="BK79" s="47">
        <v>1</v>
      </c>
      <c r="BL79" s="49" t="s">
        <v>636</v>
      </c>
      <c r="BM79" s="1775">
        <v>5</v>
      </c>
      <c r="BN79" s="40" t="s">
        <v>755</v>
      </c>
      <c r="BO79" s="47" t="s">
        <v>3423</v>
      </c>
      <c r="BP79" s="47"/>
      <c r="BQ79" s="47">
        <v>1</v>
      </c>
      <c r="BR79" s="49" t="s">
        <v>634</v>
      </c>
      <c r="BS79" s="1778"/>
      <c r="BT79" s="54"/>
      <c r="BU79" s="1778"/>
      <c r="BV79" s="1778"/>
      <c r="BW79" s="1778"/>
      <c r="BX79" s="54"/>
      <c r="BY79" s="1778"/>
      <c r="BZ79" s="54"/>
      <c r="CA79" s="1778"/>
      <c r="CB79" s="1778"/>
      <c r="CC79" s="1778"/>
      <c r="CD79" s="54"/>
      <c r="CE79" s="1778"/>
      <c r="CF79" s="54"/>
      <c r="CG79" s="1778"/>
      <c r="CH79" s="1778"/>
      <c r="CI79" s="1778"/>
      <c r="CJ79" s="1778"/>
    </row>
    <row r="80" spans="1:88" x14ac:dyDescent="0.5">
      <c r="A80" s="21">
        <v>20096684</v>
      </c>
      <c r="B80" s="22">
        <v>20090787</v>
      </c>
      <c r="C80" s="1019" t="s">
        <v>2538</v>
      </c>
      <c r="D80" s="1020" t="s">
        <v>2691</v>
      </c>
      <c r="E80" s="884">
        <v>44199</v>
      </c>
      <c r="F80" s="932"/>
      <c r="G80" s="933"/>
      <c r="H80" s="831"/>
      <c r="I80" s="1021"/>
      <c r="J80" s="931"/>
      <c r="K80" s="40"/>
      <c r="L80" s="22" t="s">
        <v>165</v>
      </c>
      <c r="M80" s="28" t="s">
        <v>4284</v>
      </c>
      <c r="N80" s="22" t="s">
        <v>1523</v>
      </c>
      <c r="O80" s="29">
        <v>145200</v>
      </c>
      <c r="P80" s="29">
        <f t="shared" si="150"/>
        <v>10164</v>
      </c>
      <c r="Q80" s="29">
        <f t="shared" si="151"/>
        <v>155364</v>
      </c>
      <c r="R80" s="61"/>
      <c r="S80" s="31" t="s">
        <v>3939</v>
      </c>
      <c r="T80" s="32">
        <f t="shared" si="152"/>
        <v>145200</v>
      </c>
      <c r="U80" s="33">
        <v>5</v>
      </c>
      <c r="V80" s="1251">
        <f t="shared" si="153"/>
        <v>7260</v>
      </c>
      <c r="W80" s="1231">
        <v>57.25</v>
      </c>
      <c r="X80" s="1184">
        <f t="shared" si="154"/>
        <v>137940</v>
      </c>
      <c r="Y80" s="1223">
        <f t="shared" si="155"/>
        <v>0.31874999999999998</v>
      </c>
      <c r="Z80" s="1223">
        <f>137940*0.32/100</f>
        <v>441.40800000000002</v>
      </c>
      <c r="AA80" s="1228">
        <v>0.5</v>
      </c>
      <c r="AB80" s="1228">
        <f t="shared" si="156"/>
        <v>689.7</v>
      </c>
      <c r="AC80" s="37">
        <v>0.2</v>
      </c>
      <c r="AD80" s="1234">
        <f t="shared" si="157"/>
        <v>275.88</v>
      </c>
      <c r="AE80" s="40"/>
      <c r="AF80" s="1186"/>
      <c r="AG80" s="41"/>
      <c r="AH80" s="63">
        <f t="shared" si="158"/>
        <v>0</v>
      </c>
      <c r="AI80" s="52">
        <f t="shared" si="159"/>
        <v>0</v>
      </c>
      <c r="AJ80" s="43"/>
      <c r="AK80" s="39"/>
      <c r="AL80" s="39"/>
      <c r="AM80" s="39"/>
      <c r="AN80" s="21"/>
      <c r="AO80" s="1775">
        <v>1</v>
      </c>
      <c r="AP80" s="45" t="s">
        <v>3682</v>
      </c>
      <c r="AQ80" s="46"/>
      <c r="AR80" s="46" t="s">
        <v>3423</v>
      </c>
      <c r="AS80" s="47">
        <v>1</v>
      </c>
      <c r="AT80" s="48" t="s">
        <v>634</v>
      </c>
      <c r="AU80" s="1775">
        <v>2</v>
      </c>
      <c r="AV80" s="40" t="s">
        <v>3733</v>
      </c>
      <c r="AW80" s="47"/>
      <c r="AX80" s="47" t="s">
        <v>3423</v>
      </c>
      <c r="AY80" s="47">
        <v>1</v>
      </c>
      <c r="AZ80" s="49" t="s">
        <v>636</v>
      </c>
      <c r="BA80" s="1778"/>
      <c r="BB80" s="54"/>
      <c r="BC80" s="1778"/>
      <c r="BD80" s="1778"/>
      <c r="BE80" s="1778"/>
      <c r="BF80" s="54"/>
      <c r="BG80" s="1778"/>
      <c r="BH80" s="54"/>
      <c r="BI80" s="1778"/>
      <c r="BJ80" s="1778"/>
      <c r="BK80" s="1778"/>
      <c r="BL80" s="54"/>
      <c r="BM80" s="1778"/>
      <c r="BN80" s="54"/>
      <c r="BO80" s="1778"/>
      <c r="BP80" s="1778"/>
      <c r="BQ80" s="1778"/>
      <c r="BR80" s="54"/>
      <c r="BS80" s="1778"/>
      <c r="BT80" s="54"/>
      <c r="BU80" s="1778"/>
      <c r="BV80" s="1778"/>
      <c r="BW80" s="1778"/>
      <c r="BX80" s="54"/>
      <c r="BY80" s="1778"/>
      <c r="BZ80" s="54"/>
      <c r="CA80" s="1778"/>
      <c r="CB80" s="1778"/>
      <c r="CC80" s="1778"/>
      <c r="CD80" s="54"/>
      <c r="CE80" s="1778"/>
      <c r="CF80" s="54"/>
      <c r="CG80" s="1778"/>
      <c r="CH80" s="1778"/>
      <c r="CI80" s="1778"/>
      <c r="CJ80" s="1778"/>
    </row>
    <row r="81" spans="1:88" x14ac:dyDescent="0.5">
      <c r="A81" s="21">
        <v>20096683</v>
      </c>
      <c r="B81" s="22">
        <v>20090788</v>
      </c>
      <c r="C81" s="1019" t="s">
        <v>2527</v>
      </c>
      <c r="D81" s="1020" t="s">
        <v>2691</v>
      </c>
      <c r="E81" s="884">
        <v>44193</v>
      </c>
      <c r="F81" s="932"/>
      <c r="G81" s="933"/>
      <c r="H81" s="831"/>
      <c r="I81" s="1021"/>
      <c r="J81" s="931"/>
      <c r="K81" s="40"/>
      <c r="L81" s="22" t="s">
        <v>165</v>
      </c>
      <c r="M81" s="28" t="s">
        <v>4285</v>
      </c>
      <c r="N81" s="22" t="s">
        <v>1523</v>
      </c>
      <c r="O81" s="29">
        <v>564000</v>
      </c>
      <c r="P81" s="29">
        <f t="shared" si="150"/>
        <v>39480</v>
      </c>
      <c r="Q81" s="29">
        <f t="shared" si="151"/>
        <v>603480</v>
      </c>
      <c r="R81" s="61"/>
      <c r="S81" s="31" t="s">
        <v>3939</v>
      </c>
      <c r="T81" s="32">
        <f t="shared" si="152"/>
        <v>564000</v>
      </c>
      <c r="U81" s="33">
        <v>5</v>
      </c>
      <c r="V81" s="1251">
        <f t="shared" si="153"/>
        <v>28200</v>
      </c>
      <c r="W81" s="1231">
        <v>57.25</v>
      </c>
      <c r="X81" s="1184">
        <f t="shared" si="154"/>
        <v>535800</v>
      </c>
      <c r="Y81" s="1223">
        <f t="shared" si="155"/>
        <v>0.31874999999999998</v>
      </c>
      <c r="Z81" s="1223">
        <f>535800*0.32/100</f>
        <v>1714.56</v>
      </c>
      <c r="AA81" s="1228">
        <v>0.5</v>
      </c>
      <c r="AB81" s="1228">
        <f t="shared" si="156"/>
        <v>2679</v>
      </c>
      <c r="AC81" s="37">
        <v>0.2</v>
      </c>
      <c r="AD81" s="1234">
        <f t="shared" si="157"/>
        <v>1071.5999999999999</v>
      </c>
      <c r="AE81" s="40"/>
      <c r="AF81" s="1186"/>
      <c r="AG81" s="41"/>
      <c r="AH81" s="63">
        <f t="shared" si="158"/>
        <v>0</v>
      </c>
      <c r="AI81" s="52">
        <f t="shared" si="159"/>
        <v>0</v>
      </c>
      <c r="AJ81" s="43"/>
      <c r="AK81" s="39"/>
      <c r="AL81" s="39"/>
      <c r="AM81" s="39"/>
      <c r="AN81" s="21"/>
      <c r="AO81" s="1775">
        <v>1</v>
      </c>
      <c r="AP81" s="45" t="s">
        <v>3548</v>
      </c>
      <c r="AQ81" s="46"/>
      <c r="AR81" s="46" t="s">
        <v>3423</v>
      </c>
      <c r="AS81" s="47">
        <v>1</v>
      </c>
      <c r="AT81" s="48" t="s">
        <v>634</v>
      </c>
      <c r="AU81" s="1775">
        <v>2</v>
      </c>
      <c r="AV81" s="40" t="s">
        <v>3549</v>
      </c>
      <c r="AW81" s="47"/>
      <c r="AX81" s="47" t="s">
        <v>3423</v>
      </c>
      <c r="AY81" s="47">
        <v>1</v>
      </c>
      <c r="AZ81" s="49" t="s">
        <v>634</v>
      </c>
      <c r="BA81" s="1775">
        <v>3</v>
      </c>
      <c r="BB81" s="40" t="s">
        <v>3545</v>
      </c>
      <c r="BC81" s="47"/>
      <c r="BD81" s="47" t="s">
        <v>3423</v>
      </c>
      <c r="BE81" s="47">
        <v>2</v>
      </c>
      <c r="BF81" s="49" t="s">
        <v>634</v>
      </c>
      <c r="BG81" s="1775">
        <v>4</v>
      </c>
      <c r="BH81" s="40" t="s">
        <v>2540</v>
      </c>
      <c r="BI81" s="47" t="s">
        <v>3423</v>
      </c>
      <c r="BJ81" s="47"/>
      <c r="BK81" s="47">
        <v>2</v>
      </c>
      <c r="BL81" s="49" t="s">
        <v>636</v>
      </c>
      <c r="BM81" s="1778"/>
      <c r="BN81" s="54"/>
      <c r="BO81" s="1778"/>
      <c r="BP81" s="1778"/>
      <c r="BQ81" s="1778"/>
      <c r="BR81" s="54"/>
      <c r="BS81" s="1778"/>
      <c r="BT81" s="54"/>
      <c r="BU81" s="1778"/>
      <c r="BV81" s="1778"/>
      <c r="BW81" s="1778"/>
      <c r="BX81" s="54"/>
      <c r="BY81" s="1778"/>
      <c r="BZ81" s="54"/>
      <c r="CA81" s="1778"/>
      <c r="CB81" s="1778"/>
      <c r="CC81" s="1778"/>
      <c r="CD81" s="54"/>
      <c r="CE81" s="1778"/>
      <c r="CF81" s="54"/>
      <c r="CG81" s="1778"/>
      <c r="CH81" s="1778"/>
      <c r="CI81" s="1778"/>
      <c r="CJ81" s="1778"/>
    </row>
    <row r="82" spans="1:88" x14ac:dyDescent="0.5">
      <c r="A82" s="21">
        <v>20096682</v>
      </c>
      <c r="B82" s="22">
        <v>20090791</v>
      </c>
      <c r="C82" s="1019" t="s">
        <v>2542</v>
      </c>
      <c r="D82" s="1020" t="s">
        <v>2691</v>
      </c>
      <c r="E82" s="884">
        <v>44111</v>
      </c>
      <c r="F82" s="932" t="s">
        <v>3368</v>
      </c>
      <c r="G82" s="933" t="s">
        <v>2479</v>
      </c>
      <c r="H82" s="884">
        <v>44112</v>
      </c>
      <c r="I82" s="1021">
        <v>63237</v>
      </c>
      <c r="J82" s="931" t="s">
        <v>3423</v>
      </c>
      <c r="K82" s="957">
        <v>44112</v>
      </c>
      <c r="L82" s="22" t="s">
        <v>15</v>
      </c>
      <c r="M82" s="28" t="s">
        <v>5</v>
      </c>
      <c r="N82" s="22" t="s">
        <v>51</v>
      </c>
      <c r="O82" s="29">
        <v>85300</v>
      </c>
      <c r="P82" s="29">
        <f t="shared" ref="P82:P87" si="160">O82*7/100</f>
        <v>5971</v>
      </c>
      <c r="Q82" s="29">
        <f t="shared" ref="Q82:Q87" si="161">O82+P82</f>
        <v>91271</v>
      </c>
      <c r="R82" s="61"/>
      <c r="S82" s="96"/>
      <c r="T82" s="97"/>
      <c r="U82" s="98"/>
      <c r="V82" s="1225"/>
      <c r="W82" s="1225"/>
      <c r="X82" s="100"/>
      <c r="Y82" s="1225"/>
      <c r="Z82" s="1225"/>
      <c r="AA82" s="1225"/>
      <c r="AB82" s="1225"/>
      <c r="AC82" s="100"/>
      <c r="AD82" s="595"/>
      <c r="AE82" s="40">
        <v>20100284</v>
      </c>
      <c r="AF82" s="1186" t="s">
        <v>3423</v>
      </c>
      <c r="AG82" s="41">
        <v>85300</v>
      </c>
      <c r="AH82" s="63">
        <f t="shared" ref="AH82:AH87" si="162">AG82*7/100</f>
        <v>5971</v>
      </c>
      <c r="AI82" s="52">
        <f t="shared" ref="AI82:AI87" si="163">AG82+AH82</f>
        <v>91271</v>
      </c>
      <c r="AJ82" s="53">
        <v>44175</v>
      </c>
      <c r="AK82" s="39"/>
      <c r="AL82" s="39"/>
      <c r="AM82" s="39" t="s">
        <v>3423</v>
      </c>
      <c r="AN82" s="21" t="s">
        <v>4418</v>
      </c>
      <c r="AO82" s="1775">
        <v>1</v>
      </c>
      <c r="AP82" s="45" t="s">
        <v>4286</v>
      </c>
      <c r="AQ82" s="46"/>
      <c r="AR82" s="46" t="s">
        <v>3423</v>
      </c>
      <c r="AS82" s="47">
        <v>1</v>
      </c>
      <c r="AT82" s="48" t="s">
        <v>633</v>
      </c>
      <c r="AU82" s="1778"/>
      <c r="AV82" s="54"/>
      <c r="AW82" s="1778"/>
      <c r="AX82" s="1778"/>
      <c r="AY82" s="1778"/>
      <c r="AZ82" s="54"/>
      <c r="BA82" s="1778"/>
      <c r="BB82" s="54"/>
      <c r="BC82" s="1778"/>
      <c r="BD82" s="1778"/>
      <c r="BE82" s="1778"/>
      <c r="BF82" s="54"/>
      <c r="BG82" s="1778"/>
      <c r="BH82" s="54"/>
      <c r="BI82" s="1778"/>
      <c r="BJ82" s="1778"/>
      <c r="BK82" s="1778"/>
      <c r="BL82" s="54"/>
      <c r="BM82" s="1778"/>
      <c r="BN82" s="54"/>
      <c r="BO82" s="1778"/>
      <c r="BP82" s="1778"/>
      <c r="BQ82" s="1778"/>
      <c r="BR82" s="54"/>
      <c r="BS82" s="1778"/>
      <c r="BT82" s="54"/>
      <c r="BU82" s="1778"/>
      <c r="BV82" s="1778"/>
      <c r="BW82" s="1778"/>
      <c r="BX82" s="54"/>
      <c r="BY82" s="1778"/>
      <c r="BZ82" s="54"/>
      <c r="CA82" s="1778"/>
      <c r="CB82" s="1778"/>
      <c r="CC82" s="1778"/>
      <c r="CD82" s="54"/>
      <c r="CE82" s="1778"/>
      <c r="CF82" s="54"/>
      <c r="CG82" s="1778"/>
      <c r="CH82" s="1778"/>
      <c r="CI82" s="1778"/>
      <c r="CJ82" s="1778"/>
    </row>
    <row r="83" spans="1:88" s="95" customFormat="1" x14ac:dyDescent="0.5">
      <c r="A83" s="65">
        <v>20096681</v>
      </c>
      <c r="B83" s="66">
        <v>20090784</v>
      </c>
      <c r="C83" s="327" t="s">
        <v>2546</v>
      </c>
      <c r="D83" s="328" t="s">
        <v>2691</v>
      </c>
      <c r="E83" s="905">
        <v>44106</v>
      </c>
      <c r="F83" s="934"/>
      <c r="G83" s="935"/>
      <c r="H83" s="326"/>
      <c r="I83" s="331"/>
      <c r="J83" s="958"/>
      <c r="K83" s="84"/>
      <c r="L83" s="66" t="s">
        <v>15</v>
      </c>
      <c r="M83" s="72" t="s">
        <v>5</v>
      </c>
      <c r="N83" s="66" t="s">
        <v>51</v>
      </c>
      <c r="O83" s="73">
        <v>79420</v>
      </c>
      <c r="P83" s="73">
        <f t="shared" si="160"/>
        <v>5559.4</v>
      </c>
      <c r="Q83" s="73">
        <f t="shared" si="161"/>
        <v>84979.4</v>
      </c>
      <c r="R83" s="318"/>
      <c r="S83" s="319"/>
      <c r="T83" s="320"/>
      <c r="U83" s="321"/>
      <c r="V83" s="1321"/>
      <c r="W83" s="1321"/>
      <c r="X83" s="323"/>
      <c r="Y83" s="1321"/>
      <c r="Z83" s="1321"/>
      <c r="AA83" s="1321"/>
      <c r="AB83" s="1321"/>
      <c r="AC83" s="323"/>
      <c r="AD83" s="1322"/>
      <c r="AE83" s="84"/>
      <c r="AF83" s="1323"/>
      <c r="AG83" s="85"/>
      <c r="AH83" s="590">
        <f t="shared" si="162"/>
        <v>0</v>
      </c>
      <c r="AI83" s="908">
        <f t="shared" si="163"/>
        <v>0</v>
      </c>
      <c r="AJ83" s="87"/>
      <c r="AK83" s="83"/>
      <c r="AL83" s="83"/>
      <c r="AM83" s="83"/>
      <c r="AN83" s="65"/>
      <c r="AO83" s="88">
        <v>1</v>
      </c>
      <c r="AP83" s="89" t="s">
        <v>2884</v>
      </c>
      <c r="AQ83" s="90"/>
      <c r="AR83" s="90" t="s">
        <v>3423</v>
      </c>
      <c r="AS83" s="91">
        <v>1</v>
      </c>
      <c r="AT83" s="92" t="s">
        <v>633</v>
      </c>
      <c r="AU83" s="88"/>
      <c r="AV83" s="94"/>
      <c r="AW83" s="88"/>
      <c r="AX83" s="88"/>
      <c r="AY83" s="88"/>
      <c r="AZ83" s="94"/>
      <c r="BA83" s="88"/>
      <c r="BB83" s="94"/>
      <c r="BC83" s="88"/>
      <c r="BD83" s="88"/>
      <c r="BE83" s="88"/>
      <c r="BF83" s="94"/>
      <c r="BG83" s="88"/>
      <c r="BH83" s="94"/>
      <c r="BI83" s="88"/>
      <c r="BJ83" s="88"/>
      <c r="BK83" s="88"/>
      <c r="BL83" s="94"/>
      <c r="BM83" s="88"/>
      <c r="BN83" s="94"/>
      <c r="BO83" s="88"/>
      <c r="BP83" s="88"/>
      <c r="BQ83" s="88"/>
      <c r="BR83" s="94"/>
      <c r="BS83" s="88"/>
      <c r="BT83" s="94"/>
      <c r="BU83" s="88"/>
      <c r="BV83" s="88"/>
      <c r="BW83" s="88"/>
      <c r="BX83" s="94"/>
      <c r="BY83" s="88"/>
      <c r="BZ83" s="94"/>
      <c r="CA83" s="88"/>
      <c r="CB83" s="88"/>
      <c r="CC83" s="88"/>
      <c r="CD83" s="94"/>
      <c r="CE83" s="88"/>
      <c r="CF83" s="94"/>
      <c r="CG83" s="88"/>
      <c r="CH83" s="88"/>
      <c r="CI83" s="88"/>
      <c r="CJ83" s="88"/>
    </row>
    <row r="84" spans="1:88" x14ac:dyDescent="0.5">
      <c r="A84" s="21">
        <v>20096680</v>
      </c>
      <c r="B84" s="22">
        <v>20090779</v>
      </c>
      <c r="C84" s="55"/>
      <c r="D84" s="56"/>
      <c r="E84" s="910"/>
      <c r="F84" s="57"/>
      <c r="G84" s="58"/>
      <c r="H84" s="59"/>
      <c r="I84" s="60"/>
      <c r="J84" s="269"/>
      <c r="K84" s="59"/>
      <c r="L84" s="22" t="s">
        <v>2803</v>
      </c>
      <c r="M84" s="28" t="s">
        <v>4237</v>
      </c>
      <c r="N84" s="22" t="s">
        <v>51</v>
      </c>
      <c r="O84" s="29">
        <v>16000</v>
      </c>
      <c r="P84" s="29">
        <f t="shared" si="160"/>
        <v>1120</v>
      </c>
      <c r="Q84" s="29">
        <f t="shared" si="161"/>
        <v>17120</v>
      </c>
      <c r="R84" s="61"/>
      <c r="S84" s="96"/>
      <c r="T84" s="97"/>
      <c r="U84" s="98"/>
      <c r="V84" s="1225"/>
      <c r="W84" s="1225"/>
      <c r="X84" s="100"/>
      <c r="Y84" s="1225"/>
      <c r="Z84" s="1225"/>
      <c r="AA84" s="1225"/>
      <c r="AB84" s="1225"/>
      <c r="AC84" s="100"/>
      <c r="AD84" s="595"/>
      <c r="AE84" s="40">
        <v>20100272</v>
      </c>
      <c r="AF84" s="1186" t="s">
        <v>3423</v>
      </c>
      <c r="AG84" s="41">
        <v>16000</v>
      </c>
      <c r="AH84" s="63">
        <f t="shared" si="162"/>
        <v>1120</v>
      </c>
      <c r="AI84" s="52">
        <f t="shared" si="163"/>
        <v>17120</v>
      </c>
      <c r="AJ84" s="53">
        <v>44149</v>
      </c>
      <c r="AK84" s="39"/>
      <c r="AL84" s="39"/>
      <c r="AM84" s="39" t="s">
        <v>3423</v>
      </c>
      <c r="AN84" s="21"/>
      <c r="AO84" s="1775">
        <v>1</v>
      </c>
      <c r="AP84" s="45" t="s">
        <v>4238</v>
      </c>
      <c r="AQ84" s="46"/>
      <c r="AR84" s="46"/>
      <c r="AS84" s="47">
        <v>1</v>
      </c>
      <c r="AT84" s="48" t="s">
        <v>628</v>
      </c>
      <c r="AU84" s="1775">
        <v>2</v>
      </c>
      <c r="AV84" s="40" t="s">
        <v>4239</v>
      </c>
      <c r="AW84" s="47"/>
      <c r="AX84" s="47"/>
      <c r="AY84" s="47">
        <v>1</v>
      </c>
      <c r="AZ84" s="49" t="s">
        <v>628</v>
      </c>
      <c r="BA84" s="1775"/>
      <c r="BB84" s="54"/>
      <c r="BC84" s="1775"/>
      <c r="BD84" s="1775"/>
      <c r="BE84" s="1775"/>
      <c r="BF84" s="54"/>
      <c r="BG84" s="1775"/>
      <c r="BH84" s="54"/>
      <c r="BI84" s="1775"/>
      <c r="BJ84" s="1775"/>
      <c r="BK84" s="1775"/>
      <c r="BL84" s="54"/>
      <c r="BM84" s="1775"/>
      <c r="BN84" s="54"/>
      <c r="BO84" s="1775"/>
      <c r="BP84" s="1775"/>
      <c r="BQ84" s="1775"/>
      <c r="BR84" s="54"/>
      <c r="BS84" s="1775"/>
      <c r="BT84" s="54"/>
      <c r="BU84" s="1775"/>
      <c r="BV84" s="1775"/>
      <c r="BW84" s="1775"/>
      <c r="BX84" s="54"/>
      <c r="BY84" s="1775"/>
      <c r="BZ84" s="54"/>
      <c r="CA84" s="1775"/>
      <c r="CB84" s="1775"/>
      <c r="CC84" s="1775"/>
      <c r="CD84" s="54"/>
      <c r="CE84" s="1775"/>
      <c r="CF84" s="54"/>
      <c r="CG84" s="1775"/>
      <c r="CH84" s="1775"/>
      <c r="CI84" s="1775"/>
      <c r="CJ84" s="1775"/>
    </row>
    <row r="85" spans="1:88" x14ac:dyDescent="0.5">
      <c r="A85" s="21">
        <v>20096679</v>
      </c>
      <c r="B85" s="22">
        <v>20090778</v>
      </c>
      <c r="C85" s="55"/>
      <c r="D85" s="56"/>
      <c r="E85" s="910"/>
      <c r="F85" s="57"/>
      <c r="G85" s="58"/>
      <c r="H85" s="59"/>
      <c r="I85" s="60"/>
      <c r="J85" s="269"/>
      <c r="K85" s="59"/>
      <c r="L85" s="22" t="s">
        <v>2803</v>
      </c>
      <c r="M85" s="28" t="s">
        <v>4240</v>
      </c>
      <c r="N85" s="22" t="s">
        <v>51</v>
      </c>
      <c r="O85" s="29">
        <v>27000</v>
      </c>
      <c r="P85" s="29">
        <f t="shared" si="160"/>
        <v>1890</v>
      </c>
      <c r="Q85" s="29">
        <f t="shared" si="161"/>
        <v>28890</v>
      </c>
      <c r="R85" s="61"/>
      <c r="S85" s="96"/>
      <c r="T85" s="97"/>
      <c r="U85" s="98"/>
      <c r="V85" s="1225"/>
      <c r="W85" s="1225"/>
      <c r="X85" s="100"/>
      <c r="Y85" s="1225"/>
      <c r="Z85" s="1225"/>
      <c r="AA85" s="1225"/>
      <c r="AB85" s="1225"/>
      <c r="AC85" s="100"/>
      <c r="AD85" s="595"/>
      <c r="AE85" s="40">
        <v>20100271</v>
      </c>
      <c r="AF85" s="1186" t="s">
        <v>3423</v>
      </c>
      <c r="AG85" s="41">
        <v>27000</v>
      </c>
      <c r="AH85" s="63">
        <f t="shared" si="162"/>
        <v>1890</v>
      </c>
      <c r="AI85" s="52">
        <f t="shared" si="163"/>
        <v>28890</v>
      </c>
      <c r="AJ85" s="53">
        <v>44149</v>
      </c>
      <c r="AK85" s="39"/>
      <c r="AL85" s="39"/>
      <c r="AM85" s="39" t="s">
        <v>3423</v>
      </c>
      <c r="AN85" s="21"/>
      <c r="AO85" s="1775">
        <v>1</v>
      </c>
      <c r="AP85" s="45" t="s">
        <v>4241</v>
      </c>
      <c r="AQ85" s="46"/>
      <c r="AR85" s="46"/>
      <c r="AS85" s="47">
        <v>1</v>
      </c>
      <c r="AT85" s="48" t="s">
        <v>628</v>
      </c>
      <c r="AU85" s="1775"/>
      <c r="AV85" s="54"/>
      <c r="AW85" s="1775"/>
      <c r="AX85" s="1775"/>
      <c r="AY85" s="1775"/>
      <c r="AZ85" s="54"/>
      <c r="BA85" s="1775"/>
      <c r="BB85" s="54"/>
      <c r="BC85" s="1775"/>
      <c r="BD85" s="1775"/>
      <c r="BE85" s="1775"/>
      <c r="BF85" s="54"/>
      <c r="BG85" s="1775"/>
      <c r="BH85" s="54"/>
      <c r="BI85" s="1775"/>
      <c r="BJ85" s="1775"/>
      <c r="BK85" s="1775"/>
      <c r="BL85" s="54"/>
      <c r="BM85" s="1775"/>
      <c r="BN85" s="54"/>
      <c r="BO85" s="1775"/>
      <c r="BP85" s="1775"/>
      <c r="BQ85" s="1775"/>
      <c r="BR85" s="54"/>
      <c r="BS85" s="1775"/>
      <c r="BT85" s="54"/>
      <c r="BU85" s="1775"/>
      <c r="BV85" s="1775"/>
      <c r="BW85" s="1775"/>
      <c r="BX85" s="54"/>
      <c r="BY85" s="1775"/>
      <c r="BZ85" s="54"/>
      <c r="CA85" s="1775"/>
      <c r="CB85" s="1775"/>
      <c r="CC85" s="1775"/>
      <c r="CD85" s="54"/>
      <c r="CE85" s="1775"/>
      <c r="CF85" s="54"/>
      <c r="CG85" s="1775"/>
      <c r="CH85" s="1775"/>
      <c r="CI85" s="1775"/>
      <c r="CJ85" s="1775"/>
    </row>
    <row r="86" spans="1:88" x14ac:dyDescent="0.5">
      <c r="A86" s="21">
        <v>20096678</v>
      </c>
      <c r="B86" s="22">
        <v>20090777</v>
      </c>
      <c r="C86" s="1019" t="s">
        <v>2533</v>
      </c>
      <c r="D86" s="1020" t="s">
        <v>2691</v>
      </c>
      <c r="E86" s="884">
        <v>44102</v>
      </c>
      <c r="F86" s="932" t="s">
        <v>3368</v>
      </c>
      <c r="G86" s="933" t="s">
        <v>2160</v>
      </c>
      <c r="H86" s="884">
        <v>44103</v>
      </c>
      <c r="I86" s="1021">
        <v>63232</v>
      </c>
      <c r="J86" s="931" t="s">
        <v>3423</v>
      </c>
      <c r="K86" s="957">
        <v>44103</v>
      </c>
      <c r="L86" s="22" t="s">
        <v>3564</v>
      </c>
      <c r="M86" s="28" t="s">
        <v>4242</v>
      </c>
      <c r="N86" s="22" t="s">
        <v>50</v>
      </c>
      <c r="O86" s="29">
        <v>23600</v>
      </c>
      <c r="P86" s="29">
        <f t="shared" si="160"/>
        <v>1652</v>
      </c>
      <c r="Q86" s="29">
        <f t="shared" si="161"/>
        <v>25252</v>
      </c>
      <c r="R86" s="61"/>
      <c r="S86" s="96"/>
      <c r="T86" s="97"/>
      <c r="U86" s="98"/>
      <c r="V86" s="1225"/>
      <c r="W86" s="1231">
        <v>60</v>
      </c>
      <c r="X86" s="1184">
        <f>O86</f>
        <v>23600</v>
      </c>
      <c r="Y86" s="1223">
        <f t="shared" ref="Y86" si="164">SUM((50-W86)/(100)*(2.5)+(0.5))</f>
        <v>0.25</v>
      </c>
      <c r="Z86" s="1223">
        <f>23600*0.25/100</f>
        <v>59</v>
      </c>
      <c r="AA86" s="1228">
        <v>0.7</v>
      </c>
      <c r="AB86" s="1228">
        <f t="shared" ref="AB86" si="165">X86*AA86/100</f>
        <v>165.2</v>
      </c>
      <c r="AC86" s="37">
        <v>0.2</v>
      </c>
      <c r="AD86" s="1234">
        <f t="shared" ref="AD86" si="166">X86*AC86/100</f>
        <v>47.2</v>
      </c>
      <c r="AE86" s="40">
        <v>20100267</v>
      </c>
      <c r="AF86" s="1186" t="s">
        <v>3423</v>
      </c>
      <c r="AG86" s="41">
        <v>23600</v>
      </c>
      <c r="AH86" s="63">
        <f t="shared" si="162"/>
        <v>1652</v>
      </c>
      <c r="AI86" s="52">
        <f t="shared" si="163"/>
        <v>25252</v>
      </c>
      <c r="AJ86" s="53">
        <v>44157</v>
      </c>
      <c r="AK86" s="39"/>
      <c r="AL86" s="39"/>
      <c r="AM86" s="39" t="s">
        <v>3423</v>
      </c>
      <c r="AN86" s="21" t="s">
        <v>4302</v>
      </c>
      <c r="AO86" s="1775">
        <v>1</v>
      </c>
      <c r="AP86" s="45" t="s">
        <v>4243</v>
      </c>
      <c r="AQ86" s="46"/>
      <c r="AR86" s="46" t="s">
        <v>3423</v>
      </c>
      <c r="AS86" s="47">
        <v>1</v>
      </c>
      <c r="AT86" s="48" t="s">
        <v>634</v>
      </c>
      <c r="AU86" s="1775"/>
      <c r="AV86" s="54"/>
      <c r="AW86" s="1775"/>
      <c r="AX86" s="1775"/>
      <c r="AY86" s="1775"/>
      <c r="AZ86" s="54"/>
      <c r="BA86" s="1775"/>
      <c r="BB86" s="54"/>
      <c r="BC86" s="1775"/>
      <c r="BD86" s="1775"/>
      <c r="BE86" s="1775"/>
      <c r="BF86" s="54"/>
      <c r="BG86" s="1775"/>
      <c r="BH86" s="54"/>
      <c r="BI86" s="1775"/>
      <c r="BJ86" s="1775"/>
      <c r="BK86" s="1775"/>
      <c r="BL86" s="54"/>
      <c r="BM86" s="1775"/>
      <c r="BN86" s="54"/>
      <c r="BO86" s="1775"/>
      <c r="BP86" s="1775"/>
      <c r="BQ86" s="1775"/>
      <c r="BR86" s="54"/>
      <c r="BS86" s="1775"/>
      <c r="BT86" s="54"/>
      <c r="BU86" s="1775"/>
      <c r="BV86" s="1775"/>
      <c r="BW86" s="1775"/>
      <c r="BX86" s="54"/>
      <c r="BY86" s="1775"/>
      <c r="BZ86" s="54"/>
      <c r="CA86" s="1775"/>
      <c r="CB86" s="1775"/>
      <c r="CC86" s="1775"/>
      <c r="CD86" s="54"/>
      <c r="CE86" s="1775"/>
      <c r="CF86" s="54"/>
      <c r="CG86" s="1775"/>
      <c r="CH86" s="1775"/>
      <c r="CI86" s="1775"/>
      <c r="CJ86" s="1775"/>
    </row>
    <row r="87" spans="1:88" x14ac:dyDescent="0.5">
      <c r="A87" s="21">
        <v>20096677</v>
      </c>
      <c r="B87" s="22">
        <v>20090776</v>
      </c>
      <c r="C87" s="1019" t="s">
        <v>2478</v>
      </c>
      <c r="D87" s="1020" t="s">
        <v>2691</v>
      </c>
      <c r="E87" s="884">
        <v>44104</v>
      </c>
      <c r="F87" s="932" t="s">
        <v>3368</v>
      </c>
      <c r="G87" s="933" t="s">
        <v>2473</v>
      </c>
      <c r="H87" s="884">
        <v>44103</v>
      </c>
      <c r="I87" s="1021">
        <v>63231</v>
      </c>
      <c r="J87" s="931" t="s">
        <v>3423</v>
      </c>
      <c r="K87" s="957">
        <v>44104</v>
      </c>
      <c r="L87" s="22" t="s">
        <v>20</v>
      </c>
      <c r="M87" s="28" t="s">
        <v>160</v>
      </c>
      <c r="N87" s="22" t="s">
        <v>51</v>
      </c>
      <c r="O87" s="29">
        <v>46666</v>
      </c>
      <c r="P87" s="29">
        <f t="shared" si="160"/>
        <v>3266.62</v>
      </c>
      <c r="Q87" s="29">
        <f t="shared" si="161"/>
        <v>49932.62</v>
      </c>
      <c r="R87" s="61"/>
      <c r="S87" s="96"/>
      <c r="T87" s="97"/>
      <c r="U87" s="98"/>
      <c r="V87" s="1225"/>
      <c r="W87" s="1225"/>
      <c r="X87" s="100"/>
      <c r="Y87" s="1225"/>
      <c r="Z87" s="1225"/>
      <c r="AA87" s="1225"/>
      <c r="AB87" s="1225"/>
      <c r="AC87" s="100"/>
      <c r="AD87" s="595"/>
      <c r="AE87" s="40">
        <v>20090259</v>
      </c>
      <c r="AF87" s="1186" t="s">
        <v>3423</v>
      </c>
      <c r="AG87" s="41">
        <v>46666</v>
      </c>
      <c r="AH87" s="63">
        <f t="shared" si="162"/>
        <v>3266.62</v>
      </c>
      <c r="AI87" s="52">
        <f t="shared" si="163"/>
        <v>49932.62</v>
      </c>
      <c r="AJ87" s="53">
        <v>44134</v>
      </c>
      <c r="AK87" s="39"/>
      <c r="AL87" s="39"/>
      <c r="AM87" s="39" t="s">
        <v>3423</v>
      </c>
      <c r="AN87" s="21" t="s">
        <v>4289</v>
      </c>
      <c r="AO87" s="1775">
        <v>1</v>
      </c>
      <c r="AP87" s="45" t="s">
        <v>1951</v>
      </c>
      <c r="AQ87" s="46"/>
      <c r="AR87" s="46" t="s">
        <v>3423</v>
      </c>
      <c r="AS87" s="47">
        <v>2</v>
      </c>
      <c r="AT87" s="48" t="s">
        <v>633</v>
      </c>
      <c r="AU87" s="1776"/>
      <c r="AV87" s="54"/>
      <c r="AW87" s="1776"/>
      <c r="AX87" s="1776"/>
      <c r="AY87" s="1776"/>
      <c r="AZ87" s="54"/>
      <c r="BA87" s="1776"/>
      <c r="BB87" s="54"/>
      <c r="BC87" s="1776"/>
      <c r="BD87" s="1776"/>
      <c r="BE87" s="1776"/>
      <c r="BF87" s="54"/>
      <c r="BG87" s="1776"/>
      <c r="BH87" s="54"/>
      <c r="BI87" s="1776"/>
      <c r="BJ87" s="1776"/>
      <c r="BK87" s="1776"/>
      <c r="BL87" s="54"/>
      <c r="BM87" s="1776"/>
      <c r="BN87" s="54"/>
      <c r="BO87" s="1776"/>
      <c r="BP87" s="1776"/>
      <c r="BQ87" s="1776"/>
      <c r="BR87" s="54"/>
      <c r="BS87" s="1776"/>
      <c r="BT87" s="54"/>
      <c r="BU87" s="1776"/>
      <c r="BV87" s="1776"/>
      <c r="BW87" s="1776"/>
      <c r="BX87" s="54"/>
      <c r="BY87" s="1776"/>
      <c r="BZ87" s="54"/>
      <c r="CA87" s="1776"/>
      <c r="CB87" s="1776"/>
      <c r="CC87" s="1776"/>
      <c r="CD87" s="54"/>
      <c r="CE87" s="1776"/>
      <c r="CF87" s="54"/>
      <c r="CG87" s="1776"/>
      <c r="CH87" s="1776"/>
      <c r="CI87" s="1776"/>
      <c r="CJ87" s="1776"/>
    </row>
    <row r="88" spans="1:88" x14ac:dyDescent="0.5">
      <c r="A88" s="21">
        <v>20096676</v>
      </c>
      <c r="B88" s="22">
        <v>20090775</v>
      </c>
      <c r="C88" s="1019" t="s">
        <v>2479</v>
      </c>
      <c r="D88" s="1020" t="s">
        <v>2691</v>
      </c>
      <c r="E88" s="884">
        <v>44099</v>
      </c>
      <c r="F88" s="932" t="s">
        <v>3368</v>
      </c>
      <c r="G88" s="933" t="s">
        <v>2484</v>
      </c>
      <c r="H88" s="884">
        <v>44105</v>
      </c>
      <c r="I88" s="1021">
        <v>63233</v>
      </c>
      <c r="J88" s="931" t="s">
        <v>3423</v>
      </c>
      <c r="K88" s="957">
        <v>44106</v>
      </c>
      <c r="L88" s="22" t="s">
        <v>4228</v>
      </c>
      <c r="M88" s="28" t="s">
        <v>4244</v>
      </c>
      <c r="N88" s="22" t="s">
        <v>1523</v>
      </c>
      <c r="O88" s="29">
        <v>27600</v>
      </c>
      <c r="P88" s="29">
        <f t="shared" si="150"/>
        <v>1932</v>
      </c>
      <c r="Q88" s="29">
        <f t="shared" si="151"/>
        <v>29532</v>
      </c>
      <c r="R88" s="61"/>
      <c r="S88" s="96"/>
      <c r="T88" s="97"/>
      <c r="U88" s="98"/>
      <c r="V88" s="1225"/>
      <c r="W88" s="1231">
        <v>52.25</v>
      </c>
      <c r="X88" s="1184">
        <f>O88</f>
        <v>27600</v>
      </c>
      <c r="Y88" s="1223">
        <f t="shared" si="155"/>
        <v>0.44374999999999998</v>
      </c>
      <c r="Z88" s="1223">
        <f>27600*0.44/100</f>
        <v>121.44</v>
      </c>
      <c r="AA88" s="1228">
        <v>0.5</v>
      </c>
      <c r="AB88" s="1228">
        <f t="shared" si="156"/>
        <v>138</v>
      </c>
      <c r="AC88" s="37">
        <v>0.2</v>
      </c>
      <c r="AD88" s="1234">
        <f t="shared" si="157"/>
        <v>55.2</v>
      </c>
      <c r="AE88" s="40">
        <v>20100266</v>
      </c>
      <c r="AF88" s="1186" t="s">
        <v>3423</v>
      </c>
      <c r="AG88" s="41">
        <v>27600</v>
      </c>
      <c r="AH88" s="63">
        <f t="shared" si="158"/>
        <v>1932</v>
      </c>
      <c r="AI88" s="52">
        <f t="shared" si="159"/>
        <v>29532</v>
      </c>
      <c r="AJ88" s="53">
        <v>44142</v>
      </c>
      <c r="AK88" s="39"/>
      <c r="AL88" s="39"/>
      <c r="AM88" s="39" t="s">
        <v>3423</v>
      </c>
      <c r="AN88" s="21" t="s">
        <v>4301</v>
      </c>
      <c r="AO88" s="1775">
        <v>1</v>
      </c>
      <c r="AP88" s="45" t="s">
        <v>883</v>
      </c>
      <c r="AQ88" s="46"/>
      <c r="AR88" s="46" t="s">
        <v>3423</v>
      </c>
      <c r="AS88" s="47">
        <v>2</v>
      </c>
      <c r="AT88" s="48" t="s">
        <v>636</v>
      </c>
      <c r="AU88" s="1775"/>
      <c r="AV88" s="54"/>
      <c r="AW88" s="1775"/>
      <c r="AX88" s="1775"/>
      <c r="AY88" s="1775"/>
      <c r="AZ88" s="54"/>
      <c r="BA88" s="1775"/>
      <c r="BB88" s="54"/>
      <c r="BC88" s="1775"/>
      <c r="BD88" s="1775"/>
      <c r="BE88" s="1775"/>
      <c r="BF88" s="54"/>
      <c r="BG88" s="1775"/>
      <c r="BH88" s="54"/>
      <c r="BI88" s="1775"/>
      <c r="BJ88" s="1775"/>
      <c r="BK88" s="1775"/>
      <c r="BL88" s="54"/>
      <c r="BM88" s="1775"/>
      <c r="BN88" s="54"/>
      <c r="BO88" s="1775"/>
      <c r="BP88" s="1775"/>
      <c r="BQ88" s="1775"/>
      <c r="BR88" s="54"/>
      <c r="BS88" s="1775"/>
      <c r="BT88" s="54"/>
      <c r="BU88" s="1775"/>
      <c r="BV88" s="1775"/>
      <c r="BW88" s="1775"/>
      <c r="BX88" s="54"/>
      <c r="BY88" s="1775"/>
      <c r="BZ88" s="54"/>
      <c r="CA88" s="1775"/>
      <c r="CB88" s="1775"/>
      <c r="CC88" s="1775"/>
      <c r="CD88" s="54"/>
      <c r="CE88" s="1775"/>
      <c r="CF88" s="54"/>
      <c r="CG88" s="1775"/>
      <c r="CH88" s="1775"/>
      <c r="CI88" s="1775"/>
      <c r="CJ88" s="1775"/>
    </row>
    <row r="89" spans="1:88" x14ac:dyDescent="0.5">
      <c r="A89" s="259" t="s">
        <v>4253</v>
      </c>
      <c r="B89" s="104">
        <v>20090773</v>
      </c>
      <c r="C89" s="1243" t="s">
        <v>2481</v>
      </c>
      <c r="D89" s="1244" t="s">
        <v>2691</v>
      </c>
      <c r="E89" s="302">
        <v>44100</v>
      </c>
      <c r="F89" s="936" t="s">
        <v>3368</v>
      </c>
      <c r="G89" s="937" t="s">
        <v>2493</v>
      </c>
      <c r="H89" s="302">
        <v>44102</v>
      </c>
      <c r="I89" s="1124">
        <v>63229</v>
      </c>
      <c r="J89" s="960" t="s">
        <v>3423</v>
      </c>
      <c r="K89" s="965">
        <v>44103</v>
      </c>
      <c r="L89" s="104" t="s">
        <v>4254</v>
      </c>
      <c r="M89" s="110" t="s">
        <v>4255</v>
      </c>
      <c r="N89" s="104" t="s">
        <v>52</v>
      </c>
      <c r="O89" s="111">
        <v>105500</v>
      </c>
      <c r="P89" s="231"/>
      <c r="Q89" s="111">
        <f t="shared" si="151"/>
        <v>105500</v>
      </c>
      <c r="R89" s="311">
        <v>14000</v>
      </c>
      <c r="S89" s="113"/>
      <c r="T89" s="114"/>
      <c r="U89" s="115"/>
      <c r="V89" s="1252"/>
      <c r="W89" s="1245"/>
      <c r="X89" s="1246"/>
      <c r="Y89" s="1247"/>
      <c r="Z89" s="1247"/>
      <c r="AA89" s="1265"/>
      <c r="AB89" s="1265"/>
      <c r="AC89" s="119"/>
      <c r="AD89" s="1248"/>
      <c r="AE89" s="123"/>
      <c r="AF89" s="1249"/>
      <c r="AG89" s="124"/>
      <c r="AH89" s="260"/>
      <c r="AI89" s="125"/>
      <c r="AJ89" s="370"/>
      <c r="AK89" s="127" t="s">
        <v>3423</v>
      </c>
      <c r="AL89" s="127"/>
      <c r="AM89" s="127"/>
      <c r="AN89" s="103"/>
      <c r="AO89" s="128"/>
      <c r="AP89" s="129"/>
      <c r="AQ89" s="130"/>
      <c r="AR89" s="130"/>
      <c r="AS89" s="131"/>
      <c r="AT89" s="132"/>
      <c r="AU89" s="128"/>
      <c r="AV89" s="133"/>
      <c r="AW89" s="128"/>
      <c r="AX89" s="128"/>
      <c r="AY89" s="128"/>
      <c r="AZ89" s="133"/>
      <c r="BA89" s="128"/>
      <c r="BB89" s="133"/>
      <c r="BC89" s="128"/>
      <c r="BD89" s="128"/>
      <c r="BE89" s="128"/>
      <c r="BF89" s="133"/>
      <c r="BG89" s="128"/>
      <c r="BH89" s="133"/>
      <c r="BI89" s="128"/>
      <c r="BJ89" s="128"/>
      <c r="BK89" s="128"/>
      <c r="BL89" s="133"/>
      <c r="BM89" s="128"/>
      <c r="BN89" s="133"/>
      <c r="BO89" s="128"/>
      <c r="BP89" s="128"/>
      <c r="BQ89" s="128"/>
      <c r="BR89" s="133"/>
      <c r="BS89" s="128"/>
      <c r="BT89" s="133"/>
      <c r="BU89" s="128"/>
      <c r="BV89" s="128"/>
      <c r="BW89" s="128"/>
      <c r="BX89" s="133"/>
      <c r="BY89" s="128"/>
      <c r="BZ89" s="133"/>
      <c r="CA89" s="128"/>
      <c r="CB89" s="128"/>
      <c r="CC89" s="128"/>
      <c r="CD89" s="133"/>
      <c r="CE89" s="128"/>
      <c r="CF89" s="133"/>
      <c r="CG89" s="128"/>
      <c r="CH89" s="128"/>
      <c r="CI89" s="128"/>
      <c r="CJ89" s="128"/>
    </row>
    <row r="90" spans="1:88" x14ac:dyDescent="0.5">
      <c r="A90" s="262"/>
      <c r="B90" s="135"/>
      <c r="C90" s="1290"/>
      <c r="D90" s="1291"/>
      <c r="E90" s="906"/>
      <c r="F90" s="940"/>
      <c r="G90" s="941"/>
      <c r="H90" s="906">
        <v>44102</v>
      </c>
      <c r="I90" s="1138">
        <v>63230</v>
      </c>
      <c r="J90" s="963"/>
      <c r="K90" s="964"/>
      <c r="L90" s="135"/>
      <c r="M90" s="141"/>
      <c r="N90" s="135"/>
      <c r="O90" s="142"/>
      <c r="P90" s="282"/>
      <c r="Q90" s="142"/>
      <c r="R90" s="143"/>
      <c r="S90" s="144"/>
      <c r="T90" s="145"/>
      <c r="U90" s="146"/>
      <c r="V90" s="1292"/>
      <c r="W90" s="1293"/>
      <c r="X90" s="1294"/>
      <c r="Y90" s="1295"/>
      <c r="Z90" s="1295"/>
      <c r="AA90" s="1308"/>
      <c r="AB90" s="1308"/>
      <c r="AC90" s="150"/>
      <c r="AD90" s="1297"/>
      <c r="AE90" s="154"/>
      <c r="AF90" s="1298"/>
      <c r="AG90" s="155"/>
      <c r="AH90" s="253"/>
      <c r="AI90" s="156"/>
      <c r="AJ90" s="256"/>
      <c r="AK90" s="152"/>
      <c r="AL90" s="152"/>
      <c r="AM90" s="152"/>
      <c r="AN90" s="134"/>
      <c r="AO90" s="158"/>
      <c r="AP90" s="159"/>
      <c r="AQ90" s="160"/>
      <c r="AR90" s="160"/>
      <c r="AS90" s="161"/>
      <c r="AT90" s="162"/>
      <c r="AU90" s="158"/>
      <c r="AV90" s="163"/>
      <c r="AW90" s="158"/>
      <c r="AX90" s="158"/>
      <c r="AY90" s="158"/>
      <c r="AZ90" s="163"/>
      <c r="BA90" s="158"/>
      <c r="BB90" s="163"/>
      <c r="BC90" s="158"/>
      <c r="BD90" s="158"/>
      <c r="BE90" s="158"/>
      <c r="BF90" s="163"/>
      <c r="BG90" s="158"/>
      <c r="BH90" s="163"/>
      <c r="BI90" s="158"/>
      <c r="BJ90" s="158"/>
      <c r="BK90" s="158"/>
      <c r="BL90" s="163"/>
      <c r="BM90" s="158"/>
      <c r="BN90" s="163"/>
      <c r="BO90" s="158"/>
      <c r="BP90" s="158"/>
      <c r="BQ90" s="158"/>
      <c r="BR90" s="163"/>
      <c r="BS90" s="158"/>
      <c r="BT90" s="163"/>
      <c r="BU90" s="158"/>
      <c r="BV90" s="158"/>
      <c r="BW90" s="158"/>
      <c r="BX90" s="163"/>
      <c r="BY90" s="158"/>
      <c r="BZ90" s="163"/>
      <c r="CA90" s="158"/>
      <c r="CB90" s="158"/>
      <c r="CC90" s="158"/>
      <c r="CD90" s="163"/>
      <c r="CE90" s="158"/>
      <c r="CF90" s="163"/>
      <c r="CG90" s="158"/>
      <c r="CH90" s="158"/>
      <c r="CI90" s="158"/>
      <c r="CJ90" s="158"/>
    </row>
    <row r="91" spans="1:88" x14ac:dyDescent="0.5">
      <c r="A91" s="259">
        <v>20096675</v>
      </c>
      <c r="B91" s="104">
        <v>20090772</v>
      </c>
      <c r="C91" s="1243" t="s">
        <v>2484</v>
      </c>
      <c r="D91" s="1244" t="s">
        <v>2691</v>
      </c>
      <c r="E91" s="302">
        <v>44098</v>
      </c>
      <c r="F91" s="936" t="s">
        <v>3368</v>
      </c>
      <c r="G91" s="937" t="s">
        <v>2435</v>
      </c>
      <c r="H91" s="302">
        <v>44098</v>
      </c>
      <c r="I91" s="1124">
        <v>63225</v>
      </c>
      <c r="J91" s="960" t="s">
        <v>3423</v>
      </c>
      <c r="K91" s="965">
        <v>44099</v>
      </c>
      <c r="L91" s="104" t="s">
        <v>101</v>
      </c>
      <c r="M91" s="104" t="s">
        <v>4245</v>
      </c>
      <c r="N91" s="104" t="s">
        <v>1523</v>
      </c>
      <c r="O91" s="111">
        <v>22700</v>
      </c>
      <c r="P91" s="111">
        <f t="shared" si="150"/>
        <v>1589</v>
      </c>
      <c r="Q91" s="111">
        <f t="shared" si="151"/>
        <v>24289</v>
      </c>
      <c r="R91" s="311"/>
      <c r="S91" s="113"/>
      <c r="T91" s="114">
        <f t="shared" si="152"/>
        <v>22700</v>
      </c>
      <c r="U91" s="115"/>
      <c r="V91" s="1252">
        <f t="shared" si="153"/>
        <v>0</v>
      </c>
      <c r="W91" s="1245"/>
      <c r="X91" s="1246">
        <f t="shared" si="154"/>
        <v>22700</v>
      </c>
      <c r="Y91" s="1247">
        <f t="shared" si="155"/>
        <v>1.75</v>
      </c>
      <c r="Z91" s="1247"/>
      <c r="AA91" s="1265"/>
      <c r="AB91" s="1265">
        <f t="shared" si="156"/>
        <v>0</v>
      </c>
      <c r="AC91" s="119"/>
      <c r="AD91" s="1248">
        <f t="shared" si="157"/>
        <v>0</v>
      </c>
      <c r="AE91" s="229">
        <v>20090249</v>
      </c>
      <c r="AF91" s="1313"/>
      <c r="AG91" s="230">
        <v>6810</v>
      </c>
      <c r="AH91" s="233">
        <f t="shared" si="158"/>
        <v>476.7</v>
      </c>
      <c r="AI91" s="220">
        <f t="shared" si="159"/>
        <v>7286.7</v>
      </c>
      <c r="AJ91" s="221">
        <v>44095</v>
      </c>
      <c r="AK91" s="121" t="s">
        <v>3423</v>
      </c>
      <c r="AL91" s="121"/>
      <c r="AM91" s="121"/>
      <c r="AN91" s="222" t="s">
        <v>4316</v>
      </c>
      <c r="AO91" s="128">
        <v>1</v>
      </c>
      <c r="AP91" s="129" t="s">
        <v>784</v>
      </c>
      <c r="AQ91" s="130"/>
      <c r="AR91" s="130" t="s">
        <v>3423</v>
      </c>
      <c r="AS91" s="131">
        <v>1</v>
      </c>
      <c r="AT91" s="132" t="s">
        <v>634</v>
      </c>
      <c r="AU91" s="128"/>
      <c r="AV91" s="133"/>
      <c r="AW91" s="128"/>
      <c r="AX91" s="128"/>
      <c r="AY91" s="128"/>
      <c r="AZ91" s="133"/>
      <c r="BA91" s="128"/>
      <c r="BB91" s="133"/>
      <c r="BC91" s="128"/>
      <c r="BD91" s="128"/>
      <c r="BE91" s="128"/>
      <c r="BF91" s="133"/>
      <c r="BG91" s="128"/>
      <c r="BH91" s="133"/>
      <c r="BI91" s="128"/>
      <c r="BJ91" s="128"/>
      <c r="BK91" s="128"/>
      <c r="BL91" s="133"/>
      <c r="BM91" s="128"/>
      <c r="BN91" s="133"/>
      <c r="BO91" s="128"/>
      <c r="BP91" s="128"/>
      <c r="BQ91" s="128"/>
      <c r="BR91" s="133"/>
      <c r="BS91" s="128"/>
      <c r="BT91" s="133"/>
      <c r="BU91" s="128"/>
      <c r="BV91" s="128"/>
      <c r="BW91" s="128"/>
      <c r="BX91" s="133"/>
      <c r="BY91" s="128"/>
      <c r="BZ91" s="133"/>
      <c r="CA91" s="128"/>
      <c r="CB91" s="128"/>
      <c r="CC91" s="128"/>
      <c r="CD91" s="133"/>
      <c r="CE91" s="128"/>
      <c r="CF91" s="133"/>
      <c r="CG91" s="128"/>
      <c r="CH91" s="128"/>
      <c r="CI91" s="128"/>
      <c r="CJ91" s="128"/>
    </row>
    <row r="92" spans="1:88" x14ac:dyDescent="0.5">
      <c r="A92" s="268"/>
      <c r="B92" s="181"/>
      <c r="C92" s="1236"/>
      <c r="D92" s="1237"/>
      <c r="E92" s="749"/>
      <c r="F92" s="938"/>
      <c r="G92" s="939"/>
      <c r="H92" s="304"/>
      <c r="I92" s="1125"/>
      <c r="J92" s="961"/>
      <c r="K92" s="200"/>
      <c r="L92" s="181"/>
      <c r="M92" s="188"/>
      <c r="N92" s="181"/>
      <c r="O92" s="189"/>
      <c r="P92" s="189"/>
      <c r="Q92" s="189"/>
      <c r="R92" s="190"/>
      <c r="S92" s="215"/>
      <c r="T92" s="216"/>
      <c r="U92" s="217"/>
      <c r="V92" s="1253"/>
      <c r="W92" s="1238"/>
      <c r="X92" s="1239"/>
      <c r="Y92" s="1240"/>
      <c r="Z92" s="1240"/>
      <c r="AA92" s="1263"/>
      <c r="AB92" s="1263"/>
      <c r="AC92" s="197"/>
      <c r="AD92" s="1241"/>
      <c r="AE92" s="200">
        <v>20090250</v>
      </c>
      <c r="AF92" s="1242" t="s">
        <v>3423</v>
      </c>
      <c r="AG92" s="201">
        <v>15890</v>
      </c>
      <c r="AH92" s="253">
        <f t="shared" si="158"/>
        <v>1112.3</v>
      </c>
      <c r="AI92" s="156">
        <f t="shared" si="159"/>
        <v>17002.3</v>
      </c>
      <c r="AJ92" s="203">
        <v>44095</v>
      </c>
      <c r="AK92" s="199" t="s">
        <v>3423</v>
      </c>
      <c r="AL92" s="199"/>
      <c r="AM92" s="199"/>
      <c r="AN92" s="180" t="s">
        <v>4315</v>
      </c>
      <c r="AO92" s="204"/>
      <c r="AP92" s="205"/>
      <c r="AQ92" s="206"/>
      <c r="AR92" s="206"/>
      <c r="AS92" s="207"/>
      <c r="AT92" s="208"/>
      <c r="AU92" s="204"/>
      <c r="AV92" s="210"/>
      <c r="AW92" s="204"/>
      <c r="AX92" s="204"/>
      <c r="AY92" s="204"/>
      <c r="AZ92" s="210"/>
      <c r="BA92" s="204"/>
      <c r="BB92" s="210"/>
      <c r="BC92" s="204"/>
      <c r="BD92" s="204"/>
      <c r="BE92" s="204"/>
      <c r="BF92" s="210"/>
      <c r="BG92" s="204"/>
      <c r="BH92" s="210"/>
      <c r="BI92" s="204"/>
      <c r="BJ92" s="204"/>
      <c r="BK92" s="204"/>
      <c r="BL92" s="210"/>
      <c r="BM92" s="204"/>
      <c r="BN92" s="210"/>
      <c r="BO92" s="204"/>
      <c r="BP92" s="204"/>
      <c r="BQ92" s="204"/>
      <c r="BR92" s="210"/>
      <c r="BS92" s="204"/>
      <c r="BT92" s="210"/>
      <c r="BU92" s="204"/>
      <c r="BV92" s="204"/>
      <c r="BW92" s="204"/>
      <c r="BX92" s="210"/>
      <c r="BY92" s="204"/>
      <c r="BZ92" s="210"/>
      <c r="CA92" s="204"/>
      <c r="CB92" s="204"/>
      <c r="CC92" s="204"/>
      <c r="CD92" s="210"/>
      <c r="CE92" s="204"/>
      <c r="CF92" s="210"/>
      <c r="CG92" s="204"/>
      <c r="CH92" s="204"/>
      <c r="CI92" s="204"/>
      <c r="CJ92" s="204"/>
    </row>
    <row r="93" spans="1:88" x14ac:dyDescent="0.5">
      <c r="A93" s="21">
        <v>20096674</v>
      </c>
      <c r="B93" s="22">
        <v>20090769</v>
      </c>
      <c r="C93" s="1019" t="s">
        <v>2160</v>
      </c>
      <c r="D93" s="1020" t="s">
        <v>2691</v>
      </c>
      <c r="E93" s="884">
        <v>44099</v>
      </c>
      <c r="F93" s="932" t="s">
        <v>3368</v>
      </c>
      <c r="G93" s="933" t="s">
        <v>2411</v>
      </c>
      <c r="H93" s="884">
        <v>44098</v>
      </c>
      <c r="I93" s="1021">
        <v>63224</v>
      </c>
      <c r="J93" s="931" t="s">
        <v>3423</v>
      </c>
      <c r="K93" s="957">
        <v>44099</v>
      </c>
      <c r="L93" s="22" t="s">
        <v>20</v>
      </c>
      <c r="M93" s="28" t="s">
        <v>415</v>
      </c>
      <c r="N93" s="22" t="s">
        <v>51</v>
      </c>
      <c r="O93" s="29">
        <v>25860</v>
      </c>
      <c r="P93" s="29">
        <f t="shared" si="140"/>
        <v>1810.2</v>
      </c>
      <c r="Q93" s="29">
        <f t="shared" si="141"/>
        <v>27670.2</v>
      </c>
      <c r="R93" s="61"/>
      <c r="S93" s="96"/>
      <c r="T93" s="97"/>
      <c r="U93" s="98"/>
      <c r="V93" s="1225"/>
      <c r="W93" s="1225"/>
      <c r="X93" s="100"/>
      <c r="Y93" s="1225"/>
      <c r="Z93" s="1225"/>
      <c r="AA93" s="1225"/>
      <c r="AB93" s="1225"/>
      <c r="AC93" s="100"/>
      <c r="AD93" s="595"/>
      <c r="AE93" s="40">
        <v>20090256</v>
      </c>
      <c r="AF93" s="1186" t="s">
        <v>3423</v>
      </c>
      <c r="AG93" s="41">
        <v>25860</v>
      </c>
      <c r="AH93" s="63">
        <f t="shared" si="148"/>
        <v>1810.2</v>
      </c>
      <c r="AI93" s="52">
        <f t="shared" si="149"/>
        <v>27670.2</v>
      </c>
      <c r="AJ93" s="53">
        <v>44134</v>
      </c>
      <c r="AK93" s="39"/>
      <c r="AL93" s="39"/>
      <c r="AM93" s="39" t="s">
        <v>3423</v>
      </c>
      <c r="AN93" s="21" t="s">
        <v>4289</v>
      </c>
      <c r="AO93" s="1739">
        <v>1</v>
      </c>
      <c r="AP93" s="45" t="s">
        <v>4259</v>
      </c>
      <c r="AQ93" s="46"/>
      <c r="AR93" s="46" t="s">
        <v>3423</v>
      </c>
      <c r="AS93" s="47">
        <v>1</v>
      </c>
      <c r="AT93" s="48" t="s">
        <v>636</v>
      </c>
      <c r="AU93" s="1776"/>
      <c r="AV93" s="54"/>
      <c r="AW93" s="1776"/>
      <c r="AX93" s="1776"/>
      <c r="AY93" s="1776"/>
      <c r="AZ93" s="54"/>
      <c r="BA93" s="1776"/>
      <c r="BB93" s="54"/>
      <c r="BC93" s="1776"/>
      <c r="BD93" s="1776"/>
      <c r="BE93" s="1776"/>
      <c r="BF93" s="54"/>
      <c r="BG93" s="1776"/>
      <c r="BH93" s="54"/>
      <c r="BI93" s="1776"/>
      <c r="BJ93" s="1776"/>
      <c r="BK93" s="1776"/>
      <c r="BL93" s="54"/>
      <c r="BM93" s="1776"/>
      <c r="BN93" s="54"/>
      <c r="BO93" s="1776"/>
      <c r="BP93" s="1776"/>
      <c r="BQ93" s="1776"/>
      <c r="BR93" s="54"/>
      <c r="BS93" s="1776"/>
      <c r="BT93" s="54"/>
      <c r="BU93" s="1776"/>
      <c r="BV93" s="1776"/>
      <c r="BW93" s="1776"/>
      <c r="BX93" s="54"/>
      <c r="BY93" s="1776"/>
      <c r="BZ93" s="54"/>
      <c r="CA93" s="1776"/>
      <c r="CB93" s="1776"/>
      <c r="CC93" s="1776"/>
      <c r="CD93" s="54"/>
      <c r="CE93" s="1776"/>
      <c r="CF93" s="54"/>
      <c r="CG93" s="1776"/>
      <c r="CH93" s="1776"/>
      <c r="CI93" s="1776"/>
      <c r="CJ93" s="1776"/>
    </row>
    <row r="94" spans="1:88" s="95" customFormat="1" x14ac:dyDescent="0.5">
      <c r="A94" s="65">
        <v>20096673</v>
      </c>
      <c r="B94" s="66">
        <v>20090768</v>
      </c>
      <c r="C94" s="312"/>
      <c r="D94" s="313"/>
      <c r="E94" s="929"/>
      <c r="F94" s="314"/>
      <c r="G94" s="315"/>
      <c r="H94" s="316"/>
      <c r="I94" s="317"/>
      <c r="J94" s="835"/>
      <c r="K94" s="316"/>
      <c r="L94" s="66" t="s">
        <v>4246</v>
      </c>
      <c r="M94" s="72" t="s">
        <v>4247</v>
      </c>
      <c r="N94" s="66" t="s">
        <v>51</v>
      </c>
      <c r="O94" s="73">
        <v>40000</v>
      </c>
      <c r="P94" s="73">
        <f t="shared" si="140"/>
        <v>2800</v>
      </c>
      <c r="Q94" s="73">
        <f t="shared" si="141"/>
        <v>42800</v>
      </c>
      <c r="R94" s="318"/>
      <c r="S94" s="319"/>
      <c r="T94" s="320"/>
      <c r="U94" s="321"/>
      <c r="V94" s="1321"/>
      <c r="W94" s="1321"/>
      <c r="X94" s="323"/>
      <c r="Y94" s="1321"/>
      <c r="Z94" s="1321"/>
      <c r="AA94" s="1321"/>
      <c r="AB94" s="1321"/>
      <c r="AC94" s="323"/>
      <c r="AD94" s="1322"/>
      <c r="AE94" s="84"/>
      <c r="AF94" s="1323"/>
      <c r="AG94" s="85"/>
      <c r="AH94" s="590">
        <f t="shared" si="148"/>
        <v>0</v>
      </c>
      <c r="AI94" s="908">
        <f t="shared" si="149"/>
        <v>0</v>
      </c>
      <c r="AJ94" s="87"/>
      <c r="AK94" s="83"/>
      <c r="AL94" s="83"/>
      <c r="AM94" s="83"/>
      <c r="AN94" s="65"/>
      <c r="AO94" s="88">
        <v>1</v>
      </c>
      <c r="AP94" s="89" t="s">
        <v>4248</v>
      </c>
      <c r="AQ94" s="90"/>
      <c r="AR94" s="90"/>
      <c r="AS94" s="91">
        <v>2</v>
      </c>
      <c r="AT94" s="92" t="s">
        <v>628</v>
      </c>
      <c r="AU94" s="88"/>
      <c r="AV94" s="94"/>
      <c r="AW94" s="88"/>
      <c r="AX94" s="88"/>
      <c r="AY94" s="88"/>
      <c r="AZ94" s="94"/>
      <c r="BA94" s="88"/>
      <c r="BB94" s="94"/>
      <c r="BC94" s="88"/>
      <c r="BD94" s="88"/>
      <c r="BE94" s="88"/>
      <c r="BF94" s="94"/>
      <c r="BG94" s="88"/>
      <c r="BH94" s="94"/>
      <c r="BI94" s="88"/>
      <c r="BJ94" s="88"/>
      <c r="BK94" s="88"/>
      <c r="BL94" s="94"/>
      <c r="BM94" s="88"/>
      <c r="BN94" s="94"/>
      <c r="BO94" s="88"/>
      <c r="BP94" s="88"/>
      <c r="BQ94" s="88"/>
      <c r="BR94" s="94"/>
      <c r="BS94" s="88"/>
      <c r="BT94" s="94"/>
      <c r="BU94" s="88"/>
      <c r="BV94" s="88"/>
      <c r="BW94" s="88"/>
      <c r="BX94" s="94"/>
      <c r="BY94" s="88"/>
      <c r="BZ94" s="94"/>
      <c r="CA94" s="88"/>
      <c r="CB94" s="88"/>
      <c r="CC94" s="88"/>
      <c r="CD94" s="94"/>
      <c r="CE94" s="88"/>
      <c r="CF94" s="94"/>
      <c r="CG94" s="88"/>
      <c r="CH94" s="88"/>
      <c r="CI94" s="88"/>
      <c r="CJ94" s="88"/>
    </row>
    <row r="95" spans="1:88" x14ac:dyDescent="0.5">
      <c r="A95" s="21">
        <v>20096672</v>
      </c>
      <c r="B95" s="22">
        <v>20090767</v>
      </c>
      <c r="C95" s="55"/>
      <c r="D95" s="56"/>
      <c r="E95" s="910"/>
      <c r="F95" s="57"/>
      <c r="G95" s="58"/>
      <c r="H95" s="59"/>
      <c r="I95" s="60"/>
      <c r="J95" s="269"/>
      <c r="K95" s="59"/>
      <c r="L95" s="22" t="s">
        <v>2681</v>
      </c>
      <c r="M95" s="28" t="s">
        <v>4249</v>
      </c>
      <c r="N95" s="22" t="s">
        <v>51</v>
      </c>
      <c r="O95" s="29">
        <v>13000</v>
      </c>
      <c r="P95" s="29">
        <f t="shared" si="140"/>
        <v>910</v>
      </c>
      <c r="Q95" s="29">
        <f t="shared" si="141"/>
        <v>13910</v>
      </c>
      <c r="R95" s="61"/>
      <c r="S95" s="96"/>
      <c r="T95" s="97"/>
      <c r="U95" s="98"/>
      <c r="V95" s="1225"/>
      <c r="W95" s="1225"/>
      <c r="X95" s="100"/>
      <c r="Y95" s="1225"/>
      <c r="Z95" s="1225"/>
      <c r="AA95" s="1225"/>
      <c r="AB95" s="1225"/>
      <c r="AC95" s="100"/>
      <c r="AD95" s="595"/>
      <c r="AE95" s="40">
        <v>20090247</v>
      </c>
      <c r="AF95" s="1186" t="s">
        <v>3423</v>
      </c>
      <c r="AG95" s="41">
        <v>13000</v>
      </c>
      <c r="AH95" s="63">
        <f t="shared" si="148"/>
        <v>910</v>
      </c>
      <c r="AI95" s="52">
        <f t="shared" si="149"/>
        <v>13910</v>
      </c>
      <c r="AJ95" s="53">
        <v>44121</v>
      </c>
      <c r="AK95" s="39"/>
      <c r="AL95" s="39"/>
      <c r="AM95" s="39" t="s">
        <v>3423</v>
      </c>
      <c r="AN95" s="21"/>
      <c r="AO95" s="1739">
        <v>1</v>
      </c>
      <c r="AP95" s="45" t="s">
        <v>4250</v>
      </c>
      <c r="AQ95" s="46"/>
      <c r="AR95" s="46"/>
      <c r="AS95" s="47">
        <v>1</v>
      </c>
      <c r="AT95" s="48" t="s">
        <v>628</v>
      </c>
      <c r="AU95" s="1775"/>
      <c r="AV95" s="54"/>
      <c r="AW95" s="1775"/>
      <c r="AX95" s="1775"/>
      <c r="AY95" s="1775"/>
      <c r="AZ95" s="54"/>
      <c r="BA95" s="1775"/>
      <c r="BB95" s="54"/>
      <c r="BC95" s="1775"/>
      <c r="BD95" s="1775"/>
      <c r="BE95" s="1775"/>
      <c r="BF95" s="54"/>
      <c r="BG95" s="1775"/>
      <c r="BH95" s="54"/>
      <c r="BI95" s="1775"/>
      <c r="BJ95" s="1775"/>
      <c r="BK95" s="1775"/>
      <c r="BL95" s="54"/>
      <c r="BM95" s="1775"/>
      <c r="BN95" s="54"/>
      <c r="BO95" s="1775"/>
      <c r="BP95" s="1775"/>
      <c r="BQ95" s="1775"/>
      <c r="BR95" s="54"/>
      <c r="BS95" s="1775"/>
      <c r="BT95" s="54"/>
      <c r="BU95" s="1775"/>
      <c r="BV95" s="1775"/>
      <c r="BW95" s="1775"/>
      <c r="BX95" s="54"/>
      <c r="BY95" s="1775"/>
      <c r="BZ95" s="54"/>
      <c r="CA95" s="1775"/>
      <c r="CB95" s="1775"/>
      <c r="CC95" s="1775"/>
      <c r="CD95" s="54"/>
      <c r="CE95" s="1775"/>
      <c r="CF95" s="54"/>
      <c r="CG95" s="1775"/>
      <c r="CH95" s="1775"/>
      <c r="CI95" s="1775"/>
      <c r="CJ95" s="1775"/>
    </row>
    <row r="96" spans="1:88" x14ac:dyDescent="0.5">
      <c r="A96" s="103">
        <v>20096671</v>
      </c>
      <c r="B96" s="104">
        <v>20090766</v>
      </c>
      <c r="C96" s="1243" t="s">
        <v>2473</v>
      </c>
      <c r="D96" s="1244" t="s">
        <v>2691</v>
      </c>
      <c r="E96" s="302">
        <v>44119</v>
      </c>
      <c r="F96" s="936" t="s">
        <v>3368</v>
      </c>
      <c r="G96" s="937" t="s">
        <v>2507</v>
      </c>
      <c r="H96" s="302">
        <v>44133</v>
      </c>
      <c r="I96" s="1124">
        <v>63256</v>
      </c>
      <c r="J96" s="960" t="s">
        <v>3423</v>
      </c>
      <c r="K96" s="965">
        <v>44134</v>
      </c>
      <c r="L96" s="104" t="s">
        <v>2375</v>
      </c>
      <c r="M96" s="104" t="s">
        <v>4251</v>
      </c>
      <c r="N96" s="104" t="s">
        <v>52</v>
      </c>
      <c r="O96" s="111">
        <v>373831.78</v>
      </c>
      <c r="P96" s="111">
        <f t="shared" si="140"/>
        <v>26168.224600000001</v>
      </c>
      <c r="Q96" s="111">
        <f t="shared" si="141"/>
        <v>400000.00460000004</v>
      </c>
      <c r="R96" s="311">
        <v>28000</v>
      </c>
      <c r="S96" s="113" t="s">
        <v>4413</v>
      </c>
      <c r="T96" s="114">
        <f t="shared" si="142"/>
        <v>345831.78</v>
      </c>
      <c r="U96" s="115">
        <v>5</v>
      </c>
      <c r="V96" s="1252">
        <f t="shared" si="143"/>
        <v>17291.589</v>
      </c>
      <c r="W96" s="1245">
        <v>59.92</v>
      </c>
      <c r="X96" s="1246">
        <f t="shared" si="144"/>
        <v>328540.19100000005</v>
      </c>
      <c r="Y96" s="1247">
        <f t="shared" si="145"/>
        <v>0.252</v>
      </c>
      <c r="Z96" s="1247">
        <f>328540.19*0.25/100</f>
        <v>821.35047499999996</v>
      </c>
      <c r="AA96" s="1265">
        <v>0.5</v>
      </c>
      <c r="AB96" s="1265">
        <f t="shared" si="146"/>
        <v>1642.7009550000002</v>
      </c>
      <c r="AC96" s="119">
        <v>0.2</v>
      </c>
      <c r="AD96" s="1248">
        <f t="shared" si="147"/>
        <v>657.0803820000001</v>
      </c>
      <c r="AE96" s="123">
        <v>20100289</v>
      </c>
      <c r="AF96" s="1249" t="s">
        <v>3423</v>
      </c>
      <c r="AG96" s="124">
        <v>373831.78</v>
      </c>
      <c r="AH96" s="260">
        <f t="shared" si="148"/>
        <v>26168.224600000001</v>
      </c>
      <c r="AI96" s="125">
        <f t="shared" si="149"/>
        <v>400000.00460000004</v>
      </c>
      <c r="AJ96" s="126">
        <v>44176</v>
      </c>
      <c r="AK96" s="127"/>
      <c r="AL96" s="127"/>
      <c r="AM96" s="127" t="s">
        <v>3423</v>
      </c>
      <c r="AN96" s="103" t="s">
        <v>4422</v>
      </c>
      <c r="AO96" s="128">
        <v>1</v>
      </c>
      <c r="AP96" s="129" t="s">
        <v>815</v>
      </c>
      <c r="AQ96" s="130"/>
      <c r="AR96" s="130" t="s">
        <v>3423</v>
      </c>
      <c r="AS96" s="131">
        <v>2</v>
      </c>
      <c r="AT96" s="132" t="s">
        <v>636</v>
      </c>
      <c r="AU96" s="128"/>
      <c r="AV96" s="133"/>
      <c r="AW96" s="128"/>
      <c r="AX96" s="128"/>
      <c r="AY96" s="128"/>
      <c r="AZ96" s="133"/>
      <c r="BA96" s="128"/>
      <c r="BB96" s="133"/>
      <c r="BC96" s="128"/>
      <c r="BD96" s="128"/>
      <c r="BE96" s="128"/>
      <c r="BF96" s="133"/>
      <c r="BG96" s="128"/>
      <c r="BH96" s="133"/>
      <c r="BI96" s="128"/>
      <c r="BJ96" s="128"/>
      <c r="BK96" s="128"/>
      <c r="BL96" s="133"/>
      <c r="BM96" s="128"/>
      <c r="BN96" s="133"/>
      <c r="BO96" s="128"/>
      <c r="BP96" s="128"/>
      <c r="BQ96" s="128"/>
      <c r="BR96" s="133"/>
      <c r="BS96" s="128"/>
      <c r="BT96" s="133"/>
      <c r="BU96" s="128"/>
      <c r="BV96" s="128"/>
      <c r="BW96" s="128"/>
      <c r="BX96" s="133"/>
      <c r="BY96" s="128"/>
      <c r="BZ96" s="133"/>
      <c r="CA96" s="128"/>
      <c r="CB96" s="128"/>
      <c r="CC96" s="128"/>
      <c r="CD96" s="133"/>
      <c r="CE96" s="128"/>
      <c r="CF96" s="133"/>
      <c r="CG96" s="128"/>
      <c r="CH96" s="128"/>
      <c r="CI96" s="128"/>
      <c r="CJ96" s="128"/>
    </row>
    <row r="97" spans="1:88" x14ac:dyDescent="0.5">
      <c r="A97" s="134"/>
      <c r="B97" s="135"/>
      <c r="C97" s="1290"/>
      <c r="D97" s="1291"/>
      <c r="E97" s="906"/>
      <c r="F97" s="940"/>
      <c r="G97" s="941"/>
      <c r="H97" s="906">
        <v>44133</v>
      </c>
      <c r="I97" s="1138">
        <v>63257</v>
      </c>
      <c r="J97" s="963"/>
      <c r="K97" s="964"/>
      <c r="L97" s="135"/>
      <c r="M97" s="141"/>
      <c r="N97" s="135"/>
      <c r="O97" s="142"/>
      <c r="P97" s="142"/>
      <c r="Q97" s="142"/>
      <c r="R97" s="143"/>
      <c r="S97" s="144"/>
      <c r="T97" s="145"/>
      <c r="U97" s="146"/>
      <c r="V97" s="1292"/>
      <c r="W97" s="1293"/>
      <c r="X97" s="1294"/>
      <c r="Y97" s="1295"/>
      <c r="Z97" s="1295"/>
      <c r="AA97" s="1308"/>
      <c r="AB97" s="1308"/>
      <c r="AC97" s="150"/>
      <c r="AD97" s="1297"/>
      <c r="AE97" s="154"/>
      <c r="AF97" s="1298"/>
      <c r="AG97" s="155"/>
      <c r="AH97" s="253"/>
      <c r="AI97" s="156"/>
      <c r="AJ97" s="157"/>
      <c r="AK97" s="152"/>
      <c r="AL97" s="152"/>
      <c r="AM97" s="152"/>
      <c r="AN97" s="134"/>
      <c r="AO97" s="158"/>
      <c r="AP97" s="159"/>
      <c r="AQ97" s="160"/>
      <c r="AR97" s="160"/>
      <c r="AS97" s="161"/>
      <c r="AT97" s="162"/>
      <c r="AU97" s="158"/>
      <c r="AV97" s="163"/>
      <c r="AW97" s="158"/>
      <c r="AX97" s="158"/>
      <c r="AY97" s="158"/>
      <c r="AZ97" s="163"/>
      <c r="BA97" s="158"/>
      <c r="BB97" s="163"/>
      <c r="BC97" s="158"/>
      <c r="BD97" s="158"/>
      <c r="BE97" s="158"/>
      <c r="BF97" s="163"/>
      <c r="BG97" s="158"/>
      <c r="BH97" s="163"/>
      <c r="BI97" s="158"/>
      <c r="BJ97" s="158"/>
      <c r="BK97" s="158"/>
      <c r="BL97" s="163"/>
      <c r="BM97" s="158"/>
      <c r="BN97" s="163"/>
      <c r="BO97" s="158"/>
      <c r="BP97" s="158"/>
      <c r="BQ97" s="158"/>
      <c r="BR97" s="163"/>
      <c r="BS97" s="158"/>
      <c r="BT97" s="163"/>
      <c r="BU97" s="158"/>
      <c r="BV97" s="158"/>
      <c r="BW97" s="158"/>
      <c r="BX97" s="163"/>
      <c r="BY97" s="158"/>
      <c r="BZ97" s="163"/>
      <c r="CA97" s="158"/>
      <c r="CB97" s="158"/>
      <c r="CC97" s="158"/>
      <c r="CD97" s="163"/>
      <c r="CE97" s="158"/>
      <c r="CF97" s="163"/>
      <c r="CG97" s="158"/>
      <c r="CH97" s="158"/>
      <c r="CI97" s="158"/>
      <c r="CJ97" s="158"/>
    </row>
    <row r="98" spans="1:88" x14ac:dyDescent="0.5">
      <c r="A98" s="259">
        <v>20096670</v>
      </c>
      <c r="B98" s="104">
        <v>20090764</v>
      </c>
      <c r="C98" s="1243" t="s">
        <v>2476</v>
      </c>
      <c r="D98" s="1244" t="s">
        <v>2691</v>
      </c>
      <c r="E98" s="302">
        <v>44102</v>
      </c>
      <c r="F98" s="936" t="s">
        <v>3368</v>
      </c>
      <c r="G98" s="937" t="s">
        <v>2476</v>
      </c>
      <c r="H98" s="302">
        <v>44103</v>
      </c>
      <c r="I98" s="1124">
        <v>63228</v>
      </c>
      <c r="J98" s="960" t="s">
        <v>3423</v>
      </c>
      <c r="K98" s="965">
        <v>44104</v>
      </c>
      <c r="L98" s="104" t="s">
        <v>4256</v>
      </c>
      <c r="M98" s="110" t="s">
        <v>4257</v>
      </c>
      <c r="N98" s="104" t="s">
        <v>50</v>
      </c>
      <c r="O98" s="111">
        <v>196261.68</v>
      </c>
      <c r="P98" s="111">
        <f t="shared" si="140"/>
        <v>13738.3176</v>
      </c>
      <c r="Q98" s="111">
        <f t="shared" si="141"/>
        <v>209999.9976</v>
      </c>
      <c r="R98" s="311">
        <v>17500</v>
      </c>
      <c r="S98" s="113"/>
      <c r="T98" s="114">
        <f t="shared" si="142"/>
        <v>178761.68</v>
      </c>
      <c r="U98" s="115"/>
      <c r="V98" s="1252">
        <f t="shared" si="143"/>
        <v>0</v>
      </c>
      <c r="W98" s="1245"/>
      <c r="X98" s="1246">
        <f t="shared" si="144"/>
        <v>178761.68</v>
      </c>
      <c r="Y98" s="1247">
        <f t="shared" si="145"/>
        <v>1.75</v>
      </c>
      <c r="Z98" s="1247"/>
      <c r="AA98" s="1265"/>
      <c r="AB98" s="1265">
        <f t="shared" si="146"/>
        <v>0</v>
      </c>
      <c r="AC98" s="119"/>
      <c r="AD98" s="1248">
        <f t="shared" si="147"/>
        <v>0</v>
      </c>
      <c r="AE98" s="229">
        <v>20090246</v>
      </c>
      <c r="AF98" s="1313"/>
      <c r="AG98" s="230">
        <v>98130.84</v>
      </c>
      <c r="AH98" s="233">
        <f t="shared" si="148"/>
        <v>6869.1588000000002</v>
      </c>
      <c r="AI98" s="220">
        <f t="shared" si="149"/>
        <v>104999.9988</v>
      </c>
      <c r="AJ98" s="221">
        <v>44091</v>
      </c>
      <c r="AK98" s="121" t="s">
        <v>3423</v>
      </c>
      <c r="AL98" s="121"/>
      <c r="AM98" s="121"/>
      <c r="AN98" s="222" t="s">
        <v>4322</v>
      </c>
      <c r="AO98" s="128">
        <v>1</v>
      </c>
      <c r="AP98" s="129" t="s">
        <v>4258</v>
      </c>
      <c r="AQ98" s="130"/>
      <c r="AR98" s="130" t="s">
        <v>3423</v>
      </c>
      <c r="AS98" s="131">
        <v>1</v>
      </c>
      <c r="AT98" s="132" t="s">
        <v>634</v>
      </c>
      <c r="AU98" s="128">
        <v>2</v>
      </c>
      <c r="AV98" s="123" t="s">
        <v>3164</v>
      </c>
      <c r="AW98" s="131"/>
      <c r="AX98" s="131" t="s">
        <v>3423</v>
      </c>
      <c r="AY98" s="131">
        <v>1</v>
      </c>
      <c r="AZ98" s="169" t="s">
        <v>636</v>
      </c>
      <c r="BA98" s="128"/>
      <c r="BB98" s="133"/>
      <c r="BC98" s="128"/>
      <c r="BD98" s="128"/>
      <c r="BE98" s="128"/>
      <c r="BF98" s="133"/>
      <c r="BG98" s="128"/>
      <c r="BH98" s="133"/>
      <c r="BI98" s="128"/>
      <c r="BJ98" s="128"/>
      <c r="BK98" s="128"/>
      <c r="BL98" s="133"/>
      <c r="BM98" s="128"/>
      <c r="BN98" s="133"/>
      <c r="BO98" s="128"/>
      <c r="BP98" s="128"/>
      <c r="BQ98" s="128"/>
      <c r="BR98" s="133"/>
      <c r="BS98" s="128"/>
      <c r="BT98" s="133"/>
      <c r="BU98" s="128"/>
      <c r="BV98" s="128"/>
      <c r="BW98" s="128"/>
      <c r="BX98" s="133"/>
      <c r="BY98" s="128"/>
      <c r="BZ98" s="133"/>
      <c r="CA98" s="128"/>
      <c r="CB98" s="128"/>
      <c r="CC98" s="128"/>
      <c r="CD98" s="133"/>
      <c r="CE98" s="128"/>
      <c r="CF98" s="133"/>
      <c r="CG98" s="128"/>
      <c r="CH98" s="128"/>
      <c r="CI98" s="128"/>
      <c r="CJ98" s="128"/>
    </row>
    <row r="99" spans="1:88" x14ac:dyDescent="0.5">
      <c r="A99" s="262"/>
      <c r="B99" s="135"/>
      <c r="C99" s="1290"/>
      <c r="D99" s="1291"/>
      <c r="E99" s="906"/>
      <c r="F99" s="940"/>
      <c r="G99" s="941"/>
      <c r="H99" s="1307"/>
      <c r="I99" s="1138"/>
      <c r="J99" s="963"/>
      <c r="K99" s="154"/>
      <c r="L99" s="135"/>
      <c r="M99" s="141"/>
      <c r="N99" s="135"/>
      <c r="O99" s="142"/>
      <c r="P99" s="142"/>
      <c r="Q99" s="142"/>
      <c r="R99" s="143"/>
      <c r="S99" s="144"/>
      <c r="T99" s="145"/>
      <c r="U99" s="146"/>
      <c r="V99" s="1292"/>
      <c r="W99" s="1293"/>
      <c r="X99" s="1294"/>
      <c r="Y99" s="1295"/>
      <c r="Z99" s="1295"/>
      <c r="AA99" s="1308"/>
      <c r="AB99" s="1308"/>
      <c r="AC99" s="150"/>
      <c r="AD99" s="1297"/>
      <c r="AE99" s="292">
        <v>20090254</v>
      </c>
      <c r="AF99" s="1413"/>
      <c r="AG99" s="293">
        <v>78504.67</v>
      </c>
      <c r="AH99" s="294">
        <f t="shared" si="148"/>
        <v>5495.3268999999991</v>
      </c>
      <c r="AI99" s="307">
        <f t="shared" si="149"/>
        <v>83999.996899999998</v>
      </c>
      <c r="AJ99" s="295">
        <v>44102</v>
      </c>
      <c r="AK99" s="296" t="s">
        <v>3423</v>
      </c>
      <c r="AL99" s="296"/>
      <c r="AM99" s="296"/>
      <c r="AN99" s="308" t="s">
        <v>4312</v>
      </c>
      <c r="AO99" s="158"/>
      <c r="AP99" s="159"/>
      <c r="AQ99" s="160"/>
      <c r="AR99" s="160"/>
      <c r="AS99" s="161"/>
      <c r="AT99" s="162"/>
      <c r="AU99" s="158"/>
      <c r="AV99" s="154"/>
      <c r="AW99" s="161"/>
      <c r="AX99" s="161"/>
      <c r="AY99" s="161"/>
      <c r="AZ99" s="177"/>
      <c r="BA99" s="158"/>
      <c r="BB99" s="163"/>
      <c r="BC99" s="158"/>
      <c r="BD99" s="158"/>
      <c r="BE99" s="158"/>
      <c r="BF99" s="163"/>
      <c r="BG99" s="158"/>
      <c r="BH99" s="163"/>
      <c r="BI99" s="158"/>
      <c r="BJ99" s="158"/>
      <c r="BK99" s="158"/>
      <c r="BL99" s="163"/>
      <c r="BM99" s="158"/>
      <c r="BN99" s="163"/>
      <c r="BO99" s="158"/>
      <c r="BP99" s="158"/>
      <c r="BQ99" s="158"/>
      <c r="BR99" s="163"/>
      <c r="BS99" s="158"/>
      <c r="BT99" s="163"/>
      <c r="BU99" s="158"/>
      <c r="BV99" s="158"/>
      <c r="BW99" s="158"/>
      <c r="BX99" s="163"/>
      <c r="BY99" s="158"/>
      <c r="BZ99" s="163"/>
      <c r="CA99" s="158"/>
      <c r="CB99" s="158"/>
      <c r="CC99" s="158"/>
      <c r="CD99" s="163"/>
      <c r="CE99" s="158"/>
      <c r="CF99" s="163"/>
      <c r="CG99" s="158"/>
      <c r="CH99" s="158"/>
      <c r="CI99" s="158"/>
      <c r="CJ99" s="158"/>
    </row>
    <row r="100" spans="1:88" x14ac:dyDescent="0.5">
      <c r="A100" s="268"/>
      <c r="B100" s="181"/>
      <c r="C100" s="1236"/>
      <c r="D100" s="1237"/>
      <c r="E100" s="749"/>
      <c r="F100" s="938"/>
      <c r="G100" s="939"/>
      <c r="H100" s="304"/>
      <c r="I100" s="1125"/>
      <c r="J100" s="961"/>
      <c r="K100" s="200"/>
      <c r="L100" s="181"/>
      <c r="M100" s="188"/>
      <c r="N100" s="181"/>
      <c r="O100" s="189"/>
      <c r="P100" s="189"/>
      <c r="Q100" s="189"/>
      <c r="R100" s="190"/>
      <c r="S100" s="215"/>
      <c r="T100" s="216"/>
      <c r="U100" s="217"/>
      <c r="V100" s="1253"/>
      <c r="W100" s="1238"/>
      <c r="X100" s="1239"/>
      <c r="Y100" s="1240"/>
      <c r="Z100" s="1240"/>
      <c r="AA100" s="1263"/>
      <c r="AB100" s="1263"/>
      <c r="AC100" s="197"/>
      <c r="AD100" s="1241"/>
      <c r="AE100" s="200">
        <v>20090255</v>
      </c>
      <c r="AF100" s="1242" t="s">
        <v>3423</v>
      </c>
      <c r="AG100" s="201">
        <v>19626.169999999998</v>
      </c>
      <c r="AH100" s="638">
        <f t="shared" si="148"/>
        <v>1373.8319000000001</v>
      </c>
      <c r="AI100" s="827">
        <f t="shared" si="149"/>
        <v>21000.001899999999</v>
      </c>
      <c r="AJ100" s="203">
        <v>44102</v>
      </c>
      <c r="AK100" s="199" t="s">
        <v>3423</v>
      </c>
      <c r="AL100" s="199"/>
      <c r="AM100" s="199"/>
      <c r="AN100" s="180" t="s">
        <v>4313</v>
      </c>
      <c r="AO100" s="204"/>
      <c r="AP100" s="205"/>
      <c r="AQ100" s="206"/>
      <c r="AR100" s="206"/>
      <c r="AS100" s="207"/>
      <c r="AT100" s="208"/>
      <c r="AU100" s="204"/>
      <c r="AV100" s="200"/>
      <c r="AW100" s="207"/>
      <c r="AX100" s="207"/>
      <c r="AY100" s="207"/>
      <c r="AZ100" s="209"/>
      <c r="BA100" s="204"/>
      <c r="BB100" s="210"/>
      <c r="BC100" s="204"/>
      <c r="BD100" s="204"/>
      <c r="BE100" s="204"/>
      <c r="BF100" s="210"/>
      <c r="BG100" s="204"/>
      <c r="BH100" s="210"/>
      <c r="BI100" s="204"/>
      <c r="BJ100" s="204"/>
      <c r="BK100" s="204"/>
      <c r="BL100" s="210"/>
      <c r="BM100" s="204"/>
      <c r="BN100" s="210"/>
      <c r="BO100" s="204"/>
      <c r="BP100" s="204"/>
      <c r="BQ100" s="204"/>
      <c r="BR100" s="210"/>
      <c r="BS100" s="204"/>
      <c r="BT100" s="210"/>
      <c r="BU100" s="204"/>
      <c r="BV100" s="204"/>
      <c r="BW100" s="204"/>
      <c r="BX100" s="210"/>
      <c r="BY100" s="204"/>
      <c r="BZ100" s="210"/>
      <c r="CA100" s="204"/>
      <c r="CB100" s="204"/>
      <c r="CC100" s="204"/>
      <c r="CD100" s="210"/>
      <c r="CE100" s="204"/>
      <c r="CF100" s="210"/>
      <c r="CG100" s="204"/>
      <c r="CH100" s="204"/>
      <c r="CI100" s="204"/>
      <c r="CJ100" s="204"/>
    </row>
    <row r="101" spans="1:88" x14ac:dyDescent="0.5">
      <c r="A101" s="21">
        <v>20096669</v>
      </c>
      <c r="B101" s="22">
        <v>20090762</v>
      </c>
      <c r="C101" s="55"/>
      <c r="D101" s="56"/>
      <c r="E101" s="910"/>
      <c r="F101" s="57"/>
      <c r="G101" s="58"/>
      <c r="H101" s="59"/>
      <c r="I101" s="60"/>
      <c r="J101" s="269"/>
      <c r="K101" s="59"/>
      <c r="L101" s="22" t="s">
        <v>3958</v>
      </c>
      <c r="M101" s="28" t="s">
        <v>4158</v>
      </c>
      <c r="N101" s="22" t="s">
        <v>1523</v>
      </c>
      <c r="O101" s="29">
        <v>16000</v>
      </c>
      <c r="P101" s="29">
        <f t="shared" si="121"/>
        <v>1120</v>
      </c>
      <c r="Q101" s="29">
        <f t="shared" si="122"/>
        <v>17120</v>
      </c>
      <c r="R101" s="61"/>
      <c r="S101" s="96"/>
      <c r="T101" s="97"/>
      <c r="U101" s="98"/>
      <c r="V101" s="1225"/>
      <c r="W101" s="1225"/>
      <c r="X101" s="100"/>
      <c r="Y101" s="1225"/>
      <c r="Z101" s="1225"/>
      <c r="AA101" s="1225"/>
      <c r="AB101" s="1225"/>
      <c r="AC101" s="100"/>
      <c r="AD101" s="595"/>
      <c r="AE101" s="40">
        <v>20090245</v>
      </c>
      <c r="AF101" s="1186" t="s">
        <v>3423</v>
      </c>
      <c r="AG101" s="41">
        <v>16000</v>
      </c>
      <c r="AH101" s="63">
        <f t="shared" si="125"/>
        <v>1120</v>
      </c>
      <c r="AI101" s="52">
        <f t="shared" si="126"/>
        <v>17120</v>
      </c>
      <c r="AJ101" s="53">
        <v>44089</v>
      </c>
      <c r="AK101" s="39"/>
      <c r="AL101" s="39"/>
      <c r="AM101" s="39" t="s">
        <v>3423</v>
      </c>
      <c r="AN101" s="21" t="s">
        <v>4305</v>
      </c>
      <c r="AO101" s="1739">
        <v>1</v>
      </c>
      <c r="AP101" s="45" t="s">
        <v>404</v>
      </c>
      <c r="AQ101" s="46"/>
      <c r="AR101" s="46"/>
      <c r="AS101" s="47">
        <v>1</v>
      </c>
      <c r="AT101" s="102"/>
      <c r="AU101" s="1776"/>
      <c r="AV101" s="54"/>
      <c r="AW101" s="1776"/>
      <c r="AX101" s="1776"/>
      <c r="AY101" s="1776"/>
      <c r="AZ101" s="54"/>
      <c r="BA101" s="1776"/>
      <c r="BB101" s="54"/>
      <c r="BC101" s="1776"/>
      <c r="BD101" s="1776"/>
      <c r="BE101" s="1776"/>
      <c r="BF101" s="54"/>
      <c r="BG101" s="1776"/>
      <c r="BH101" s="54"/>
      <c r="BI101" s="1776"/>
      <c r="BJ101" s="1776"/>
      <c r="BK101" s="1776"/>
      <c r="BL101" s="54"/>
      <c r="BM101" s="1776"/>
      <c r="BN101" s="54"/>
      <c r="BO101" s="1776"/>
      <c r="BP101" s="1776"/>
      <c r="BQ101" s="1776"/>
      <c r="BR101" s="54"/>
      <c r="BS101" s="1776"/>
      <c r="BT101" s="54"/>
      <c r="BU101" s="1776"/>
      <c r="BV101" s="1776"/>
      <c r="BW101" s="1776"/>
      <c r="BX101" s="54"/>
      <c r="BY101" s="1776"/>
      <c r="BZ101" s="54"/>
      <c r="CA101" s="1776"/>
      <c r="CB101" s="1776"/>
      <c r="CC101" s="1776"/>
      <c r="CD101" s="54"/>
      <c r="CE101" s="1776"/>
      <c r="CF101" s="54"/>
      <c r="CG101" s="1776"/>
      <c r="CH101" s="1776"/>
      <c r="CI101" s="1776"/>
      <c r="CJ101" s="1776"/>
    </row>
    <row r="102" spans="1:88" x14ac:dyDescent="0.5">
      <c r="A102" s="227">
        <v>20096668</v>
      </c>
      <c r="B102" s="22">
        <v>20090758</v>
      </c>
      <c r="C102" s="55"/>
      <c r="D102" s="56"/>
      <c r="E102" s="910"/>
      <c r="F102" s="57"/>
      <c r="G102" s="58"/>
      <c r="H102" s="59"/>
      <c r="I102" s="60"/>
      <c r="J102" s="269"/>
      <c r="K102" s="59"/>
      <c r="L102" s="22" t="s">
        <v>3855</v>
      </c>
      <c r="M102" s="28" t="s">
        <v>4233</v>
      </c>
      <c r="N102" s="22" t="s">
        <v>51</v>
      </c>
      <c r="O102" s="29">
        <v>7000</v>
      </c>
      <c r="P102" s="29">
        <f t="shared" si="121"/>
        <v>490</v>
      </c>
      <c r="Q102" s="29">
        <f t="shared" si="122"/>
        <v>7490</v>
      </c>
      <c r="R102" s="61"/>
      <c r="S102" s="96"/>
      <c r="T102" s="97"/>
      <c r="U102" s="98"/>
      <c r="V102" s="1225"/>
      <c r="W102" s="1225"/>
      <c r="X102" s="100"/>
      <c r="Y102" s="1225"/>
      <c r="Z102" s="1225"/>
      <c r="AA102" s="1225"/>
      <c r="AB102" s="1225"/>
      <c r="AC102" s="100"/>
      <c r="AD102" s="595"/>
      <c r="AE102" s="40">
        <v>20090242</v>
      </c>
      <c r="AF102" s="1186" t="s">
        <v>3423</v>
      </c>
      <c r="AG102" s="41">
        <v>7000</v>
      </c>
      <c r="AH102" s="63">
        <f t="shared" si="125"/>
        <v>490</v>
      </c>
      <c r="AI102" s="52">
        <f t="shared" si="126"/>
        <v>7490</v>
      </c>
      <c r="AJ102" s="53">
        <v>44088</v>
      </c>
      <c r="AK102" s="39" t="s">
        <v>3423</v>
      </c>
      <c r="AL102" s="39"/>
      <c r="AM102" s="39"/>
      <c r="AN102" s="21" t="s">
        <v>4318</v>
      </c>
      <c r="AO102" s="1739">
        <v>1</v>
      </c>
      <c r="AP102" s="45" t="s">
        <v>404</v>
      </c>
      <c r="AQ102" s="46"/>
      <c r="AR102" s="46"/>
      <c r="AS102" s="47">
        <v>1</v>
      </c>
      <c r="AT102" s="102"/>
      <c r="AU102" s="1776"/>
      <c r="AV102" s="54"/>
      <c r="AW102" s="1776"/>
      <c r="AX102" s="1776"/>
      <c r="AY102" s="1776"/>
      <c r="AZ102" s="54"/>
      <c r="BA102" s="1776"/>
      <c r="BB102" s="54"/>
      <c r="BC102" s="1776"/>
      <c r="BD102" s="1776"/>
      <c r="BE102" s="1776"/>
      <c r="BF102" s="54"/>
      <c r="BG102" s="1776"/>
      <c r="BH102" s="54"/>
      <c r="BI102" s="1776"/>
      <c r="BJ102" s="1776"/>
      <c r="BK102" s="1776"/>
      <c r="BL102" s="54"/>
      <c r="BM102" s="1776"/>
      <c r="BN102" s="54"/>
      <c r="BO102" s="1776"/>
      <c r="BP102" s="1776"/>
      <c r="BQ102" s="1776"/>
      <c r="BR102" s="54"/>
      <c r="BS102" s="1776"/>
      <c r="BT102" s="54"/>
      <c r="BU102" s="1776"/>
      <c r="BV102" s="1776"/>
      <c r="BW102" s="1776"/>
      <c r="BX102" s="54"/>
      <c r="BY102" s="1776"/>
      <c r="BZ102" s="54"/>
      <c r="CA102" s="1776"/>
      <c r="CB102" s="1776"/>
      <c r="CC102" s="1776"/>
      <c r="CD102" s="54"/>
      <c r="CE102" s="1776"/>
      <c r="CF102" s="54"/>
      <c r="CG102" s="1776"/>
      <c r="CH102" s="1776"/>
      <c r="CI102" s="1776"/>
      <c r="CJ102" s="1776"/>
    </row>
    <row r="103" spans="1:88" x14ac:dyDescent="0.5">
      <c r="A103" s="21">
        <v>20096667</v>
      </c>
      <c r="B103" s="22">
        <v>20090745</v>
      </c>
      <c r="C103" s="1019" t="s">
        <v>2491</v>
      </c>
      <c r="D103" s="1020" t="s">
        <v>2691</v>
      </c>
      <c r="E103" s="884">
        <v>44134</v>
      </c>
      <c r="F103" s="932"/>
      <c r="G103" s="933"/>
      <c r="H103" s="831"/>
      <c r="I103" s="1021"/>
      <c r="J103" s="931"/>
      <c r="K103" s="40"/>
      <c r="L103" s="22" t="s">
        <v>451</v>
      </c>
      <c r="M103" s="28" t="s">
        <v>4218</v>
      </c>
      <c r="N103" s="22" t="s">
        <v>52</v>
      </c>
      <c r="O103" s="29">
        <v>170000</v>
      </c>
      <c r="P103" s="29">
        <f t="shared" si="121"/>
        <v>11900</v>
      </c>
      <c r="Q103" s="29">
        <f t="shared" si="122"/>
        <v>181900</v>
      </c>
      <c r="R103" s="30">
        <v>21000</v>
      </c>
      <c r="S103" s="31" t="s">
        <v>568</v>
      </c>
      <c r="T103" s="32">
        <f t="shared" si="127"/>
        <v>149000</v>
      </c>
      <c r="U103" s="33">
        <v>5</v>
      </c>
      <c r="V103" s="1251">
        <f t="shared" si="128"/>
        <v>7450</v>
      </c>
      <c r="W103" s="1231">
        <v>61.74</v>
      </c>
      <c r="X103" s="1184">
        <f t="shared" si="129"/>
        <v>141550</v>
      </c>
      <c r="Y103" s="1223">
        <f t="shared" si="123"/>
        <v>0.20649999999999996</v>
      </c>
      <c r="Z103" s="1223">
        <f>141550*0.2/100</f>
        <v>283.10000000000002</v>
      </c>
      <c r="AA103" s="1228">
        <v>0.5</v>
      </c>
      <c r="AB103" s="1228">
        <f t="shared" ref="AB103" si="167">X103*AA103/100</f>
        <v>707.75</v>
      </c>
      <c r="AC103" s="37">
        <v>0.2</v>
      </c>
      <c r="AD103" s="1234">
        <f t="shared" si="124"/>
        <v>283.10000000000002</v>
      </c>
      <c r="AE103" s="40"/>
      <c r="AF103" s="1186"/>
      <c r="AG103" s="41"/>
      <c r="AH103" s="63">
        <f t="shared" si="125"/>
        <v>0</v>
      </c>
      <c r="AI103" s="52">
        <f t="shared" si="126"/>
        <v>0</v>
      </c>
      <c r="AJ103" s="43"/>
      <c r="AK103" s="39"/>
      <c r="AL103" s="39"/>
      <c r="AM103" s="39"/>
      <c r="AN103" s="21"/>
      <c r="AO103" s="1739">
        <v>1</v>
      </c>
      <c r="AP103" s="45" t="s">
        <v>720</v>
      </c>
      <c r="AQ103" s="46"/>
      <c r="AR103" s="46" t="s">
        <v>3423</v>
      </c>
      <c r="AS103" s="47">
        <v>1</v>
      </c>
      <c r="AT103" s="48" t="s">
        <v>636</v>
      </c>
      <c r="AU103" s="1739">
        <v>2</v>
      </c>
      <c r="AV103" s="40" t="s">
        <v>4219</v>
      </c>
      <c r="AW103" s="47"/>
      <c r="AX103" s="47" t="s">
        <v>3423</v>
      </c>
      <c r="AY103" s="47">
        <v>3</v>
      </c>
      <c r="AZ103" s="49" t="s">
        <v>634</v>
      </c>
      <c r="BA103" s="1739"/>
      <c r="BB103" s="54"/>
      <c r="BC103" s="1739"/>
      <c r="BD103" s="1739"/>
      <c r="BE103" s="1739"/>
      <c r="BF103" s="54"/>
      <c r="BG103" s="1739"/>
      <c r="BH103" s="54"/>
      <c r="BI103" s="1739"/>
      <c r="BJ103" s="1739"/>
      <c r="BK103" s="1739"/>
      <c r="BL103" s="54"/>
      <c r="BM103" s="1739"/>
      <c r="BN103" s="54"/>
      <c r="BO103" s="1739"/>
      <c r="BP103" s="1739"/>
      <c r="BQ103" s="1739"/>
      <c r="BR103" s="54"/>
      <c r="BS103" s="1739"/>
      <c r="BT103" s="54"/>
      <c r="BU103" s="1739"/>
      <c r="BV103" s="1739"/>
      <c r="BW103" s="1739"/>
      <c r="BX103" s="54"/>
      <c r="BY103" s="1739"/>
      <c r="BZ103" s="54"/>
      <c r="CA103" s="1739"/>
      <c r="CB103" s="1739"/>
      <c r="CC103" s="1739"/>
      <c r="CD103" s="54"/>
      <c r="CE103" s="1739"/>
      <c r="CF103" s="54"/>
      <c r="CG103" s="1739"/>
      <c r="CH103" s="1739"/>
      <c r="CI103" s="1739"/>
      <c r="CJ103" s="1739"/>
    </row>
    <row r="104" spans="1:88" x14ac:dyDescent="0.5">
      <c r="A104" s="103">
        <v>20096666</v>
      </c>
      <c r="B104" s="104" t="s">
        <v>4220</v>
      </c>
      <c r="C104" s="1243" t="s">
        <v>2493</v>
      </c>
      <c r="D104" s="1244" t="s">
        <v>2691</v>
      </c>
      <c r="E104" s="302">
        <v>44104</v>
      </c>
      <c r="F104" s="936" t="s">
        <v>3368</v>
      </c>
      <c r="G104" s="937" t="s">
        <v>2538</v>
      </c>
      <c r="H104" s="914">
        <v>44125</v>
      </c>
      <c r="I104" s="1315">
        <v>63250</v>
      </c>
      <c r="J104" s="960" t="s">
        <v>3423</v>
      </c>
      <c r="K104" s="965">
        <v>44126</v>
      </c>
      <c r="L104" s="104" t="s">
        <v>3672</v>
      </c>
      <c r="M104" s="110" t="s">
        <v>4221</v>
      </c>
      <c r="N104" s="104" t="s">
        <v>52</v>
      </c>
      <c r="O104" s="111">
        <v>165000</v>
      </c>
      <c r="P104" s="111">
        <f t="shared" ref="P104:P108" si="168">O104*7/100</f>
        <v>11550</v>
      </c>
      <c r="Q104" s="111">
        <f t="shared" ref="Q104:Q108" si="169">O104+P104</f>
        <v>176550</v>
      </c>
      <c r="R104" s="311">
        <v>21000</v>
      </c>
      <c r="S104" s="113" t="s">
        <v>568</v>
      </c>
      <c r="T104" s="114">
        <f t="shared" ref="T104:T108" si="170">O104-R104</f>
        <v>144000</v>
      </c>
      <c r="U104" s="115">
        <v>5</v>
      </c>
      <c r="V104" s="1252">
        <f t="shared" ref="V104:V108" si="171">T104*U104/100</f>
        <v>7200</v>
      </c>
      <c r="W104" s="1245">
        <v>57.26</v>
      </c>
      <c r="X104" s="1246">
        <f t="shared" ref="X104:X108" si="172">T104-V104</f>
        <v>136800</v>
      </c>
      <c r="Y104" s="1247">
        <f t="shared" ref="Y104:Y108" si="173">SUM((50-W104)/(100)*(2.5)+(0.5))</f>
        <v>0.31850000000000001</v>
      </c>
      <c r="Z104" s="1247">
        <f>136800*0.32/100</f>
        <v>437.76</v>
      </c>
      <c r="AA104" s="1265">
        <v>0.5</v>
      </c>
      <c r="AB104" s="1265">
        <f t="shared" ref="AB104:AB108" si="174">X104*AA104/100</f>
        <v>684</v>
      </c>
      <c r="AC104" s="119">
        <v>0.2</v>
      </c>
      <c r="AD104" s="1248">
        <f t="shared" ref="AD104:AD108" si="175">X104*AC104/100</f>
        <v>273.60000000000002</v>
      </c>
      <c r="AE104" s="123">
        <v>20100283</v>
      </c>
      <c r="AF104" s="1249" t="s">
        <v>3423</v>
      </c>
      <c r="AG104" s="124">
        <v>165000</v>
      </c>
      <c r="AH104" s="260">
        <f t="shared" ref="AH104:AH108" si="176">AG104*7/100</f>
        <v>11550</v>
      </c>
      <c r="AI104" s="125">
        <f t="shared" ref="AI104:AI108" si="177">AG104+AH104</f>
        <v>176550</v>
      </c>
      <c r="AJ104" s="126">
        <v>44160</v>
      </c>
      <c r="AK104" s="127"/>
      <c r="AL104" s="127"/>
      <c r="AM104" s="127" t="s">
        <v>3423</v>
      </c>
      <c r="AN104" s="103"/>
      <c r="AO104" s="128">
        <v>1</v>
      </c>
      <c r="AP104" s="129" t="s">
        <v>4222</v>
      </c>
      <c r="AQ104" s="130"/>
      <c r="AR104" s="130" t="s">
        <v>3423</v>
      </c>
      <c r="AS104" s="131">
        <v>2</v>
      </c>
      <c r="AT104" s="132" t="s">
        <v>634</v>
      </c>
      <c r="AU104" s="128">
        <v>2</v>
      </c>
      <c r="AV104" s="123" t="s">
        <v>4223</v>
      </c>
      <c r="AW104" s="131"/>
      <c r="AX104" s="131" t="s">
        <v>3423</v>
      </c>
      <c r="AY104" s="131">
        <v>1</v>
      </c>
      <c r="AZ104" s="169" t="s">
        <v>636</v>
      </c>
      <c r="BA104" s="128"/>
      <c r="BB104" s="133"/>
      <c r="BC104" s="128"/>
      <c r="BD104" s="128"/>
      <c r="BE104" s="128"/>
      <c r="BF104" s="133"/>
      <c r="BG104" s="128"/>
      <c r="BH104" s="133"/>
      <c r="BI104" s="128"/>
      <c r="BJ104" s="128"/>
      <c r="BK104" s="128"/>
      <c r="BL104" s="133"/>
      <c r="BM104" s="128"/>
      <c r="BN104" s="133"/>
      <c r="BO104" s="128"/>
      <c r="BP104" s="128"/>
      <c r="BQ104" s="128"/>
      <c r="BR104" s="133"/>
      <c r="BS104" s="128"/>
      <c r="BT104" s="133"/>
      <c r="BU104" s="128"/>
      <c r="BV104" s="128"/>
      <c r="BW104" s="128"/>
      <c r="BX104" s="133"/>
      <c r="BY104" s="128"/>
      <c r="BZ104" s="133"/>
      <c r="CA104" s="128"/>
      <c r="CB104" s="128"/>
      <c r="CC104" s="128"/>
      <c r="CD104" s="133"/>
      <c r="CE104" s="128"/>
      <c r="CF104" s="133"/>
      <c r="CG104" s="128"/>
      <c r="CH104" s="128"/>
      <c r="CI104" s="128"/>
      <c r="CJ104" s="128"/>
    </row>
    <row r="105" spans="1:88" x14ac:dyDescent="0.5">
      <c r="A105" s="134"/>
      <c r="B105" s="135"/>
      <c r="C105" s="1290"/>
      <c r="D105" s="1291"/>
      <c r="E105" s="906"/>
      <c r="F105" s="940"/>
      <c r="G105" s="941"/>
      <c r="H105" s="1316">
        <v>44125</v>
      </c>
      <c r="I105" s="1317">
        <v>63251</v>
      </c>
      <c r="J105" s="963"/>
      <c r="K105" s="964"/>
      <c r="L105" s="135"/>
      <c r="M105" s="141"/>
      <c r="N105" s="135"/>
      <c r="O105" s="142"/>
      <c r="P105" s="142"/>
      <c r="Q105" s="142"/>
      <c r="R105" s="143"/>
      <c r="S105" s="144"/>
      <c r="T105" s="145"/>
      <c r="U105" s="146"/>
      <c r="V105" s="1292"/>
      <c r="W105" s="1293"/>
      <c r="X105" s="1294"/>
      <c r="Y105" s="1295"/>
      <c r="Z105" s="1295"/>
      <c r="AA105" s="1308"/>
      <c r="AB105" s="1308"/>
      <c r="AC105" s="150"/>
      <c r="AD105" s="1297"/>
      <c r="AE105" s="154"/>
      <c r="AF105" s="1298"/>
      <c r="AG105" s="155"/>
      <c r="AH105" s="253"/>
      <c r="AI105" s="156"/>
      <c r="AJ105" s="157"/>
      <c r="AK105" s="152"/>
      <c r="AL105" s="152"/>
      <c r="AM105" s="152"/>
      <c r="AN105" s="134"/>
      <c r="AO105" s="158"/>
      <c r="AP105" s="159"/>
      <c r="AQ105" s="160"/>
      <c r="AR105" s="160"/>
      <c r="AS105" s="161"/>
      <c r="AT105" s="162"/>
      <c r="AU105" s="158"/>
      <c r="AV105" s="154"/>
      <c r="AW105" s="161"/>
      <c r="AX105" s="161"/>
      <c r="AY105" s="161"/>
      <c r="AZ105" s="177"/>
      <c r="BA105" s="158"/>
      <c r="BB105" s="163"/>
      <c r="BC105" s="158"/>
      <c r="BD105" s="158"/>
      <c r="BE105" s="158"/>
      <c r="BF105" s="163"/>
      <c r="BG105" s="158"/>
      <c r="BH105" s="163"/>
      <c r="BI105" s="158"/>
      <c r="BJ105" s="158"/>
      <c r="BK105" s="158"/>
      <c r="BL105" s="163"/>
      <c r="BM105" s="158"/>
      <c r="BN105" s="163"/>
      <c r="BO105" s="158"/>
      <c r="BP105" s="158"/>
      <c r="BQ105" s="158"/>
      <c r="BR105" s="163"/>
      <c r="BS105" s="158"/>
      <c r="BT105" s="163"/>
      <c r="BU105" s="158"/>
      <c r="BV105" s="158"/>
      <c r="BW105" s="158"/>
      <c r="BX105" s="163"/>
      <c r="BY105" s="158"/>
      <c r="BZ105" s="163"/>
      <c r="CA105" s="158"/>
      <c r="CB105" s="158"/>
      <c r="CC105" s="158"/>
      <c r="CD105" s="163"/>
      <c r="CE105" s="158"/>
      <c r="CF105" s="163"/>
      <c r="CG105" s="158"/>
      <c r="CH105" s="158"/>
      <c r="CI105" s="158"/>
      <c r="CJ105" s="158"/>
    </row>
    <row r="106" spans="1:88" x14ac:dyDescent="0.5">
      <c r="A106" s="180"/>
      <c r="B106" s="181"/>
      <c r="C106" s="1236"/>
      <c r="D106" s="1237"/>
      <c r="E106" s="749"/>
      <c r="F106" s="938"/>
      <c r="G106" s="939"/>
      <c r="H106" s="749">
        <v>44125</v>
      </c>
      <c r="I106" s="1125">
        <v>63252</v>
      </c>
      <c r="J106" s="961"/>
      <c r="K106" s="966"/>
      <c r="L106" s="181"/>
      <c r="M106" s="188"/>
      <c r="N106" s="181"/>
      <c r="O106" s="189"/>
      <c r="P106" s="189"/>
      <c r="Q106" s="189"/>
      <c r="R106" s="190"/>
      <c r="S106" s="215"/>
      <c r="T106" s="216"/>
      <c r="U106" s="217"/>
      <c r="V106" s="1253"/>
      <c r="W106" s="1238"/>
      <c r="X106" s="1239"/>
      <c r="Y106" s="1240"/>
      <c r="Z106" s="1240"/>
      <c r="AA106" s="1263"/>
      <c r="AB106" s="1263"/>
      <c r="AC106" s="197"/>
      <c r="AD106" s="1241"/>
      <c r="AE106" s="200"/>
      <c r="AF106" s="1242"/>
      <c r="AG106" s="201"/>
      <c r="AH106" s="237"/>
      <c r="AI106" s="202"/>
      <c r="AJ106" s="203"/>
      <c r="AK106" s="199"/>
      <c r="AL106" s="199"/>
      <c r="AM106" s="199"/>
      <c r="AN106" s="180"/>
      <c r="AO106" s="204"/>
      <c r="AP106" s="205"/>
      <c r="AQ106" s="206"/>
      <c r="AR106" s="206"/>
      <c r="AS106" s="207"/>
      <c r="AT106" s="208"/>
      <c r="AU106" s="204"/>
      <c r="AV106" s="200"/>
      <c r="AW106" s="207"/>
      <c r="AX106" s="207"/>
      <c r="AY106" s="207"/>
      <c r="AZ106" s="209"/>
      <c r="BA106" s="204"/>
      <c r="BB106" s="210"/>
      <c r="BC106" s="204"/>
      <c r="BD106" s="204"/>
      <c r="BE106" s="204"/>
      <c r="BF106" s="210"/>
      <c r="BG106" s="204"/>
      <c r="BH106" s="210"/>
      <c r="BI106" s="204"/>
      <c r="BJ106" s="204"/>
      <c r="BK106" s="204"/>
      <c r="BL106" s="210"/>
      <c r="BM106" s="204"/>
      <c r="BN106" s="210"/>
      <c r="BO106" s="204"/>
      <c r="BP106" s="204"/>
      <c r="BQ106" s="204"/>
      <c r="BR106" s="210"/>
      <c r="BS106" s="204"/>
      <c r="BT106" s="210"/>
      <c r="BU106" s="204"/>
      <c r="BV106" s="204"/>
      <c r="BW106" s="204"/>
      <c r="BX106" s="210"/>
      <c r="BY106" s="204"/>
      <c r="BZ106" s="210"/>
      <c r="CA106" s="204"/>
      <c r="CB106" s="204"/>
      <c r="CC106" s="204"/>
      <c r="CD106" s="210"/>
      <c r="CE106" s="204"/>
      <c r="CF106" s="210"/>
      <c r="CG106" s="204"/>
      <c r="CH106" s="204"/>
      <c r="CI106" s="204"/>
      <c r="CJ106" s="204"/>
    </row>
    <row r="107" spans="1:88" x14ac:dyDescent="0.5">
      <c r="A107" s="21">
        <v>20096665</v>
      </c>
      <c r="B107" s="22">
        <v>20090748</v>
      </c>
      <c r="C107" s="55"/>
      <c r="D107" s="56"/>
      <c r="E107" s="910"/>
      <c r="F107" s="57"/>
      <c r="G107" s="58"/>
      <c r="H107" s="59"/>
      <c r="I107" s="60"/>
      <c r="J107" s="269"/>
      <c r="K107" s="59"/>
      <c r="L107" s="22" t="s">
        <v>4224</v>
      </c>
      <c r="M107" s="28" t="s">
        <v>4225</v>
      </c>
      <c r="N107" s="22" t="s">
        <v>51</v>
      </c>
      <c r="O107" s="29">
        <v>5250</v>
      </c>
      <c r="P107" s="29">
        <f t="shared" si="168"/>
        <v>367.5</v>
      </c>
      <c r="Q107" s="29">
        <f t="shared" si="169"/>
        <v>5617.5</v>
      </c>
      <c r="R107" s="61"/>
      <c r="S107" s="96"/>
      <c r="T107" s="97"/>
      <c r="U107" s="98"/>
      <c r="V107" s="1225"/>
      <c r="W107" s="1225"/>
      <c r="X107" s="100"/>
      <c r="Y107" s="1225"/>
      <c r="Z107" s="1225"/>
      <c r="AA107" s="1225"/>
      <c r="AB107" s="1225"/>
      <c r="AC107" s="100"/>
      <c r="AD107" s="595"/>
      <c r="AE107" s="40">
        <v>20090244</v>
      </c>
      <c r="AF107" s="1186" t="s">
        <v>3423</v>
      </c>
      <c r="AG107" s="41">
        <v>5250</v>
      </c>
      <c r="AH107" s="63">
        <f t="shared" si="176"/>
        <v>367.5</v>
      </c>
      <c r="AI107" s="52">
        <f t="shared" si="177"/>
        <v>5617.5</v>
      </c>
      <c r="AJ107" s="53">
        <v>44118</v>
      </c>
      <c r="AK107" s="39"/>
      <c r="AL107" s="39"/>
      <c r="AM107" s="39" t="s">
        <v>3423</v>
      </c>
      <c r="AN107" s="21"/>
      <c r="AO107" s="1702">
        <v>1</v>
      </c>
      <c r="AP107" s="45" t="s">
        <v>4226</v>
      </c>
      <c r="AQ107" s="46"/>
      <c r="AR107" s="46"/>
      <c r="AS107" s="47">
        <v>2</v>
      </c>
      <c r="AT107" s="48" t="s">
        <v>628</v>
      </c>
      <c r="AU107" s="1702">
        <v>2</v>
      </c>
      <c r="AV107" s="40" t="s">
        <v>4227</v>
      </c>
      <c r="AW107" s="47"/>
      <c r="AX107" s="47"/>
      <c r="AY107" s="47">
        <v>1</v>
      </c>
      <c r="AZ107" s="49" t="s">
        <v>628</v>
      </c>
      <c r="BA107" s="1739"/>
      <c r="BB107" s="54"/>
      <c r="BC107" s="1739"/>
      <c r="BD107" s="1739"/>
      <c r="BE107" s="1739"/>
      <c r="BF107" s="54"/>
      <c r="BG107" s="1739"/>
      <c r="BH107" s="54"/>
      <c r="BI107" s="1739"/>
      <c r="BJ107" s="1739"/>
      <c r="BK107" s="1739"/>
      <c r="BL107" s="54"/>
      <c r="BM107" s="1739"/>
      <c r="BN107" s="54"/>
      <c r="BO107" s="1739"/>
      <c r="BP107" s="1739"/>
      <c r="BQ107" s="1739"/>
      <c r="BR107" s="54"/>
      <c r="BS107" s="1739"/>
      <c r="BT107" s="54"/>
      <c r="BU107" s="1739"/>
      <c r="BV107" s="1739"/>
      <c r="BW107" s="1739"/>
      <c r="BX107" s="54"/>
      <c r="BY107" s="1739"/>
      <c r="BZ107" s="54"/>
      <c r="CA107" s="1739"/>
      <c r="CB107" s="1739"/>
      <c r="CC107" s="1739"/>
      <c r="CD107" s="54"/>
      <c r="CE107" s="1739"/>
      <c r="CF107" s="54"/>
      <c r="CG107" s="1739"/>
      <c r="CH107" s="1739"/>
      <c r="CI107" s="1739"/>
      <c r="CJ107" s="1739"/>
    </row>
    <row r="108" spans="1:88" x14ac:dyDescent="0.5">
      <c r="A108" s="21">
        <v>20096664</v>
      </c>
      <c r="B108" s="22">
        <v>20090743</v>
      </c>
      <c r="C108" s="1019" t="s">
        <v>2411</v>
      </c>
      <c r="D108" s="1020" t="s">
        <v>2691</v>
      </c>
      <c r="E108" s="884">
        <v>44089</v>
      </c>
      <c r="F108" s="932" t="s">
        <v>3368</v>
      </c>
      <c r="G108" s="933" t="s">
        <v>2425</v>
      </c>
      <c r="H108" s="884">
        <v>44089</v>
      </c>
      <c r="I108" s="1021">
        <v>63220</v>
      </c>
      <c r="J108" s="931" t="s">
        <v>3423</v>
      </c>
      <c r="K108" s="957">
        <v>44090</v>
      </c>
      <c r="L108" s="22" t="s">
        <v>4228</v>
      </c>
      <c r="M108" s="28" t="s">
        <v>4229</v>
      </c>
      <c r="N108" s="22" t="s">
        <v>1523</v>
      </c>
      <c r="O108" s="29">
        <v>80000</v>
      </c>
      <c r="P108" s="29">
        <f t="shared" si="168"/>
        <v>5600</v>
      </c>
      <c r="Q108" s="29">
        <f t="shared" si="169"/>
        <v>85600</v>
      </c>
      <c r="R108" s="61"/>
      <c r="S108" s="31" t="s">
        <v>3939</v>
      </c>
      <c r="T108" s="32">
        <f t="shared" si="170"/>
        <v>80000</v>
      </c>
      <c r="U108" s="33">
        <v>5</v>
      </c>
      <c r="V108" s="1251">
        <f t="shared" si="171"/>
        <v>4000</v>
      </c>
      <c r="W108" s="1231">
        <v>56.16</v>
      </c>
      <c r="X108" s="1184">
        <f t="shared" si="172"/>
        <v>76000</v>
      </c>
      <c r="Y108" s="1223">
        <f t="shared" si="173"/>
        <v>0.34600000000000009</v>
      </c>
      <c r="Z108" s="1223">
        <f>76000*0.35/100</f>
        <v>266</v>
      </c>
      <c r="AA108" s="1228">
        <v>0.5</v>
      </c>
      <c r="AB108" s="1228">
        <f t="shared" si="174"/>
        <v>380</v>
      </c>
      <c r="AC108" s="37">
        <v>0.2</v>
      </c>
      <c r="AD108" s="1234">
        <f t="shared" si="175"/>
        <v>152</v>
      </c>
      <c r="AE108" s="40">
        <v>20090248</v>
      </c>
      <c r="AF108" s="1186" t="s">
        <v>3423</v>
      </c>
      <c r="AG108" s="41">
        <v>80000</v>
      </c>
      <c r="AH108" s="63">
        <f t="shared" si="176"/>
        <v>5600</v>
      </c>
      <c r="AI108" s="52">
        <f t="shared" si="177"/>
        <v>85600</v>
      </c>
      <c r="AJ108" s="53">
        <v>44122</v>
      </c>
      <c r="AK108" s="39"/>
      <c r="AL108" s="39"/>
      <c r="AM108" s="39" t="s">
        <v>3423</v>
      </c>
      <c r="AN108" s="21"/>
      <c r="AO108" s="1702">
        <v>1</v>
      </c>
      <c r="AP108" s="45" t="s">
        <v>1216</v>
      </c>
      <c r="AQ108" s="46"/>
      <c r="AR108" s="46" t="s">
        <v>3423</v>
      </c>
      <c r="AS108" s="47">
        <v>1</v>
      </c>
      <c r="AT108" s="48" t="s">
        <v>636</v>
      </c>
      <c r="AU108" s="1702">
        <v>2</v>
      </c>
      <c r="AV108" s="40" t="s">
        <v>2958</v>
      </c>
      <c r="AW108" s="47"/>
      <c r="AX108" s="47" t="s">
        <v>3423</v>
      </c>
      <c r="AY108" s="47">
        <v>1</v>
      </c>
      <c r="AZ108" s="49" t="s">
        <v>628</v>
      </c>
      <c r="BA108" s="1739"/>
      <c r="BB108" s="54"/>
      <c r="BC108" s="1739"/>
      <c r="BD108" s="1739"/>
      <c r="BE108" s="1739"/>
      <c r="BF108" s="54"/>
      <c r="BG108" s="1739"/>
      <c r="BH108" s="54"/>
      <c r="BI108" s="1739"/>
      <c r="BJ108" s="1739"/>
      <c r="BK108" s="1739"/>
      <c r="BL108" s="54"/>
      <c r="BM108" s="1739"/>
      <c r="BN108" s="54"/>
      <c r="BO108" s="1739"/>
      <c r="BP108" s="1739"/>
      <c r="BQ108" s="1739"/>
      <c r="BR108" s="54"/>
      <c r="BS108" s="1739"/>
      <c r="BT108" s="54"/>
      <c r="BU108" s="1739"/>
      <c r="BV108" s="1739"/>
      <c r="BW108" s="1739"/>
      <c r="BX108" s="54"/>
      <c r="BY108" s="1739"/>
      <c r="BZ108" s="54"/>
      <c r="CA108" s="1739"/>
      <c r="CB108" s="1739"/>
      <c r="CC108" s="1739"/>
      <c r="CD108" s="54"/>
      <c r="CE108" s="1739"/>
      <c r="CF108" s="54"/>
      <c r="CG108" s="1739"/>
      <c r="CH108" s="1739"/>
      <c r="CI108" s="1739"/>
      <c r="CJ108" s="1739"/>
    </row>
    <row r="109" spans="1:88" x14ac:dyDescent="0.5">
      <c r="A109" s="21">
        <v>20096663</v>
      </c>
      <c r="B109" s="22">
        <v>20090744</v>
      </c>
      <c r="C109" s="55"/>
      <c r="D109" s="56"/>
      <c r="E109" s="910"/>
      <c r="F109" s="57"/>
      <c r="G109" s="58"/>
      <c r="H109" s="59"/>
      <c r="I109" s="60"/>
      <c r="J109" s="269"/>
      <c r="K109" s="59"/>
      <c r="L109" s="22" t="s">
        <v>3544</v>
      </c>
      <c r="M109" s="28" t="s">
        <v>4230</v>
      </c>
      <c r="N109" s="22" t="s">
        <v>1523</v>
      </c>
      <c r="O109" s="29">
        <v>16000</v>
      </c>
      <c r="P109" s="29">
        <f t="shared" ref="P109:P110" si="178">O109*7/100</f>
        <v>1120</v>
      </c>
      <c r="Q109" s="29">
        <f t="shared" ref="Q109:Q110" si="179">O109+P109</f>
        <v>17120</v>
      </c>
      <c r="R109" s="61"/>
      <c r="S109" s="96"/>
      <c r="T109" s="97"/>
      <c r="U109" s="98"/>
      <c r="V109" s="1225"/>
      <c r="W109" s="1225"/>
      <c r="X109" s="100"/>
      <c r="Y109" s="1225"/>
      <c r="Z109" s="1225"/>
      <c r="AA109" s="1225"/>
      <c r="AB109" s="1225"/>
      <c r="AC109" s="100"/>
      <c r="AD109" s="595"/>
      <c r="AE109" s="40">
        <v>20090253</v>
      </c>
      <c r="AF109" s="1186" t="s">
        <v>3423</v>
      </c>
      <c r="AG109" s="41">
        <v>16000</v>
      </c>
      <c r="AH109" s="63">
        <f t="shared" ref="AH109:AH110" si="180">AG109*7/100</f>
        <v>1120</v>
      </c>
      <c r="AI109" s="52">
        <f t="shared" ref="AI109:AI110" si="181">AG109+AH109</f>
        <v>17120</v>
      </c>
      <c r="AJ109" s="53">
        <v>44129</v>
      </c>
      <c r="AK109" s="39"/>
      <c r="AL109" s="39"/>
      <c r="AM109" s="39" t="s">
        <v>3423</v>
      </c>
      <c r="AN109" s="21" t="s">
        <v>3896</v>
      </c>
      <c r="AO109" s="1702">
        <v>1</v>
      </c>
      <c r="AP109" s="45" t="s">
        <v>404</v>
      </c>
      <c r="AQ109" s="46"/>
      <c r="AR109" s="46"/>
      <c r="AS109" s="47">
        <v>1</v>
      </c>
      <c r="AT109" s="102"/>
      <c r="AU109" s="1739"/>
      <c r="AV109" s="54"/>
      <c r="AW109" s="1739"/>
      <c r="AX109" s="1739"/>
      <c r="AY109" s="1739"/>
      <c r="AZ109" s="54"/>
      <c r="BA109" s="1739"/>
      <c r="BB109" s="54"/>
      <c r="BC109" s="1739"/>
      <c r="BD109" s="1739"/>
      <c r="BE109" s="1739"/>
      <c r="BF109" s="54"/>
      <c r="BG109" s="1739"/>
      <c r="BH109" s="54"/>
      <c r="BI109" s="1739"/>
      <c r="BJ109" s="1739"/>
      <c r="BK109" s="1739"/>
      <c r="BL109" s="54"/>
      <c r="BM109" s="1739"/>
      <c r="BN109" s="54"/>
      <c r="BO109" s="1739"/>
      <c r="BP109" s="1739"/>
      <c r="BQ109" s="1739"/>
      <c r="BR109" s="54"/>
      <c r="BS109" s="1739"/>
      <c r="BT109" s="54"/>
      <c r="BU109" s="1739"/>
      <c r="BV109" s="1739"/>
      <c r="BW109" s="1739"/>
      <c r="BX109" s="54"/>
      <c r="BY109" s="1739"/>
      <c r="BZ109" s="54"/>
      <c r="CA109" s="1739"/>
      <c r="CB109" s="1739"/>
      <c r="CC109" s="1739"/>
      <c r="CD109" s="54"/>
      <c r="CE109" s="1739"/>
      <c r="CF109" s="54"/>
      <c r="CG109" s="1739"/>
      <c r="CH109" s="1739"/>
      <c r="CI109" s="1739"/>
      <c r="CJ109" s="1739"/>
    </row>
    <row r="110" spans="1:88" x14ac:dyDescent="0.5">
      <c r="A110" s="21">
        <v>20096662</v>
      </c>
      <c r="B110" s="22">
        <v>20090739</v>
      </c>
      <c r="C110" s="1019" t="s">
        <v>2433</v>
      </c>
      <c r="D110" s="1020" t="s">
        <v>2691</v>
      </c>
      <c r="E110" s="884">
        <v>44096</v>
      </c>
      <c r="F110" s="932" t="s">
        <v>3368</v>
      </c>
      <c r="G110" s="933" t="s">
        <v>2491</v>
      </c>
      <c r="H110" s="884">
        <v>44099</v>
      </c>
      <c r="I110" s="1021">
        <v>63226</v>
      </c>
      <c r="J110" s="931" t="s">
        <v>3423</v>
      </c>
      <c r="K110" s="957">
        <v>44102</v>
      </c>
      <c r="L110" s="22" t="s">
        <v>1221</v>
      </c>
      <c r="M110" s="28" t="s">
        <v>4231</v>
      </c>
      <c r="N110" s="22" t="s">
        <v>51</v>
      </c>
      <c r="O110" s="29">
        <v>280000</v>
      </c>
      <c r="P110" s="29">
        <f t="shared" si="178"/>
        <v>19600</v>
      </c>
      <c r="Q110" s="29">
        <f t="shared" si="179"/>
        <v>299600</v>
      </c>
      <c r="R110" s="61"/>
      <c r="S110" s="96"/>
      <c r="T110" s="97"/>
      <c r="U110" s="98"/>
      <c r="V110" s="1225"/>
      <c r="W110" s="1225"/>
      <c r="X110" s="100"/>
      <c r="Y110" s="1225"/>
      <c r="Z110" s="1225"/>
      <c r="AA110" s="1225"/>
      <c r="AB110" s="1225"/>
      <c r="AC110" s="100"/>
      <c r="AD110" s="595"/>
      <c r="AE110" s="40">
        <v>20090257</v>
      </c>
      <c r="AF110" s="1186" t="s">
        <v>3423</v>
      </c>
      <c r="AG110" s="41">
        <v>280000</v>
      </c>
      <c r="AH110" s="63">
        <f t="shared" si="180"/>
        <v>19600</v>
      </c>
      <c r="AI110" s="52">
        <f t="shared" si="181"/>
        <v>299600</v>
      </c>
      <c r="AJ110" s="53">
        <v>44149</v>
      </c>
      <c r="AK110" s="39"/>
      <c r="AL110" s="39"/>
      <c r="AM110" s="39" t="s">
        <v>3423</v>
      </c>
      <c r="AN110" s="21" t="s">
        <v>4290</v>
      </c>
      <c r="AO110" s="1702">
        <v>1</v>
      </c>
      <c r="AP110" s="45" t="s">
        <v>3933</v>
      </c>
      <c r="AQ110" s="46" t="s">
        <v>3423</v>
      </c>
      <c r="AR110" s="46"/>
      <c r="AS110" s="47">
        <v>1</v>
      </c>
      <c r="AT110" s="48" t="s">
        <v>635</v>
      </c>
      <c r="AU110" s="1739"/>
      <c r="AV110" s="54"/>
      <c r="AW110" s="1739"/>
      <c r="AX110" s="1739"/>
      <c r="AY110" s="1739"/>
      <c r="AZ110" s="54"/>
      <c r="BA110" s="1739"/>
      <c r="BB110" s="54"/>
      <c r="BC110" s="1739"/>
      <c r="BD110" s="1739"/>
      <c r="BE110" s="1739"/>
      <c r="BF110" s="54"/>
      <c r="BG110" s="1739"/>
      <c r="BH110" s="54"/>
      <c r="BI110" s="1739"/>
      <c r="BJ110" s="1739"/>
      <c r="BK110" s="1739"/>
      <c r="BL110" s="54"/>
      <c r="BM110" s="1739"/>
      <c r="BN110" s="54"/>
      <c r="BO110" s="1739"/>
      <c r="BP110" s="1739"/>
      <c r="BQ110" s="1739"/>
      <c r="BR110" s="54"/>
      <c r="BS110" s="1739"/>
      <c r="BT110" s="54"/>
      <c r="BU110" s="1739"/>
      <c r="BV110" s="1739"/>
      <c r="BW110" s="1739"/>
      <c r="BX110" s="54"/>
      <c r="BY110" s="1739"/>
      <c r="BZ110" s="54"/>
      <c r="CA110" s="1739"/>
      <c r="CB110" s="1739"/>
      <c r="CC110" s="1739"/>
      <c r="CD110" s="54"/>
      <c r="CE110" s="1739"/>
      <c r="CF110" s="54"/>
      <c r="CG110" s="1739"/>
      <c r="CH110" s="1739"/>
      <c r="CI110" s="1739"/>
      <c r="CJ110" s="1739"/>
    </row>
    <row r="111" spans="1:88" x14ac:dyDescent="0.5">
      <c r="A111" s="21">
        <v>20096661</v>
      </c>
      <c r="B111" s="22">
        <v>20090737</v>
      </c>
      <c r="C111" s="1019" t="s">
        <v>2435</v>
      </c>
      <c r="D111" s="1020" t="s">
        <v>2691</v>
      </c>
      <c r="E111" s="884">
        <v>44083</v>
      </c>
      <c r="F111" s="932" t="s">
        <v>3368</v>
      </c>
      <c r="G111" s="933" t="s">
        <v>2400</v>
      </c>
      <c r="H111" s="884">
        <v>44082</v>
      </c>
      <c r="I111" s="1021">
        <v>63218</v>
      </c>
      <c r="J111" s="931" t="s">
        <v>3423</v>
      </c>
      <c r="K111" s="957">
        <v>44083</v>
      </c>
      <c r="L111" s="22" t="s">
        <v>3544</v>
      </c>
      <c r="M111" s="28" t="s">
        <v>4214</v>
      </c>
      <c r="N111" s="22" t="s">
        <v>1523</v>
      </c>
      <c r="O111" s="29">
        <v>202725</v>
      </c>
      <c r="P111" s="29">
        <f t="shared" ref="P111:P116" si="182">O111*7/100</f>
        <v>14190.75</v>
      </c>
      <c r="Q111" s="29">
        <f t="shared" ref="Q111:Q116" si="183">O111+P111</f>
        <v>216915.75</v>
      </c>
      <c r="R111" s="61"/>
      <c r="S111" s="31" t="s">
        <v>4211</v>
      </c>
      <c r="T111" s="32">
        <f t="shared" ref="T111" si="184">O111-R111</f>
        <v>202725</v>
      </c>
      <c r="U111" s="33">
        <v>5</v>
      </c>
      <c r="V111" s="1251">
        <f t="shared" ref="V111" si="185">T111*U111/100</f>
        <v>10136.25</v>
      </c>
      <c r="W111" s="1231">
        <v>57.25</v>
      </c>
      <c r="X111" s="1184">
        <f t="shared" ref="X111" si="186">T111-V111</f>
        <v>192588.75</v>
      </c>
      <c r="Y111" s="1223">
        <f t="shared" ref="Y111" si="187">SUM((50-W111)/(100)*(2.5)+(0.5))</f>
        <v>0.31874999999999998</v>
      </c>
      <c r="Z111" s="1223">
        <f>192588.75*0.32/100</f>
        <v>616.28399999999999</v>
      </c>
      <c r="AA111" s="1228">
        <v>0.5</v>
      </c>
      <c r="AB111" s="1228">
        <f t="shared" ref="AB111" si="188">X111*AA111/100</f>
        <v>962.94375000000002</v>
      </c>
      <c r="AC111" s="37">
        <v>0.2</v>
      </c>
      <c r="AD111" s="1234">
        <f t="shared" ref="AD111" si="189">X111*AC111/100</f>
        <v>385.17750000000001</v>
      </c>
      <c r="AE111" s="40">
        <v>20090252</v>
      </c>
      <c r="AF111" s="1186" t="s">
        <v>3423</v>
      </c>
      <c r="AG111" s="41">
        <v>202725</v>
      </c>
      <c r="AH111" s="63">
        <f t="shared" ref="AH111:AH116" si="190">AG111*7/100</f>
        <v>14190.75</v>
      </c>
      <c r="AI111" s="52">
        <f t="shared" ref="AI111:AI116" si="191">AG111+AH111</f>
        <v>216915.75</v>
      </c>
      <c r="AJ111" s="53">
        <v>44129</v>
      </c>
      <c r="AK111" s="39"/>
      <c r="AL111" s="39"/>
      <c r="AM111" s="39" t="s">
        <v>3423</v>
      </c>
      <c r="AN111" s="21" t="s">
        <v>3896</v>
      </c>
      <c r="AO111" s="1699">
        <v>1</v>
      </c>
      <c r="AP111" s="45" t="s">
        <v>713</v>
      </c>
      <c r="AQ111" s="46" t="s">
        <v>3423</v>
      </c>
      <c r="AR111" s="46"/>
      <c r="AS111" s="47">
        <v>1</v>
      </c>
      <c r="AT111" s="48" t="s">
        <v>636</v>
      </c>
      <c r="AU111" s="1702"/>
      <c r="AV111" s="54"/>
      <c r="AW111" s="1702"/>
      <c r="AX111" s="1702"/>
      <c r="AY111" s="1702"/>
      <c r="AZ111" s="54"/>
      <c r="BA111" s="1702"/>
      <c r="BB111" s="54"/>
      <c r="BC111" s="1702"/>
      <c r="BD111" s="1702"/>
      <c r="BE111" s="1702"/>
      <c r="BF111" s="54"/>
      <c r="BG111" s="1702"/>
      <c r="BH111" s="54"/>
      <c r="BI111" s="1702"/>
      <c r="BJ111" s="1702"/>
      <c r="BK111" s="1702"/>
      <c r="BL111" s="54"/>
      <c r="BM111" s="1702"/>
      <c r="BN111" s="54"/>
      <c r="BO111" s="1702"/>
      <c r="BP111" s="1702"/>
      <c r="BQ111" s="1702"/>
      <c r="BR111" s="54"/>
      <c r="BS111" s="1702"/>
      <c r="BT111" s="54"/>
      <c r="BU111" s="1702"/>
      <c r="BV111" s="1702"/>
      <c r="BW111" s="1702"/>
      <c r="BX111" s="54"/>
      <c r="BY111" s="1702"/>
      <c r="BZ111" s="54"/>
      <c r="CA111" s="1702"/>
      <c r="CB111" s="1702"/>
      <c r="CC111" s="1702"/>
      <c r="CD111" s="54"/>
      <c r="CE111" s="1702"/>
      <c r="CF111" s="54"/>
      <c r="CG111" s="1702"/>
      <c r="CH111" s="1702"/>
      <c r="CI111" s="1702"/>
      <c r="CJ111" s="1702"/>
    </row>
    <row r="112" spans="1:88" x14ac:dyDescent="0.5">
      <c r="A112" s="21">
        <v>20096660</v>
      </c>
      <c r="B112" s="22">
        <v>20090738</v>
      </c>
      <c r="C112" s="55"/>
      <c r="D112" s="56"/>
      <c r="E112" s="910"/>
      <c r="F112" s="57"/>
      <c r="G112" s="58"/>
      <c r="H112" s="59"/>
      <c r="I112" s="60"/>
      <c r="J112" s="269"/>
      <c r="K112" s="59"/>
      <c r="L112" s="22" t="s">
        <v>4215</v>
      </c>
      <c r="M112" s="28" t="s">
        <v>1900</v>
      </c>
      <c r="N112" s="22" t="s">
        <v>51</v>
      </c>
      <c r="O112" s="29">
        <v>7800</v>
      </c>
      <c r="P112" s="29">
        <f t="shared" ref="P112:P115" si="192">O112*7/100</f>
        <v>546</v>
      </c>
      <c r="Q112" s="29">
        <f t="shared" ref="Q112:Q115" si="193">O112+P112</f>
        <v>8346</v>
      </c>
      <c r="R112" s="61"/>
      <c r="S112" s="96"/>
      <c r="T112" s="97"/>
      <c r="U112" s="98"/>
      <c r="V112" s="1225"/>
      <c r="W112" s="1225"/>
      <c r="X112" s="100"/>
      <c r="Y112" s="1225"/>
      <c r="Z112" s="1225"/>
      <c r="AA112" s="1225"/>
      <c r="AB112" s="1225"/>
      <c r="AC112" s="100"/>
      <c r="AD112" s="595"/>
      <c r="AE112" s="40">
        <v>20090243</v>
      </c>
      <c r="AF112" s="1186" t="s">
        <v>3423</v>
      </c>
      <c r="AG112" s="41">
        <v>7800</v>
      </c>
      <c r="AH112" s="63">
        <f t="shared" ref="AH112:AH115" si="194">AG112*7/100</f>
        <v>546</v>
      </c>
      <c r="AI112" s="52">
        <f t="shared" ref="AI112:AI115" si="195">AG112+AH112</f>
        <v>8346</v>
      </c>
      <c r="AJ112" s="53">
        <v>44118</v>
      </c>
      <c r="AK112" s="39"/>
      <c r="AL112" s="39"/>
      <c r="AM112" s="39" t="s">
        <v>3423</v>
      </c>
      <c r="AN112" s="21"/>
      <c r="AO112" s="1699">
        <v>1</v>
      </c>
      <c r="AP112" s="45" t="s">
        <v>4216</v>
      </c>
      <c r="AQ112" s="46"/>
      <c r="AR112" s="46"/>
      <c r="AS112" s="47">
        <v>1</v>
      </c>
      <c r="AT112" s="48" t="s">
        <v>628</v>
      </c>
      <c r="AU112" s="1702"/>
      <c r="AV112" s="54"/>
      <c r="AW112" s="1702"/>
      <c r="AX112" s="1702"/>
      <c r="AY112" s="1702"/>
      <c r="AZ112" s="54"/>
      <c r="BA112" s="1702"/>
      <c r="BB112" s="54"/>
      <c r="BC112" s="1702"/>
      <c r="BD112" s="1702"/>
      <c r="BE112" s="1702"/>
      <c r="BF112" s="54"/>
      <c r="BG112" s="1702"/>
      <c r="BH112" s="54"/>
      <c r="BI112" s="1702"/>
      <c r="BJ112" s="1702"/>
      <c r="BK112" s="1702"/>
      <c r="BL112" s="54"/>
      <c r="BM112" s="1702"/>
      <c r="BN112" s="54"/>
      <c r="BO112" s="1702"/>
      <c r="BP112" s="1702"/>
      <c r="BQ112" s="1702"/>
      <c r="BR112" s="54"/>
      <c r="BS112" s="1702"/>
      <c r="BT112" s="54"/>
      <c r="BU112" s="1702"/>
      <c r="BV112" s="1702"/>
      <c r="BW112" s="1702"/>
      <c r="BX112" s="54"/>
      <c r="BY112" s="1702"/>
      <c r="BZ112" s="54"/>
      <c r="CA112" s="1702"/>
      <c r="CB112" s="1702"/>
      <c r="CC112" s="1702"/>
      <c r="CD112" s="54"/>
      <c r="CE112" s="1702"/>
      <c r="CF112" s="54"/>
      <c r="CG112" s="1702"/>
      <c r="CH112" s="1702"/>
      <c r="CI112" s="1702"/>
      <c r="CJ112" s="1702"/>
    </row>
    <row r="113" spans="1:88" s="1724" customFormat="1" ht="22.5" thickBot="1" x14ac:dyDescent="0.55000000000000004">
      <c r="A113" s="1812">
        <v>20096659</v>
      </c>
      <c r="B113" s="1704">
        <v>20090736</v>
      </c>
      <c r="C113" s="1725"/>
      <c r="D113" s="1726"/>
      <c r="E113" s="1727"/>
      <c r="F113" s="1728"/>
      <c r="G113" s="1729"/>
      <c r="H113" s="1730"/>
      <c r="I113" s="1731"/>
      <c r="J113" s="1732"/>
      <c r="K113" s="1730"/>
      <c r="L113" s="1704" t="s">
        <v>4206</v>
      </c>
      <c r="M113" s="1706" t="s">
        <v>4217</v>
      </c>
      <c r="N113" s="1704" t="s">
        <v>1523</v>
      </c>
      <c r="O113" s="1707">
        <v>48100</v>
      </c>
      <c r="P113" s="1707">
        <f t="shared" si="192"/>
        <v>3367</v>
      </c>
      <c r="Q113" s="1707">
        <f t="shared" si="193"/>
        <v>51467</v>
      </c>
      <c r="R113" s="1733"/>
      <c r="S113" s="1734"/>
      <c r="T113" s="1735">
        <f t="shared" ref="T113" si="196">O113-R113</f>
        <v>48100</v>
      </c>
      <c r="U113" s="1736"/>
      <c r="V113" s="1737">
        <f t="shared" ref="V113" si="197">T113*U113/100</f>
        <v>0</v>
      </c>
      <c r="W113" s="1708"/>
      <c r="X113" s="1709">
        <f t="shared" ref="X113" si="198">T113-V113</f>
        <v>48100</v>
      </c>
      <c r="Y113" s="1710">
        <f t="shared" ref="Y113" si="199">SUM((50-W113)/(100)*(2.5)+(0.5))</f>
        <v>1.75</v>
      </c>
      <c r="Z113" s="1710"/>
      <c r="AA113" s="1711"/>
      <c r="AB113" s="1711">
        <f t="shared" ref="AB113" si="200">X113*AA113/100</f>
        <v>0</v>
      </c>
      <c r="AC113" s="1712"/>
      <c r="AD113" s="1713">
        <f t="shared" ref="AD113" si="201">X113*AC113/100</f>
        <v>0</v>
      </c>
      <c r="AE113" s="1705">
        <v>20090236</v>
      </c>
      <c r="AF113" s="1714" t="s">
        <v>3423</v>
      </c>
      <c r="AG113" s="1715">
        <v>48100</v>
      </c>
      <c r="AH113" s="1716">
        <f t="shared" si="194"/>
        <v>3367</v>
      </c>
      <c r="AI113" s="1717">
        <f t="shared" si="195"/>
        <v>51467</v>
      </c>
      <c r="AJ113" s="1738">
        <v>44075</v>
      </c>
      <c r="AK113" s="1718" t="s">
        <v>3423</v>
      </c>
      <c r="AL113" s="1718"/>
      <c r="AM113" s="1718"/>
      <c r="AN113" s="1703" t="s">
        <v>4331</v>
      </c>
      <c r="AO113" s="1719">
        <v>1</v>
      </c>
      <c r="AP113" s="1720" t="s">
        <v>2935</v>
      </c>
      <c r="AQ113" s="1721"/>
      <c r="AR113" s="1721"/>
      <c r="AS113" s="1722">
        <v>1</v>
      </c>
      <c r="AT113" s="1723" t="s">
        <v>628</v>
      </c>
      <c r="AU113" s="1719"/>
      <c r="AV113" s="1740"/>
      <c r="AW113" s="1719"/>
      <c r="AX113" s="1719"/>
      <c r="AY113" s="1719"/>
      <c r="AZ113" s="1740"/>
      <c r="BA113" s="1719"/>
      <c r="BB113" s="1740"/>
      <c r="BC113" s="1719"/>
      <c r="BD113" s="1719"/>
      <c r="BE113" s="1719"/>
      <c r="BF113" s="1740"/>
      <c r="BG113" s="1719"/>
      <c r="BH113" s="1740"/>
      <c r="BI113" s="1719"/>
      <c r="BJ113" s="1719"/>
      <c r="BK113" s="1719"/>
      <c r="BL113" s="1740"/>
      <c r="BM113" s="1719"/>
      <c r="BN113" s="1740"/>
      <c r="BO113" s="1719"/>
      <c r="BP113" s="1719"/>
      <c r="BQ113" s="1719"/>
      <c r="BR113" s="1740"/>
      <c r="BS113" s="1719"/>
      <c r="BT113" s="1740"/>
      <c r="BU113" s="1719"/>
      <c r="BV113" s="1719"/>
      <c r="BW113" s="1719"/>
      <c r="BX113" s="1740"/>
      <c r="BY113" s="1719"/>
      <c r="BZ113" s="1740"/>
      <c r="CA113" s="1719"/>
      <c r="CB113" s="1719"/>
      <c r="CC113" s="1719"/>
      <c r="CD113" s="1740"/>
      <c r="CE113" s="1719"/>
      <c r="CF113" s="1740"/>
      <c r="CG113" s="1719"/>
      <c r="CH113" s="1719"/>
      <c r="CI113" s="1719"/>
      <c r="CJ113" s="1719"/>
    </row>
    <row r="114" spans="1:88" ht="22.5" thickTop="1" x14ac:dyDescent="0.5">
      <c r="A114" s="180">
        <v>20086658</v>
      </c>
      <c r="B114" s="181">
        <v>20080718</v>
      </c>
      <c r="C114" s="1236" t="s">
        <v>2438</v>
      </c>
      <c r="D114" s="1237" t="s">
        <v>2691</v>
      </c>
      <c r="E114" s="749">
        <v>44084</v>
      </c>
      <c r="F114" s="938" t="s">
        <v>3368</v>
      </c>
      <c r="G114" s="939" t="s">
        <v>2433</v>
      </c>
      <c r="H114" s="749">
        <v>44098</v>
      </c>
      <c r="I114" s="1125">
        <v>63223</v>
      </c>
      <c r="J114" s="961" t="s">
        <v>3423</v>
      </c>
      <c r="K114" s="966">
        <v>44099</v>
      </c>
      <c r="L114" s="181" t="s">
        <v>20</v>
      </c>
      <c r="M114" s="188" t="s">
        <v>4208</v>
      </c>
      <c r="N114" s="181" t="s">
        <v>51</v>
      </c>
      <c r="O114" s="189">
        <v>42000</v>
      </c>
      <c r="P114" s="189">
        <f t="shared" si="192"/>
        <v>2940</v>
      </c>
      <c r="Q114" s="189">
        <f t="shared" si="193"/>
        <v>44940</v>
      </c>
      <c r="R114" s="214"/>
      <c r="S114" s="191"/>
      <c r="T114" s="192"/>
      <c r="U114" s="193"/>
      <c r="V114" s="1254"/>
      <c r="W114" s="1254"/>
      <c r="X114" s="235"/>
      <c r="Y114" s="1254"/>
      <c r="Z114" s="1254"/>
      <c r="AA114" s="1254"/>
      <c r="AB114" s="1254"/>
      <c r="AC114" s="235"/>
      <c r="AD114" s="1303"/>
      <c r="AE114" s="200">
        <v>20090258</v>
      </c>
      <c r="AF114" s="1242" t="s">
        <v>3423</v>
      </c>
      <c r="AG114" s="201">
        <v>42000</v>
      </c>
      <c r="AH114" s="237">
        <f t="shared" si="194"/>
        <v>2940</v>
      </c>
      <c r="AI114" s="202">
        <f t="shared" si="195"/>
        <v>44940</v>
      </c>
      <c r="AJ114" s="203">
        <v>44134</v>
      </c>
      <c r="AK114" s="199"/>
      <c r="AL114" s="199"/>
      <c r="AM114" s="199" t="s">
        <v>3423</v>
      </c>
      <c r="AN114" s="180" t="s">
        <v>4289</v>
      </c>
      <c r="AO114" s="204">
        <v>1</v>
      </c>
      <c r="AP114" s="205" t="s">
        <v>4209</v>
      </c>
      <c r="AQ114" s="206"/>
      <c r="AR114" s="206" t="s">
        <v>3423</v>
      </c>
      <c r="AS114" s="207">
        <v>1</v>
      </c>
      <c r="AT114" s="208" t="s">
        <v>633</v>
      </c>
      <c r="AU114" s="204"/>
      <c r="AV114" s="210"/>
      <c r="AW114" s="204"/>
      <c r="AX114" s="204"/>
      <c r="AY114" s="204"/>
      <c r="AZ114" s="210"/>
      <c r="BA114" s="204"/>
      <c r="BB114" s="210"/>
      <c r="BC114" s="204"/>
      <c r="BD114" s="204"/>
      <c r="BE114" s="204"/>
      <c r="BF114" s="210"/>
      <c r="BG114" s="204"/>
      <c r="BH114" s="210"/>
      <c r="BI114" s="204"/>
      <c r="BJ114" s="204"/>
      <c r="BK114" s="204"/>
      <c r="BL114" s="210"/>
      <c r="BM114" s="204"/>
      <c r="BN114" s="210"/>
      <c r="BO114" s="204"/>
      <c r="BP114" s="204"/>
      <c r="BQ114" s="204"/>
      <c r="BR114" s="210"/>
      <c r="BS114" s="204"/>
      <c r="BT114" s="210"/>
      <c r="BU114" s="204"/>
      <c r="BV114" s="204"/>
      <c r="BW114" s="204"/>
      <c r="BX114" s="210"/>
      <c r="BY114" s="204"/>
      <c r="BZ114" s="210"/>
      <c r="CA114" s="204"/>
      <c r="CB114" s="204"/>
      <c r="CC114" s="204"/>
      <c r="CD114" s="210"/>
      <c r="CE114" s="204"/>
      <c r="CF114" s="210"/>
      <c r="CG114" s="204"/>
      <c r="CH114" s="204"/>
      <c r="CI114" s="204"/>
      <c r="CJ114" s="204"/>
    </row>
    <row r="115" spans="1:88" x14ac:dyDescent="0.5">
      <c r="A115" s="227">
        <v>20086657</v>
      </c>
      <c r="B115" s="22">
        <v>20080704</v>
      </c>
      <c r="C115" s="55"/>
      <c r="D115" s="56"/>
      <c r="E115" s="910"/>
      <c r="F115" s="57"/>
      <c r="G115" s="58"/>
      <c r="H115" s="59"/>
      <c r="I115" s="60"/>
      <c r="J115" s="269"/>
      <c r="K115" s="59"/>
      <c r="L115" s="22" t="s">
        <v>4206</v>
      </c>
      <c r="M115" s="28" t="s">
        <v>4207</v>
      </c>
      <c r="N115" s="22" t="s">
        <v>1523</v>
      </c>
      <c r="O115" s="29">
        <v>3500</v>
      </c>
      <c r="P115" s="29">
        <f t="shared" si="192"/>
        <v>245</v>
      </c>
      <c r="Q115" s="29">
        <f t="shared" si="193"/>
        <v>3745</v>
      </c>
      <c r="R115" s="61"/>
      <c r="S115" s="96"/>
      <c r="T115" s="97"/>
      <c r="U115" s="98"/>
      <c r="V115" s="1225"/>
      <c r="W115" s="1225"/>
      <c r="X115" s="100"/>
      <c r="Y115" s="1225"/>
      <c r="Z115" s="1225"/>
      <c r="AA115" s="1225"/>
      <c r="AB115" s="1225"/>
      <c r="AC115" s="100"/>
      <c r="AD115" s="595"/>
      <c r="AE115" s="40">
        <v>20080235</v>
      </c>
      <c r="AF115" s="1186" t="s">
        <v>3423</v>
      </c>
      <c r="AG115" s="41">
        <v>3500</v>
      </c>
      <c r="AH115" s="63">
        <f t="shared" si="194"/>
        <v>245</v>
      </c>
      <c r="AI115" s="52">
        <f t="shared" si="195"/>
        <v>3745</v>
      </c>
      <c r="AJ115" s="53">
        <v>44074</v>
      </c>
      <c r="AK115" s="39" t="s">
        <v>3423</v>
      </c>
      <c r="AL115" s="39"/>
      <c r="AM115" s="39"/>
      <c r="AN115" s="21" t="s">
        <v>4332</v>
      </c>
      <c r="AO115" s="1699">
        <v>1</v>
      </c>
      <c r="AP115" s="45" t="s">
        <v>1210</v>
      </c>
      <c r="AQ115" s="46"/>
      <c r="AR115" s="46"/>
      <c r="AS115" s="47">
        <v>1</v>
      </c>
      <c r="AT115" s="102"/>
      <c r="AU115" s="1701"/>
      <c r="AV115" s="54"/>
      <c r="AW115" s="1701"/>
      <c r="AX115" s="1701"/>
      <c r="AY115" s="1701"/>
      <c r="AZ115" s="54"/>
      <c r="BA115" s="1701"/>
      <c r="BB115" s="54"/>
      <c r="BC115" s="1701"/>
      <c r="BD115" s="1701"/>
      <c r="BE115" s="1701"/>
      <c r="BF115" s="54"/>
      <c r="BG115" s="1701"/>
      <c r="BH115" s="54"/>
      <c r="BI115" s="1701"/>
      <c r="BJ115" s="1701"/>
      <c r="BK115" s="1701"/>
      <c r="BL115" s="54"/>
      <c r="BM115" s="1701"/>
      <c r="BN115" s="54"/>
      <c r="BO115" s="1701"/>
      <c r="BP115" s="1701"/>
      <c r="BQ115" s="1701"/>
      <c r="BR115" s="54"/>
      <c r="BS115" s="1701"/>
      <c r="BT115" s="54"/>
      <c r="BU115" s="1701"/>
      <c r="BV115" s="1701"/>
      <c r="BW115" s="1701"/>
      <c r="BX115" s="54"/>
      <c r="BY115" s="1701"/>
      <c r="BZ115" s="54"/>
      <c r="CA115" s="1701"/>
      <c r="CB115" s="1701"/>
      <c r="CC115" s="1701"/>
      <c r="CD115" s="54"/>
      <c r="CE115" s="1701"/>
      <c r="CF115" s="54"/>
      <c r="CG115" s="1701"/>
      <c r="CH115" s="1701"/>
      <c r="CI115" s="1701"/>
      <c r="CJ115" s="1701"/>
    </row>
    <row r="116" spans="1:88" x14ac:dyDescent="0.5">
      <c r="A116" s="21">
        <v>20086656</v>
      </c>
      <c r="B116" s="22">
        <v>20080703</v>
      </c>
      <c r="C116" s="55"/>
      <c r="D116" s="56"/>
      <c r="E116" s="884">
        <v>44082</v>
      </c>
      <c r="F116" s="57"/>
      <c r="G116" s="58"/>
      <c r="H116" s="59"/>
      <c r="I116" s="60"/>
      <c r="J116" s="931" t="s">
        <v>3423</v>
      </c>
      <c r="K116" s="957">
        <v>44109</v>
      </c>
      <c r="L116" s="22" t="s">
        <v>4182</v>
      </c>
      <c r="M116" s="28" t="s">
        <v>348</v>
      </c>
      <c r="N116" s="22" t="s">
        <v>51</v>
      </c>
      <c r="O116" s="29">
        <v>13000</v>
      </c>
      <c r="P116" s="29">
        <f t="shared" si="182"/>
        <v>910</v>
      </c>
      <c r="Q116" s="29">
        <f t="shared" si="183"/>
        <v>13910</v>
      </c>
      <c r="R116" s="61"/>
      <c r="S116" s="96"/>
      <c r="T116" s="97"/>
      <c r="U116" s="98"/>
      <c r="V116" s="1225"/>
      <c r="W116" s="1225"/>
      <c r="X116" s="100"/>
      <c r="Y116" s="1225"/>
      <c r="Z116" s="1225"/>
      <c r="AA116" s="1225"/>
      <c r="AB116" s="1225"/>
      <c r="AC116" s="100"/>
      <c r="AD116" s="595"/>
      <c r="AE116" s="40">
        <v>20100263</v>
      </c>
      <c r="AF116" s="1186" t="s">
        <v>3423</v>
      </c>
      <c r="AG116" s="41">
        <v>13000</v>
      </c>
      <c r="AH116" s="63">
        <f t="shared" si="190"/>
        <v>910</v>
      </c>
      <c r="AI116" s="52">
        <f t="shared" si="191"/>
        <v>13910</v>
      </c>
      <c r="AJ116" s="53">
        <v>44109</v>
      </c>
      <c r="AK116" s="39"/>
      <c r="AL116" s="39"/>
      <c r="AM116" s="39" t="s">
        <v>3423</v>
      </c>
      <c r="AN116" s="21" t="s">
        <v>4298</v>
      </c>
      <c r="AO116" s="1699">
        <v>1</v>
      </c>
      <c r="AP116" s="45" t="s">
        <v>4183</v>
      </c>
      <c r="AQ116" s="46"/>
      <c r="AR116" s="46"/>
      <c r="AS116" s="47">
        <v>1</v>
      </c>
      <c r="AT116" s="48" t="s">
        <v>628</v>
      </c>
      <c r="AU116" s="1699"/>
      <c r="AV116" s="54"/>
      <c r="AW116" s="1699"/>
      <c r="AX116" s="1699"/>
      <c r="AY116" s="1699"/>
      <c r="AZ116" s="54"/>
      <c r="BA116" s="1699"/>
      <c r="BB116" s="54"/>
      <c r="BC116" s="1699"/>
      <c r="BD116" s="1699"/>
      <c r="BE116" s="1699"/>
      <c r="BF116" s="54"/>
      <c r="BG116" s="1699"/>
      <c r="BH116" s="54"/>
      <c r="BI116" s="1699"/>
      <c r="BJ116" s="1699"/>
      <c r="BK116" s="1699"/>
      <c r="BL116" s="54"/>
      <c r="BM116" s="1699"/>
      <c r="BN116" s="54"/>
      <c r="BO116" s="1699"/>
      <c r="BP116" s="1699"/>
      <c r="BQ116" s="1699"/>
      <c r="BR116" s="54"/>
      <c r="BS116" s="1699"/>
      <c r="BT116" s="54"/>
      <c r="BU116" s="1699"/>
      <c r="BV116" s="1699"/>
      <c r="BW116" s="1699"/>
      <c r="BX116" s="54"/>
      <c r="BY116" s="1699"/>
      <c r="BZ116" s="54"/>
      <c r="CA116" s="1699"/>
      <c r="CB116" s="1699"/>
      <c r="CC116" s="1699"/>
      <c r="CD116" s="54"/>
      <c r="CE116" s="1699"/>
      <c r="CF116" s="54"/>
      <c r="CG116" s="1699"/>
      <c r="CH116" s="1699"/>
      <c r="CI116" s="1699"/>
      <c r="CJ116" s="1699"/>
    </row>
    <row r="117" spans="1:88" x14ac:dyDescent="0.5">
      <c r="A117" s="103">
        <v>20086655</v>
      </c>
      <c r="B117" s="104">
        <v>20080702</v>
      </c>
      <c r="C117" s="1243" t="s">
        <v>2425</v>
      </c>
      <c r="D117" s="1244" t="s">
        <v>2691</v>
      </c>
      <c r="E117" s="302">
        <v>44099</v>
      </c>
      <c r="F117" s="936" t="s">
        <v>3368</v>
      </c>
      <c r="G117" s="937" t="s">
        <v>2542</v>
      </c>
      <c r="H117" s="914">
        <v>44118</v>
      </c>
      <c r="I117" s="1315">
        <v>63241</v>
      </c>
      <c r="J117" s="960" t="s">
        <v>3423</v>
      </c>
      <c r="K117" s="965">
        <v>44123</v>
      </c>
      <c r="L117" s="104" t="s">
        <v>4184</v>
      </c>
      <c r="M117" s="110" t="s">
        <v>4185</v>
      </c>
      <c r="N117" s="104" t="s">
        <v>50</v>
      </c>
      <c r="O117" s="111">
        <v>1076000</v>
      </c>
      <c r="P117" s="111">
        <f t="shared" ref="P117:P124" si="202">O117*7/100</f>
        <v>75320</v>
      </c>
      <c r="Q117" s="111">
        <f t="shared" ref="Q117:Q124" si="203">O117+P117</f>
        <v>1151320</v>
      </c>
      <c r="R117" s="212"/>
      <c r="S117" s="165"/>
      <c r="T117" s="166">
        <f t="shared" ref="T117:T122" si="204">O117-R117</f>
        <v>1076000</v>
      </c>
      <c r="U117" s="167"/>
      <c r="V117" s="1302">
        <f t="shared" ref="V117:V122" si="205">T117*U117/100</f>
        <v>0</v>
      </c>
      <c r="W117" s="1245">
        <v>55.42</v>
      </c>
      <c r="X117" s="1246">
        <f t="shared" ref="X117:X122" si="206">T117-V117</f>
        <v>1076000</v>
      </c>
      <c r="Y117" s="1247">
        <f t="shared" ref="Y117:Y122" si="207">SUM((50-W117)/(100)*(2.5)+(0.5))</f>
        <v>0.36449999999999994</v>
      </c>
      <c r="Z117" s="1247">
        <f>1076000*0.36/100</f>
        <v>3873.6</v>
      </c>
      <c r="AA117" s="1265">
        <v>0.5</v>
      </c>
      <c r="AB117" s="1265">
        <f t="shared" si="0"/>
        <v>5380</v>
      </c>
      <c r="AC117" s="231"/>
      <c r="AD117" s="1309">
        <f t="shared" ref="AD117:AD122" si="208">X117*AC117/100</f>
        <v>0</v>
      </c>
      <c r="AE117" s="123">
        <v>20100286</v>
      </c>
      <c r="AF117" s="1249"/>
      <c r="AG117" s="124">
        <v>322800</v>
      </c>
      <c r="AH117" s="260">
        <f t="shared" ref="AH117:AH124" si="209">AG117*7/100</f>
        <v>22596</v>
      </c>
      <c r="AI117" s="125">
        <f t="shared" ref="AI117:AI124" si="210">AG117+AH117</f>
        <v>345396</v>
      </c>
      <c r="AJ117" s="126">
        <v>44131</v>
      </c>
      <c r="AK117" s="127"/>
      <c r="AL117" s="127"/>
      <c r="AM117" s="127" t="s">
        <v>3423</v>
      </c>
      <c r="AN117" s="103" t="s">
        <v>4481</v>
      </c>
      <c r="AO117" s="128">
        <v>1</v>
      </c>
      <c r="AP117" s="129" t="s">
        <v>4186</v>
      </c>
      <c r="AQ117" s="130" t="s">
        <v>3423</v>
      </c>
      <c r="AR117" s="130"/>
      <c r="AS117" s="131">
        <v>4</v>
      </c>
      <c r="AT117" s="132" t="s">
        <v>636</v>
      </c>
      <c r="AU117" s="128"/>
      <c r="AV117" s="133"/>
      <c r="AW117" s="128"/>
      <c r="AX117" s="128"/>
      <c r="AY117" s="128"/>
      <c r="AZ117" s="133"/>
      <c r="BA117" s="128"/>
      <c r="BB117" s="133"/>
      <c r="BC117" s="128"/>
      <c r="BD117" s="128"/>
      <c r="BE117" s="128"/>
      <c r="BF117" s="133"/>
      <c r="BG117" s="128"/>
      <c r="BH117" s="133"/>
      <c r="BI117" s="128"/>
      <c r="BJ117" s="128"/>
      <c r="BK117" s="128"/>
      <c r="BL117" s="133"/>
      <c r="BM117" s="128"/>
      <c r="BN117" s="133"/>
      <c r="BO117" s="128"/>
      <c r="BP117" s="128"/>
      <c r="BQ117" s="128"/>
      <c r="BR117" s="133"/>
      <c r="BS117" s="128"/>
      <c r="BT117" s="133"/>
      <c r="BU117" s="128"/>
      <c r="BV117" s="128"/>
      <c r="BW117" s="128"/>
      <c r="BX117" s="133"/>
      <c r="BY117" s="128"/>
      <c r="BZ117" s="133"/>
      <c r="CA117" s="128"/>
      <c r="CB117" s="128"/>
      <c r="CC117" s="128"/>
      <c r="CD117" s="133"/>
      <c r="CE117" s="128"/>
      <c r="CF117" s="133"/>
      <c r="CG117" s="128"/>
      <c r="CH117" s="128"/>
      <c r="CI117" s="128"/>
      <c r="CJ117" s="128"/>
    </row>
    <row r="118" spans="1:88" x14ac:dyDescent="0.5">
      <c r="A118" s="134"/>
      <c r="B118" s="135"/>
      <c r="C118" s="1290"/>
      <c r="D118" s="1291"/>
      <c r="E118" s="906"/>
      <c r="F118" s="940"/>
      <c r="G118" s="941"/>
      <c r="H118" s="1316">
        <v>44118</v>
      </c>
      <c r="I118" s="1317">
        <v>63242</v>
      </c>
      <c r="J118" s="963"/>
      <c r="K118" s="154"/>
      <c r="L118" s="135" t="s">
        <v>4379</v>
      </c>
      <c r="M118" s="141"/>
      <c r="N118" s="135"/>
      <c r="O118" s="142"/>
      <c r="P118" s="142"/>
      <c r="Q118" s="142"/>
      <c r="R118" s="213"/>
      <c r="S118" s="172"/>
      <c r="T118" s="173"/>
      <c r="U118" s="174"/>
      <c r="V118" s="1296"/>
      <c r="W118" s="1293"/>
      <c r="X118" s="1294"/>
      <c r="Y118" s="1295"/>
      <c r="Z118" s="1295"/>
      <c r="AA118" s="1308"/>
      <c r="AB118" s="1308"/>
      <c r="AC118" s="282"/>
      <c r="AD118" s="1311"/>
      <c r="AE118" s="154">
        <v>20100287</v>
      </c>
      <c r="AF118" s="1298"/>
      <c r="AG118" s="155">
        <v>753200</v>
      </c>
      <c r="AH118" s="253">
        <f t="shared" si="209"/>
        <v>52724</v>
      </c>
      <c r="AI118" s="156">
        <f t="shared" si="210"/>
        <v>805924</v>
      </c>
      <c r="AJ118" s="157">
        <v>44161</v>
      </c>
      <c r="AK118" s="152"/>
      <c r="AL118" s="152"/>
      <c r="AM118" s="152" t="s">
        <v>3423</v>
      </c>
      <c r="AN118" s="134" t="s">
        <v>4481</v>
      </c>
      <c r="AO118" s="158"/>
      <c r="AP118" s="159"/>
      <c r="AQ118" s="160"/>
      <c r="AR118" s="160"/>
      <c r="AS118" s="161"/>
      <c r="AT118" s="162"/>
      <c r="AU118" s="158"/>
      <c r="AV118" s="163"/>
      <c r="AW118" s="158"/>
      <c r="AX118" s="158"/>
      <c r="AY118" s="158"/>
      <c r="AZ118" s="163"/>
      <c r="BA118" s="158"/>
      <c r="BB118" s="163"/>
      <c r="BC118" s="158"/>
      <c r="BD118" s="158"/>
      <c r="BE118" s="158"/>
      <c r="BF118" s="163"/>
      <c r="BG118" s="158"/>
      <c r="BH118" s="163"/>
      <c r="BI118" s="158"/>
      <c r="BJ118" s="158"/>
      <c r="BK118" s="158"/>
      <c r="BL118" s="163"/>
      <c r="BM118" s="158"/>
      <c r="BN118" s="163"/>
      <c r="BO118" s="158"/>
      <c r="BP118" s="158"/>
      <c r="BQ118" s="158"/>
      <c r="BR118" s="163"/>
      <c r="BS118" s="158"/>
      <c r="BT118" s="163"/>
      <c r="BU118" s="158"/>
      <c r="BV118" s="158"/>
      <c r="BW118" s="158"/>
      <c r="BX118" s="163"/>
      <c r="BY118" s="158"/>
      <c r="BZ118" s="163"/>
      <c r="CA118" s="158"/>
      <c r="CB118" s="158"/>
      <c r="CC118" s="158"/>
      <c r="CD118" s="163"/>
      <c r="CE118" s="158"/>
      <c r="CF118" s="163"/>
      <c r="CG118" s="158"/>
      <c r="CH118" s="158"/>
      <c r="CI118" s="158"/>
      <c r="CJ118" s="158"/>
    </row>
    <row r="119" spans="1:88" x14ac:dyDescent="0.5">
      <c r="A119" s="134"/>
      <c r="B119" s="135"/>
      <c r="C119" s="1290"/>
      <c r="D119" s="1291"/>
      <c r="E119" s="906"/>
      <c r="F119" s="940"/>
      <c r="G119" s="941"/>
      <c r="H119" s="906">
        <v>44118</v>
      </c>
      <c r="I119" s="1138">
        <v>63243</v>
      </c>
      <c r="J119" s="963"/>
      <c r="K119" s="154"/>
      <c r="L119" s="135"/>
      <c r="M119" s="141"/>
      <c r="N119" s="135"/>
      <c r="O119" s="142"/>
      <c r="P119" s="142"/>
      <c r="Q119" s="142"/>
      <c r="R119" s="213"/>
      <c r="S119" s="172"/>
      <c r="T119" s="173"/>
      <c r="U119" s="174"/>
      <c r="V119" s="1296"/>
      <c r="W119" s="1293"/>
      <c r="X119" s="1294"/>
      <c r="Y119" s="1295"/>
      <c r="Z119" s="1295"/>
      <c r="AA119" s="1308"/>
      <c r="AB119" s="1308"/>
      <c r="AC119" s="282"/>
      <c r="AD119" s="1311"/>
      <c r="AE119" s="154"/>
      <c r="AF119" s="1298"/>
      <c r="AG119" s="155"/>
      <c r="AH119" s="253"/>
      <c r="AI119" s="156"/>
      <c r="AJ119" s="256"/>
      <c r="AK119" s="152"/>
      <c r="AL119" s="152"/>
      <c r="AM119" s="152"/>
      <c r="AN119" s="134"/>
      <c r="AO119" s="158"/>
      <c r="AP119" s="159"/>
      <c r="AQ119" s="160"/>
      <c r="AR119" s="160"/>
      <c r="AS119" s="161"/>
      <c r="AT119" s="162"/>
      <c r="AU119" s="158"/>
      <c r="AV119" s="163"/>
      <c r="AW119" s="158"/>
      <c r="AX119" s="158"/>
      <c r="AY119" s="158"/>
      <c r="AZ119" s="163"/>
      <c r="BA119" s="158"/>
      <c r="BB119" s="163"/>
      <c r="BC119" s="158"/>
      <c r="BD119" s="158"/>
      <c r="BE119" s="158"/>
      <c r="BF119" s="163"/>
      <c r="BG119" s="158"/>
      <c r="BH119" s="163"/>
      <c r="BI119" s="158"/>
      <c r="BJ119" s="158"/>
      <c r="BK119" s="158"/>
      <c r="BL119" s="163"/>
      <c r="BM119" s="158"/>
      <c r="BN119" s="163"/>
      <c r="BO119" s="158"/>
      <c r="BP119" s="158"/>
      <c r="BQ119" s="158"/>
      <c r="BR119" s="163"/>
      <c r="BS119" s="158"/>
      <c r="BT119" s="163"/>
      <c r="BU119" s="158"/>
      <c r="BV119" s="158"/>
      <c r="BW119" s="158"/>
      <c r="BX119" s="163"/>
      <c r="BY119" s="158"/>
      <c r="BZ119" s="163"/>
      <c r="CA119" s="158"/>
      <c r="CB119" s="158"/>
      <c r="CC119" s="158"/>
      <c r="CD119" s="163"/>
      <c r="CE119" s="158"/>
      <c r="CF119" s="163"/>
      <c r="CG119" s="158"/>
      <c r="CH119" s="158"/>
      <c r="CI119" s="158"/>
      <c r="CJ119" s="158"/>
    </row>
    <row r="120" spans="1:88" x14ac:dyDescent="0.5">
      <c r="A120" s="134"/>
      <c r="B120" s="135"/>
      <c r="C120" s="1290"/>
      <c r="D120" s="1291"/>
      <c r="E120" s="906"/>
      <c r="F120" s="940"/>
      <c r="G120" s="941"/>
      <c r="H120" s="906">
        <v>44118</v>
      </c>
      <c r="I120" s="1138">
        <v>63244</v>
      </c>
      <c r="J120" s="963"/>
      <c r="K120" s="154"/>
      <c r="L120" s="135"/>
      <c r="M120" s="141"/>
      <c r="N120" s="135"/>
      <c r="O120" s="142"/>
      <c r="P120" s="142"/>
      <c r="Q120" s="142"/>
      <c r="R120" s="213"/>
      <c r="S120" s="172"/>
      <c r="T120" s="173"/>
      <c r="U120" s="174"/>
      <c r="V120" s="1296"/>
      <c r="W120" s="1293"/>
      <c r="X120" s="1294"/>
      <c r="Y120" s="1295"/>
      <c r="Z120" s="1295"/>
      <c r="AA120" s="1308"/>
      <c r="AB120" s="1308"/>
      <c r="AC120" s="282"/>
      <c r="AD120" s="1311"/>
      <c r="AE120" s="154"/>
      <c r="AF120" s="1298"/>
      <c r="AG120" s="155"/>
      <c r="AH120" s="253"/>
      <c r="AI120" s="156"/>
      <c r="AJ120" s="256"/>
      <c r="AK120" s="152"/>
      <c r="AL120" s="152"/>
      <c r="AM120" s="152"/>
      <c r="AN120" s="134"/>
      <c r="AO120" s="158"/>
      <c r="AP120" s="159"/>
      <c r="AQ120" s="160"/>
      <c r="AR120" s="160"/>
      <c r="AS120" s="161"/>
      <c r="AT120" s="162"/>
      <c r="AU120" s="158"/>
      <c r="AV120" s="163"/>
      <c r="AW120" s="158"/>
      <c r="AX120" s="158"/>
      <c r="AY120" s="158"/>
      <c r="AZ120" s="163"/>
      <c r="BA120" s="158"/>
      <c r="BB120" s="163"/>
      <c r="BC120" s="158"/>
      <c r="BD120" s="158"/>
      <c r="BE120" s="158"/>
      <c r="BF120" s="163"/>
      <c r="BG120" s="158"/>
      <c r="BH120" s="163"/>
      <c r="BI120" s="158"/>
      <c r="BJ120" s="158"/>
      <c r="BK120" s="158"/>
      <c r="BL120" s="163"/>
      <c r="BM120" s="158"/>
      <c r="BN120" s="163"/>
      <c r="BO120" s="158"/>
      <c r="BP120" s="158"/>
      <c r="BQ120" s="158"/>
      <c r="BR120" s="163"/>
      <c r="BS120" s="158"/>
      <c r="BT120" s="163"/>
      <c r="BU120" s="158"/>
      <c r="BV120" s="158"/>
      <c r="BW120" s="158"/>
      <c r="BX120" s="163"/>
      <c r="BY120" s="158"/>
      <c r="BZ120" s="163"/>
      <c r="CA120" s="158"/>
      <c r="CB120" s="158"/>
      <c r="CC120" s="158"/>
      <c r="CD120" s="163"/>
      <c r="CE120" s="158"/>
      <c r="CF120" s="163"/>
      <c r="CG120" s="158"/>
      <c r="CH120" s="158"/>
      <c r="CI120" s="158"/>
      <c r="CJ120" s="158"/>
    </row>
    <row r="121" spans="1:88" x14ac:dyDescent="0.5">
      <c r="A121" s="180"/>
      <c r="B121" s="181"/>
      <c r="C121" s="1236"/>
      <c r="D121" s="1237"/>
      <c r="E121" s="749"/>
      <c r="F121" s="938"/>
      <c r="G121" s="939"/>
      <c r="H121" s="749">
        <v>44118</v>
      </c>
      <c r="I121" s="1125">
        <v>63245</v>
      </c>
      <c r="J121" s="961"/>
      <c r="K121" s="200"/>
      <c r="L121" s="181"/>
      <c r="M121" s="188"/>
      <c r="N121" s="181"/>
      <c r="O121" s="189"/>
      <c r="P121" s="189"/>
      <c r="Q121" s="189"/>
      <c r="R121" s="214"/>
      <c r="S121" s="191"/>
      <c r="T121" s="192"/>
      <c r="U121" s="193"/>
      <c r="V121" s="1254"/>
      <c r="W121" s="1238"/>
      <c r="X121" s="1239"/>
      <c r="Y121" s="1240"/>
      <c r="Z121" s="1240"/>
      <c r="AA121" s="1263"/>
      <c r="AB121" s="1263"/>
      <c r="AC121" s="235"/>
      <c r="AD121" s="1303"/>
      <c r="AE121" s="200"/>
      <c r="AF121" s="1242"/>
      <c r="AG121" s="201"/>
      <c r="AH121" s="237"/>
      <c r="AI121" s="202"/>
      <c r="AJ121" s="241"/>
      <c r="AK121" s="199"/>
      <c r="AL121" s="199"/>
      <c r="AM121" s="199"/>
      <c r="AN121" s="180"/>
      <c r="AO121" s="204"/>
      <c r="AP121" s="205"/>
      <c r="AQ121" s="206"/>
      <c r="AR121" s="206"/>
      <c r="AS121" s="207"/>
      <c r="AT121" s="208"/>
      <c r="AU121" s="204"/>
      <c r="AV121" s="210"/>
      <c r="AW121" s="204"/>
      <c r="AX121" s="204"/>
      <c r="AY121" s="204"/>
      <c r="AZ121" s="210"/>
      <c r="BA121" s="204"/>
      <c r="BB121" s="210"/>
      <c r="BC121" s="204"/>
      <c r="BD121" s="204"/>
      <c r="BE121" s="204"/>
      <c r="BF121" s="210"/>
      <c r="BG121" s="204"/>
      <c r="BH121" s="210"/>
      <c r="BI121" s="204"/>
      <c r="BJ121" s="204"/>
      <c r="BK121" s="204"/>
      <c r="BL121" s="210"/>
      <c r="BM121" s="204"/>
      <c r="BN121" s="210"/>
      <c r="BO121" s="204"/>
      <c r="BP121" s="204"/>
      <c r="BQ121" s="204"/>
      <c r="BR121" s="210"/>
      <c r="BS121" s="204"/>
      <c r="BT121" s="210"/>
      <c r="BU121" s="204"/>
      <c r="BV121" s="204"/>
      <c r="BW121" s="204"/>
      <c r="BX121" s="210"/>
      <c r="BY121" s="204"/>
      <c r="BZ121" s="210"/>
      <c r="CA121" s="204"/>
      <c r="CB121" s="204"/>
      <c r="CC121" s="204"/>
      <c r="CD121" s="210"/>
      <c r="CE121" s="204"/>
      <c r="CF121" s="210"/>
      <c r="CG121" s="204"/>
      <c r="CH121" s="204"/>
      <c r="CI121" s="204"/>
      <c r="CJ121" s="204"/>
    </row>
    <row r="122" spans="1:88" s="95" customFormat="1" x14ac:dyDescent="0.5">
      <c r="A122" s="65">
        <v>20086654</v>
      </c>
      <c r="B122" s="66">
        <v>20080698</v>
      </c>
      <c r="C122" s="327" t="s">
        <v>2400</v>
      </c>
      <c r="D122" s="328" t="s">
        <v>2691</v>
      </c>
      <c r="E122" s="905">
        <v>44162</v>
      </c>
      <c r="F122" s="934"/>
      <c r="G122" s="935"/>
      <c r="H122" s="326"/>
      <c r="I122" s="331"/>
      <c r="J122" s="958"/>
      <c r="K122" s="84"/>
      <c r="L122" s="66" t="s">
        <v>60</v>
      </c>
      <c r="M122" s="72" t="s">
        <v>4187</v>
      </c>
      <c r="N122" s="66" t="s">
        <v>52</v>
      </c>
      <c r="O122" s="73">
        <v>162000</v>
      </c>
      <c r="P122" s="73">
        <f t="shared" si="202"/>
        <v>11340</v>
      </c>
      <c r="Q122" s="73">
        <f t="shared" si="203"/>
        <v>173340</v>
      </c>
      <c r="R122" s="318"/>
      <c r="S122" s="75" t="s">
        <v>4213</v>
      </c>
      <c r="T122" s="76">
        <f t="shared" si="204"/>
        <v>162000</v>
      </c>
      <c r="U122" s="77">
        <v>5</v>
      </c>
      <c r="V122" s="1370">
        <f t="shared" si="205"/>
        <v>8100</v>
      </c>
      <c r="W122" s="1420">
        <v>54.92</v>
      </c>
      <c r="X122" s="1421">
        <f t="shared" si="206"/>
        <v>153900</v>
      </c>
      <c r="Y122" s="1422">
        <f t="shared" si="207"/>
        <v>0.37699999999999995</v>
      </c>
      <c r="Z122" s="1422">
        <f>153900*0.38/100</f>
        <v>584.82000000000005</v>
      </c>
      <c r="AA122" s="1321"/>
      <c r="AB122" s="1321">
        <f t="shared" si="0"/>
        <v>0</v>
      </c>
      <c r="AC122" s="81">
        <v>0.2</v>
      </c>
      <c r="AD122" s="1423">
        <f t="shared" si="208"/>
        <v>307.8</v>
      </c>
      <c r="AE122" s="84"/>
      <c r="AF122" s="1323"/>
      <c r="AG122" s="85"/>
      <c r="AH122" s="590">
        <f t="shared" si="209"/>
        <v>0</v>
      </c>
      <c r="AI122" s="908">
        <f t="shared" si="210"/>
        <v>0</v>
      </c>
      <c r="AJ122" s="87"/>
      <c r="AK122" s="83"/>
      <c r="AL122" s="83"/>
      <c r="AM122" s="83"/>
      <c r="AN122" s="65"/>
      <c r="AO122" s="88">
        <v>1</v>
      </c>
      <c r="AP122" s="89" t="s">
        <v>4189</v>
      </c>
      <c r="AQ122" s="90"/>
      <c r="AR122" s="90" t="s">
        <v>3423</v>
      </c>
      <c r="AS122" s="91">
        <v>1</v>
      </c>
      <c r="AT122" s="92" t="s">
        <v>634</v>
      </c>
      <c r="AU122" s="88"/>
      <c r="AV122" s="94"/>
      <c r="AW122" s="88"/>
      <c r="AX122" s="88"/>
      <c r="AY122" s="88"/>
      <c r="AZ122" s="94"/>
      <c r="BA122" s="88"/>
      <c r="BB122" s="94"/>
      <c r="BC122" s="88"/>
      <c r="BD122" s="88"/>
      <c r="BE122" s="88"/>
      <c r="BF122" s="94"/>
      <c r="BG122" s="88"/>
      <c r="BH122" s="94"/>
      <c r="BI122" s="88"/>
      <c r="BJ122" s="88"/>
      <c r="BK122" s="88"/>
      <c r="BL122" s="94"/>
      <c r="BM122" s="88"/>
      <c r="BN122" s="94"/>
      <c r="BO122" s="88"/>
      <c r="BP122" s="88"/>
      <c r="BQ122" s="88"/>
      <c r="BR122" s="94"/>
      <c r="BS122" s="88"/>
      <c r="BT122" s="94"/>
      <c r="BU122" s="88"/>
      <c r="BV122" s="88"/>
      <c r="BW122" s="88"/>
      <c r="BX122" s="94"/>
      <c r="BY122" s="88"/>
      <c r="BZ122" s="94"/>
      <c r="CA122" s="88"/>
      <c r="CB122" s="88"/>
      <c r="CC122" s="88"/>
      <c r="CD122" s="94"/>
      <c r="CE122" s="88"/>
      <c r="CF122" s="94"/>
      <c r="CG122" s="88"/>
      <c r="CH122" s="88"/>
      <c r="CI122" s="88"/>
      <c r="CJ122" s="88"/>
    </row>
    <row r="123" spans="1:88" x14ac:dyDescent="0.5">
      <c r="A123" s="21">
        <v>20086653</v>
      </c>
      <c r="B123" s="22">
        <v>20080700</v>
      </c>
      <c r="C123" s="1019" t="s">
        <v>2408</v>
      </c>
      <c r="D123" s="1020" t="s">
        <v>2691</v>
      </c>
      <c r="E123" s="884">
        <v>44109</v>
      </c>
      <c r="F123" s="932" t="s">
        <v>3368</v>
      </c>
      <c r="G123" s="933" t="s">
        <v>2546</v>
      </c>
      <c r="H123" s="884">
        <v>44116</v>
      </c>
      <c r="I123" s="1021">
        <v>63240</v>
      </c>
      <c r="J123" s="931" t="s">
        <v>1205</v>
      </c>
      <c r="K123" s="957">
        <v>44116</v>
      </c>
      <c r="L123" s="22" t="s">
        <v>119</v>
      </c>
      <c r="M123" s="28" t="s">
        <v>160</v>
      </c>
      <c r="N123" s="22" t="s">
        <v>51</v>
      </c>
      <c r="O123" s="29">
        <v>308000</v>
      </c>
      <c r="P123" s="29">
        <f t="shared" si="202"/>
        <v>21560</v>
      </c>
      <c r="Q123" s="29">
        <f t="shared" si="203"/>
        <v>329560</v>
      </c>
      <c r="R123" s="61"/>
      <c r="S123" s="96"/>
      <c r="T123" s="97"/>
      <c r="U123" s="98"/>
      <c r="V123" s="1225"/>
      <c r="W123" s="1225"/>
      <c r="X123" s="100"/>
      <c r="Y123" s="1225"/>
      <c r="Z123" s="1225"/>
      <c r="AA123" s="1225"/>
      <c r="AB123" s="1225"/>
      <c r="AC123" s="100"/>
      <c r="AD123" s="595"/>
      <c r="AE123" s="40">
        <v>20100173</v>
      </c>
      <c r="AF123" s="1186" t="s">
        <v>1205</v>
      </c>
      <c r="AG123" s="41">
        <v>220000</v>
      </c>
      <c r="AH123" s="63">
        <f t="shared" si="209"/>
        <v>15400</v>
      </c>
      <c r="AI123" s="52">
        <f t="shared" si="210"/>
        <v>235400</v>
      </c>
      <c r="AJ123" s="53">
        <v>44134</v>
      </c>
      <c r="AK123" s="39" t="s">
        <v>3423</v>
      </c>
      <c r="AL123" s="39"/>
      <c r="AM123" s="39"/>
      <c r="AN123" s="21"/>
      <c r="AO123" s="1699">
        <v>1</v>
      </c>
      <c r="AP123" s="45" t="s">
        <v>4190</v>
      </c>
      <c r="AQ123" s="46"/>
      <c r="AR123" s="46" t="s">
        <v>3423</v>
      </c>
      <c r="AS123" s="47">
        <v>1</v>
      </c>
      <c r="AT123" s="48" t="s">
        <v>633</v>
      </c>
      <c r="AU123" s="1699">
        <v>2</v>
      </c>
      <c r="AV123" s="40" t="s">
        <v>4191</v>
      </c>
      <c r="AW123" s="47"/>
      <c r="AX123" s="47" t="s">
        <v>3423</v>
      </c>
      <c r="AY123" s="47">
        <v>1</v>
      </c>
      <c r="AZ123" s="49" t="s">
        <v>633</v>
      </c>
      <c r="BA123" s="1699"/>
      <c r="BB123" s="54"/>
      <c r="BC123" s="1699"/>
      <c r="BD123" s="1699"/>
      <c r="BE123" s="1699"/>
      <c r="BF123" s="54"/>
      <c r="BG123" s="1699"/>
      <c r="BH123" s="54"/>
      <c r="BI123" s="1699"/>
      <c r="BJ123" s="1699"/>
      <c r="BK123" s="1699"/>
      <c r="BL123" s="54"/>
      <c r="BM123" s="1699"/>
      <c r="BN123" s="54"/>
      <c r="BO123" s="1699"/>
      <c r="BP123" s="1699"/>
      <c r="BQ123" s="1699"/>
      <c r="BR123" s="54"/>
      <c r="BS123" s="1699"/>
      <c r="BT123" s="54"/>
      <c r="BU123" s="1699"/>
      <c r="BV123" s="1699"/>
      <c r="BW123" s="1699"/>
      <c r="BX123" s="54"/>
      <c r="BY123" s="1699"/>
      <c r="BZ123" s="54"/>
      <c r="CA123" s="1699"/>
      <c r="CB123" s="1699"/>
      <c r="CC123" s="1699"/>
      <c r="CD123" s="54"/>
      <c r="CE123" s="1699"/>
      <c r="CF123" s="54"/>
      <c r="CG123" s="1699"/>
      <c r="CH123" s="1699"/>
      <c r="CI123" s="1699"/>
      <c r="CJ123" s="1699"/>
    </row>
    <row r="124" spans="1:88" x14ac:dyDescent="0.5">
      <c r="A124" s="21">
        <v>20086652</v>
      </c>
      <c r="B124" s="22">
        <v>20080699</v>
      </c>
      <c r="C124" s="1019" t="s">
        <v>2431</v>
      </c>
      <c r="D124" s="1020" t="s">
        <v>2691</v>
      </c>
      <c r="E124" s="884">
        <v>44088</v>
      </c>
      <c r="F124" s="932" t="s">
        <v>3368</v>
      </c>
      <c r="G124" s="933" t="s">
        <v>2481</v>
      </c>
      <c r="H124" s="884">
        <v>44106</v>
      </c>
      <c r="I124" s="1021">
        <v>63234</v>
      </c>
      <c r="J124" s="931" t="s">
        <v>3423</v>
      </c>
      <c r="K124" s="957">
        <v>44105</v>
      </c>
      <c r="L124" s="22" t="s">
        <v>119</v>
      </c>
      <c r="M124" s="28" t="s">
        <v>160</v>
      </c>
      <c r="N124" s="22" t="s">
        <v>51</v>
      </c>
      <c r="O124" s="29">
        <v>67200</v>
      </c>
      <c r="P124" s="29">
        <f t="shared" si="202"/>
        <v>4704</v>
      </c>
      <c r="Q124" s="29">
        <f t="shared" si="203"/>
        <v>71904</v>
      </c>
      <c r="R124" s="61"/>
      <c r="S124" s="96"/>
      <c r="T124" s="97"/>
      <c r="U124" s="98"/>
      <c r="V124" s="1225"/>
      <c r="W124" s="1225"/>
      <c r="X124" s="100"/>
      <c r="Y124" s="1225"/>
      <c r="Z124" s="1225"/>
      <c r="AA124" s="1225"/>
      <c r="AB124" s="1225"/>
      <c r="AC124" s="100"/>
      <c r="AD124" s="595"/>
      <c r="AE124" s="40">
        <v>20100268</v>
      </c>
      <c r="AF124" s="1186" t="s">
        <v>3423</v>
      </c>
      <c r="AG124" s="41">
        <v>67200</v>
      </c>
      <c r="AH124" s="63">
        <f t="shared" si="209"/>
        <v>4704</v>
      </c>
      <c r="AI124" s="52">
        <f t="shared" si="210"/>
        <v>71904</v>
      </c>
      <c r="AJ124" s="53">
        <v>44112</v>
      </c>
      <c r="AK124" s="39" t="s">
        <v>3423</v>
      </c>
      <c r="AL124" s="39"/>
      <c r="AM124" s="39"/>
      <c r="AN124" s="21" t="s">
        <v>3415</v>
      </c>
      <c r="AO124" s="1699">
        <v>1</v>
      </c>
      <c r="AP124" s="45" t="s">
        <v>4192</v>
      </c>
      <c r="AQ124" s="46"/>
      <c r="AR124" s="46" t="s">
        <v>3423</v>
      </c>
      <c r="AS124" s="47">
        <v>1</v>
      </c>
      <c r="AT124" s="48" t="s">
        <v>633</v>
      </c>
      <c r="AU124" s="1699"/>
      <c r="AV124" s="54"/>
      <c r="AW124" s="1699"/>
      <c r="AX124" s="1699"/>
      <c r="AY124" s="1699"/>
      <c r="AZ124" s="54"/>
      <c r="BA124" s="1699"/>
      <c r="BB124" s="54"/>
      <c r="BC124" s="1699"/>
      <c r="BD124" s="1699"/>
      <c r="BE124" s="1699"/>
      <c r="BF124" s="54"/>
      <c r="BG124" s="1699"/>
      <c r="BH124" s="54"/>
      <c r="BI124" s="1699"/>
      <c r="BJ124" s="1699"/>
      <c r="BK124" s="1699"/>
      <c r="BL124" s="54"/>
      <c r="BM124" s="1699"/>
      <c r="BN124" s="54"/>
      <c r="BO124" s="1699"/>
      <c r="BP124" s="1699"/>
      <c r="BQ124" s="1699"/>
      <c r="BR124" s="54"/>
      <c r="BS124" s="1699"/>
      <c r="BT124" s="54"/>
      <c r="BU124" s="1699"/>
      <c r="BV124" s="1699"/>
      <c r="BW124" s="1699"/>
      <c r="BX124" s="54"/>
      <c r="BY124" s="1699"/>
      <c r="BZ124" s="54"/>
      <c r="CA124" s="1699"/>
      <c r="CB124" s="1699"/>
      <c r="CC124" s="1699"/>
      <c r="CD124" s="54"/>
      <c r="CE124" s="1699"/>
      <c r="CF124" s="54"/>
      <c r="CG124" s="1699"/>
      <c r="CH124" s="1699"/>
      <c r="CI124" s="1699"/>
      <c r="CJ124" s="1699"/>
    </row>
    <row r="125" spans="1:88" x14ac:dyDescent="0.5">
      <c r="A125" s="21">
        <v>20086651</v>
      </c>
      <c r="B125" s="22">
        <v>20080692</v>
      </c>
      <c r="C125" s="1019" t="s">
        <v>2374</v>
      </c>
      <c r="D125" s="1020" t="s">
        <v>2691</v>
      </c>
      <c r="E125" s="884">
        <v>44097</v>
      </c>
      <c r="F125" s="932"/>
      <c r="G125" s="933"/>
      <c r="H125" s="831"/>
      <c r="I125" s="1021"/>
      <c r="J125" s="931"/>
      <c r="K125" s="40"/>
      <c r="L125" s="22" t="s">
        <v>4193</v>
      </c>
      <c r="M125" s="28" t="s">
        <v>4194</v>
      </c>
      <c r="N125" s="22" t="s">
        <v>50</v>
      </c>
      <c r="O125" s="29">
        <v>800000</v>
      </c>
      <c r="P125" s="29">
        <f t="shared" ref="P125:P148" si="211">O125*7/100</f>
        <v>56000</v>
      </c>
      <c r="Q125" s="29">
        <f t="shared" ref="Q125:Q148" si="212">O125+P125</f>
        <v>856000</v>
      </c>
      <c r="R125" s="61"/>
      <c r="S125" s="31" t="s">
        <v>4212</v>
      </c>
      <c r="T125" s="32">
        <f t="shared" ref="T125:T148" si="213">O125-R125</f>
        <v>800000</v>
      </c>
      <c r="U125" s="98"/>
      <c r="V125" s="1251">
        <v>30000</v>
      </c>
      <c r="W125" s="1225"/>
      <c r="X125" s="1184">
        <f t="shared" ref="X125:X148" si="214">T125-V125</f>
        <v>770000</v>
      </c>
      <c r="Y125" s="1223">
        <v>1</v>
      </c>
      <c r="Z125" s="1223">
        <f>770000*1/100</f>
        <v>7700</v>
      </c>
      <c r="AA125" s="1225"/>
      <c r="AB125" s="1225">
        <f t="shared" ref="AB125:AB148" si="215">X125*AA125/100</f>
        <v>0</v>
      </c>
      <c r="AC125" s="37">
        <v>0.5</v>
      </c>
      <c r="AD125" s="1234">
        <f t="shared" ref="AD125:AD148" si="216">X125*AC125/100</f>
        <v>3850</v>
      </c>
      <c r="AE125" s="40">
        <v>20080234</v>
      </c>
      <c r="AF125" s="1186" t="s">
        <v>1205</v>
      </c>
      <c r="AG125" s="41">
        <v>240000</v>
      </c>
      <c r="AH125" s="63">
        <f t="shared" ref="AH125:AH149" si="217">AG125*7/100</f>
        <v>16800</v>
      </c>
      <c r="AI125" s="52">
        <f t="shared" ref="AI125:AI149" si="218">AG125+AH125</f>
        <v>256800</v>
      </c>
      <c r="AJ125" s="53">
        <v>44069</v>
      </c>
      <c r="AK125" s="39"/>
      <c r="AL125" s="39"/>
      <c r="AM125" s="39" t="s">
        <v>3423</v>
      </c>
      <c r="AN125" s="1368">
        <v>0.3</v>
      </c>
      <c r="AO125" s="1458">
        <v>1</v>
      </c>
      <c r="AP125" s="45" t="s">
        <v>4195</v>
      </c>
      <c r="AQ125" s="46"/>
      <c r="AR125" s="46"/>
      <c r="AS125" s="47">
        <v>1</v>
      </c>
      <c r="AT125" s="48" t="s">
        <v>1485</v>
      </c>
      <c r="AU125" s="1699"/>
      <c r="AV125" s="54"/>
      <c r="AW125" s="1699"/>
      <c r="AX125" s="1699"/>
      <c r="AY125" s="1699"/>
      <c r="AZ125" s="54"/>
      <c r="BA125" s="1699"/>
      <c r="BB125" s="54"/>
      <c r="BC125" s="1699"/>
      <c r="BD125" s="1699"/>
      <c r="BE125" s="1699"/>
      <c r="BF125" s="54"/>
      <c r="BG125" s="1699"/>
      <c r="BH125" s="54"/>
      <c r="BI125" s="1699"/>
      <c r="BJ125" s="1699"/>
      <c r="BK125" s="1699"/>
      <c r="BL125" s="54"/>
      <c r="BM125" s="1699"/>
      <c r="BN125" s="54"/>
      <c r="BO125" s="1699"/>
      <c r="BP125" s="1699"/>
      <c r="BQ125" s="1699"/>
      <c r="BR125" s="54"/>
      <c r="BS125" s="1699"/>
      <c r="BT125" s="54"/>
      <c r="BU125" s="1699"/>
      <c r="BV125" s="1699"/>
      <c r="BW125" s="1699"/>
      <c r="BX125" s="54"/>
      <c r="BY125" s="1699"/>
      <c r="BZ125" s="54"/>
      <c r="CA125" s="1699"/>
      <c r="CB125" s="1699"/>
      <c r="CC125" s="1699"/>
      <c r="CD125" s="54"/>
      <c r="CE125" s="1699"/>
      <c r="CF125" s="54"/>
      <c r="CG125" s="1699"/>
      <c r="CH125" s="1699"/>
      <c r="CI125" s="1699"/>
      <c r="CJ125" s="1699"/>
    </row>
    <row r="126" spans="1:88" x14ac:dyDescent="0.5">
      <c r="A126" s="21">
        <v>20086650</v>
      </c>
      <c r="B126" s="22">
        <v>20080694</v>
      </c>
      <c r="C126" s="1019" t="s">
        <v>2377</v>
      </c>
      <c r="D126" s="1020" t="s">
        <v>2691</v>
      </c>
      <c r="E126" s="884">
        <v>44074</v>
      </c>
      <c r="F126" s="932" t="s">
        <v>3368</v>
      </c>
      <c r="G126" s="933" t="s">
        <v>2374</v>
      </c>
      <c r="H126" s="884">
        <v>44070</v>
      </c>
      <c r="I126" s="1021">
        <v>63213</v>
      </c>
      <c r="J126" s="931" t="s">
        <v>3423</v>
      </c>
      <c r="K126" s="957">
        <v>44075</v>
      </c>
      <c r="L126" s="22" t="s">
        <v>1160</v>
      </c>
      <c r="M126" s="28" t="s">
        <v>4196</v>
      </c>
      <c r="N126" s="22" t="s">
        <v>50</v>
      </c>
      <c r="O126" s="29">
        <v>12274</v>
      </c>
      <c r="P126" s="29">
        <f t="shared" ref="P126:P147" si="219">O126*7/100</f>
        <v>859.18</v>
      </c>
      <c r="Q126" s="29">
        <f t="shared" ref="Q126:Q147" si="220">O126+P126</f>
        <v>13133.18</v>
      </c>
      <c r="R126" s="61"/>
      <c r="S126" s="96"/>
      <c r="T126" s="97">
        <f t="shared" ref="T126:T132" si="221">O126-R126</f>
        <v>12274</v>
      </c>
      <c r="U126" s="98"/>
      <c r="V126" s="1225">
        <f t="shared" ref="V126:V132" si="222">T126*U126/100</f>
        <v>0</v>
      </c>
      <c r="W126" s="1231">
        <v>62</v>
      </c>
      <c r="X126" s="1184">
        <f t="shared" ref="X126:X132" si="223">T126-V126</f>
        <v>12274</v>
      </c>
      <c r="Y126" s="1223">
        <f t="shared" ref="Y126:Y132" si="224">SUM((50-W126)/(100)*(2.5)+(0.5))</f>
        <v>0.2</v>
      </c>
      <c r="Z126" s="1223">
        <f>12274*0.2/100</f>
        <v>24.548000000000002</v>
      </c>
      <c r="AA126" s="1228">
        <v>5</v>
      </c>
      <c r="AB126" s="1228">
        <f t="shared" ref="AB126:AB132" si="225">X126*AA126/100</f>
        <v>613.70000000000005</v>
      </c>
      <c r="AC126" s="100"/>
      <c r="AD126" s="595">
        <f t="shared" ref="AD126:AD132" si="226">X126*AC126/100</f>
        <v>0</v>
      </c>
      <c r="AE126" s="40">
        <v>20090240</v>
      </c>
      <c r="AF126" s="1186" t="s">
        <v>3423</v>
      </c>
      <c r="AG126" s="41">
        <v>12274</v>
      </c>
      <c r="AH126" s="63">
        <f t="shared" ref="AH126:AH147" si="227">AG126*7/100</f>
        <v>859.18</v>
      </c>
      <c r="AI126" s="52">
        <f t="shared" ref="AI126:AI147" si="228">AG126+AH126</f>
        <v>13133.18</v>
      </c>
      <c r="AJ126" s="53">
        <v>44118</v>
      </c>
      <c r="AK126" s="39"/>
      <c r="AL126" s="39"/>
      <c r="AM126" s="39" t="s">
        <v>3423</v>
      </c>
      <c r="AN126" s="21" t="s">
        <v>4232</v>
      </c>
      <c r="AO126" s="1458">
        <v>1</v>
      </c>
      <c r="AP126" s="45" t="s">
        <v>650</v>
      </c>
      <c r="AQ126" s="46"/>
      <c r="AR126" s="46" t="s">
        <v>3423</v>
      </c>
      <c r="AS126" s="47">
        <v>1</v>
      </c>
      <c r="AT126" s="48" t="s">
        <v>634</v>
      </c>
      <c r="AU126" s="1458">
        <v>2</v>
      </c>
      <c r="AV126" s="40" t="s">
        <v>4197</v>
      </c>
      <c r="AW126" s="47"/>
      <c r="AX126" s="47" t="s">
        <v>3423</v>
      </c>
      <c r="AY126" s="47">
        <v>1</v>
      </c>
      <c r="AZ126" s="49" t="s">
        <v>636</v>
      </c>
      <c r="BA126" s="1699"/>
      <c r="BB126" s="54"/>
      <c r="BC126" s="1699"/>
      <c r="BD126" s="1699"/>
      <c r="BE126" s="1699"/>
      <c r="BF126" s="54"/>
      <c r="BG126" s="1699"/>
      <c r="BH126" s="54"/>
      <c r="BI126" s="1699"/>
      <c r="BJ126" s="1699"/>
      <c r="BK126" s="1699"/>
      <c r="BL126" s="54"/>
      <c r="BM126" s="1699"/>
      <c r="BN126" s="54"/>
      <c r="BO126" s="1699"/>
      <c r="BP126" s="1699"/>
      <c r="BQ126" s="1699"/>
      <c r="BR126" s="54"/>
      <c r="BS126" s="1699"/>
      <c r="BT126" s="54"/>
      <c r="BU126" s="1699"/>
      <c r="BV126" s="1699"/>
      <c r="BW126" s="1699"/>
      <c r="BX126" s="54"/>
      <c r="BY126" s="1699"/>
      <c r="BZ126" s="54"/>
      <c r="CA126" s="1699"/>
      <c r="CB126" s="1699"/>
      <c r="CC126" s="1699"/>
      <c r="CD126" s="54"/>
      <c r="CE126" s="1699"/>
      <c r="CF126" s="54"/>
      <c r="CG126" s="1699"/>
      <c r="CH126" s="1699"/>
      <c r="CI126" s="1699"/>
      <c r="CJ126" s="1699"/>
    </row>
    <row r="127" spans="1:88" x14ac:dyDescent="0.5">
      <c r="A127" s="21">
        <v>20086649</v>
      </c>
      <c r="B127" s="22">
        <v>20080697</v>
      </c>
      <c r="C127" s="1019" t="s">
        <v>2379</v>
      </c>
      <c r="D127" s="1020" t="s">
        <v>2691</v>
      </c>
      <c r="E127" s="884" t="s">
        <v>4198</v>
      </c>
      <c r="F127" s="932"/>
      <c r="G127" s="933"/>
      <c r="H127" s="831"/>
      <c r="I127" s="1021"/>
      <c r="J127" s="931"/>
      <c r="K127" s="40"/>
      <c r="L127" s="22" t="s">
        <v>378</v>
      </c>
      <c r="M127" s="28" t="s">
        <v>4199</v>
      </c>
      <c r="N127" s="22" t="s">
        <v>1523</v>
      </c>
      <c r="O127" s="29">
        <v>505000</v>
      </c>
      <c r="P127" s="29">
        <f t="shared" si="219"/>
        <v>35350</v>
      </c>
      <c r="Q127" s="29">
        <f t="shared" si="220"/>
        <v>540350</v>
      </c>
      <c r="R127" s="61"/>
      <c r="S127" s="31" t="s">
        <v>4211</v>
      </c>
      <c r="T127" s="32">
        <f t="shared" si="221"/>
        <v>505000</v>
      </c>
      <c r="U127" s="33">
        <v>6</v>
      </c>
      <c r="V127" s="1251">
        <f t="shared" si="222"/>
        <v>30300</v>
      </c>
      <c r="W127" s="1231">
        <v>59.3</v>
      </c>
      <c r="X127" s="1184">
        <f t="shared" si="223"/>
        <v>474700</v>
      </c>
      <c r="Y127" s="1223">
        <f t="shared" si="224"/>
        <v>0.26750000000000007</v>
      </c>
      <c r="Z127" s="1223">
        <f>474700*0.27/100</f>
        <v>1281.69</v>
      </c>
      <c r="AA127" s="1228">
        <v>0.5</v>
      </c>
      <c r="AB127" s="1228">
        <f t="shared" si="225"/>
        <v>2373.5</v>
      </c>
      <c r="AC127" s="37">
        <v>0.2</v>
      </c>
      <c r="AD127" s="1234">
        <f t="shared" si="226"/>
        <v>949.4</v>
      </c>
      <c r="AE127" s="40"/>
      <c r="AF127" s="1186"/>
      <c r="AG127" s="41"/>
      <c r="AH127" s="63">
        <f t="shared" si="227"/>
        <v>0</v>
      </c>
      <c r="AI127" s="52">
        <f t="shared" si="228"/>
        <v>0</v>
      </c>
      <c r="AJ127" s="43"/>
      <c r="AK127" s="39"/>
      <c r="AL127" s="39"/>
      <c r="AM127" s="39"/>
      <c r="AN127" s="21"/>
      <c r="AO127" s="1458">
        <v>1</v>
      </c>
      <c r="AP127" s="45" t="s">
        <v>815</v>
      </c>
      <c r="AQ127" s="46"/>
      <c r="AR127" s="46" t="s">
        <v>3423</v>
      </c>
      <c r="AS127" s="47">
        <v>2</v>
      </c>
      <c r="AT127" s="48" t="s">
        <v>636</v>
      </c>
      <c r="AU127" s="1458">
        <v>2</v>
      </c>
      <c r="AV127" s="40" t="s">
        <v>4177</v>
      </c>
      <c r="AW127" s="47"/>
      <c r="AX127" s="47" t="s">
        <v>3423</v>
      </c>
      <c r="AY127" s="47">
        <v>12</v>
      </c>
      <c r="AZ127" s="49" t="s">
        <v>634</v>
      </c>
      <c r="BA127" s="1699"/>
      <c r="BB127" s="54"/>
      <c r="BC127" s="1699"/>
      <c r="BD127" s="1699"/>
      <c r="BE127" s="1699"/>
      <c r="BF127" s="54"/>
      <c r="BG127" s="1699"/>
      <c r="BH127" s="54"/>
      <c r="BI127" s="1699"/>
      <c r="BJ127" s="1699"/>
      <c r="BK127" s="1699"/>
      <c r="BL127" s="54"/>
      <c r="BM127" s="1699"/>
      <c r="BN127" s="54"/>
      <c r="BO127" s="1699"/>
      <c r="BP127" s="1699"/>
      <c r="BQ127" s="1699"/>
      <c r="BR127" s="54"/>
      <c r="BS127" s="1699"/>
      <c r="BT127" s="54"/>
      <c r="BU127" s="1699"/>
      <c r="BV127" s="1699"/>
      <c r="BW127" s="1699"/>
      <c r="BX127" s="54"/>
      <c r="BY127" s="1699"/>
      <c r="BZ127" s="54"/>
      <c r="CA127" s="1699"/>
      <c r="CB127" s="1699"/>
      <c r="CC127" s="1699"/>
      <c r="CD127" s="54"/>
      <c r="CE127" s="1699"/>
      <c r="CF127" s="54"/>
      <c r="CG127" s="1699"/>
      <c r="CH127" s="1699"/>
      <c r="CI127" s="1699"/>
      <c r="CJ127" s="1699"/>
    </row>
    <row r="128" spans="1:88" x14ac:dyDescent="0.5">
      <c r="A128" s="103">
        <v>20086648</v>
      </c>
      <c r="B128" s="104">
        <v>20080696</v>
      </c>
      <c r="C128" s="1243" t="s">
        <v>2381</v>
      </c>
      <c r="D128" s="1244" t="s">
        <v>2691</v>
      </c>
      <c r="E128" s="302">
        <v>44133</v>
      </c>
      <c r="F128" s="936" t="s">
        <v>3368</v>
      </c>
      <c r="G128" s="937" t="s">
        <v>2574</v>
      </c>
      <c r="H128" s="302">
        <v>44147</v>
      </c>
      <c r="I128" s="1124">
        <v>63266</v>
      </c>
      <c r="J128" s="960" t="s">
        <v>3423</v>
      </c>
      <c r="K128" s="965">
        <v>44147</v>
      </c>
      <c r="L128" s="104" t="s">
        <v>4200</v>
      </c>
      <c r="M128" s="104" t="s">
        <v>4201</v>
      </c>
      <c r="N128" s="104" t="s">
        <v>1523</v>
      </c>
      <c r="O128" s="111">
        <v>63000</v>
      </c>
      <c r="P128" s="111">
        <f t="shared" ref="P128:P131" si="229">O128*7/100</f>
        <v>4410</v>
      </c>
      <c r="Q128" s="111">
        <f t="shared" ref="Q128:Q131" si="230">O128+P128</f>
        <v>67410</v>
      </c>
      <c r="R128" s="212"/>
      <c r="S128" s="113" t="s">
        <v>4210</v>
      </c>
      <c r="T128" s="114">
        <f t="shared" ref="T128" si="231">O128-R128</f>
        <v>63000</v>
      </c>
      <c r="U128" s="115">
        <v>5</v>
      </c>
      <c r="V128" s="1252">
        <f t="shared" ref="V128" si="232">T128*U128/100</f>
        <v>3150</v>
      </c>
      <c r="W128" s="1245">
        <v>59.2</v>
      </c>
      <c r="X128" s="1246">
        <f t="shared" ref="X128" si="233">T128-V128</f>
        <v>59850</v>
      </c>
      <c r="Y128" s="1247">
        <f t="shared" ref="Y128" si="234">SUM((50-W128)/(100)*(2.5)+(0.5))</f>
        <v>0.26999999999999991</v>
      </c>
      <c r="Z128" s="1247">
        <f>59850*0.27/100</f>
        <v>161.59500000000003</v>
      </c>
      <c r="AA128" s="1265">
        <v>0.5</v>
      </c>
      <c r="AB128" s="1265">
        <f t="shared" ref="AB128" si="235">X128*AA128/100</f>
        <v>299.25</v>
      </c>
      <c r="AC128" s="119">
        <v>0.2</v>
      </c>
      <c r="AD128" s="1248">
        <f t="shared" ref="AD128" si="236">X128*AC128/100</f>
        <v>119.7</v>
      </c>
      <c r="AE128" s="229">
        <v>20100290</v>
      </c>
      <c r="AF128" s="1313"/>
      <c r="AG128" s="230">
        <v>19158.88</v>
      </c>
      <c r="AH128" s="233">
        <f t="shared" ref="AH128:AH131" si="237">AG128*7/100</f>
        <v>1341.1215999999999</v>
      </c>
      <c r="AI128" s="220">
        <f t="shared" ref="AI128:AI131" si="238">AG128+AH128</f>
        <v>20500.0016</v>
      </c>
      <c r="AJ128" s="221">
        <v>44132</v>
      </c>
      <c r="AK128" s="121" t="s">
        <v>3423</v>
      </c>
      <c r="AL128" s="121"/>
      <c r="AM128" s="121"/>
      <c r="AN128" s="222"/>
      <c r="AO128" s="128">
        <v>1</v>
      </c>
      <c r="AP128" s="129" t="s">
        <v>2250</v>
      </c>
      <c r="AQ128" s="130"/>
      <c r="AR128" s="130" t="s">
        <v>3423</v>
      </c>
      <c r="AS128" s="131">
        <v>2</v>
      </c>
      <c r="AT128" s="132" t="s">
        <v>634</v>
      </c>
      <c r="AU128" s="128">
        <v>2</v>
      </c>
      <c r="AV128" s="123" t="s">
        <v>2252</v>
      </c>
      <c r="AW128" s="131"/>
      <c r="AX128" s="131" t="s">
        <v>3423</v>
      </c>
      <c r="AY128" s="131">
        <v>1</v>
      </c>
      <c r="AZ128" s="169" t="s">
        <v>634</v>
      </c>
      <c r="BA128" s="128"/>
      <c r="BB128" s="133"/>
      <c r="BC128" s="128"/>
      <c r="BD128" s="128"/>
      <c r="BE128" s="128"/>
      <c r="BF128" s="133"/>
      <c r="BG128" s="128"/>
      <c r="BH128" s="133"/>
      <c r="BI128" s="128"/>
      <c r="BJ128" s="128"/>
      <c r="BK128" s="128"/>
      <c r="BL128" s="133"/>
      <c r="BM128" s="128"/>
      <c r="BN128" s="133"/>
      <c r="BO128" s="128"/>
      <c r="BP128" s="128"/>
      <c r="BQ128" s="128"/>
      <c r="BR128" s="133"/>
      <c r="BS128" s="128"/>
      <c r="BT128" s="133"/>
      <c r="BU128" s="128"/>
      <c r="BV128" s="128"/>
      <c r="BW128" s="128"/>
      <c r="BX128" s="133"/>
      <c r="BY128" s="128"/>
      <c r="BZ128" s="133"/>
      <c r="CA128" s="128"/>
      <c r="CB128" s="128"/>
      <c r="CC128" s="128"/>
      <c r="CD128" s="133"/>
      <c r="CE128" s="128"/>
      <c r="CF128" s="133"/>
      <c r="CG128" s="128"/>
      <c r="CH128" s="128"/>
      <c r="CI128" s="128"/>
      <c r="CJ128" s="128"/>
    </row>
    <row r="129" spans="1:88" x14ac:dyDescent="0.5">
      <c r="A129" s="180"/>
      <c r="B129" s="181"/>
      <c r="C129" s="1236"/>
      <c r="D129" s="1237"/>
      <c r="E129" s="749"/>
      <c r="F129" s="938"/>
      <c r="G129" s="939"/>
      <c r="H129" s="749"/>
      <c r="I129" s="1125"/>
      <c r="J129" s="961"/>
      <c r="K129" s="966"/>
      <c r="L129" s="181"/>
      <c r="M129" s="188"/>
      <c r="N129" s="181"/>
      <c r="O129" s="189"/>
      <c r="P129" s="189"/>
      <c r="Q129" s="189"/>
      <c r="R129" s="214"/>
      <c r="S129" s="215"/>
      <c r="T129" s="216"/>
      <c r="U129" s="217"/>
      <c r="V129" s="1253"/>
      <c r="W129" s="1238"/>
      <c r="X129" s="1239"/>
      <c r="Y129" s="1240"/>
      <c r="Z129" s="1240"/>
      <c r="AA129" s="1263"/>
      <c r="AB129" s="1263"/>
      <c r="AC129" s="197"/>
      <c r="AD129" s="1241"/>
      <c r="AE129" s="200">
        <v>20110298</v>
      </c>
      <c r="AF129" s="1242" t="s">
        <v>3423</v>
      </c>
      <c r="AG129" s="201">
        <v>43841.120000000003</v>
      </c>
      <c r="AH129" s="237">
        <f t="shared" si="237"/>
        <v>3068.8784000000001</v>
      </c>
      <c r="AI129" s="202">
        <f t="shared" si="238"/>
        <v>46909.998400000004</v>
      </c>
      <c r="AJ129" s="203">
        <v>44145</v>
      </c>
      <c r="AK129" s="199" t="s">
        <v>3423</v>
      </c>
      <c r="AL129" s="199"/>
      <c r="AM129" s="199"/>
      <c r="AN129" s="180"/>
      <c r="AO129" s="204"/>
      <c r="AP129" s="205"/>
      <c r="AQ129" s="206"/>
      <c r="AR129" s="206"/>
      <c r="AS129" s="207"/>
      <c r="AT129" s="208"/>
      <c r="AU129" s="204"/>
      <c r="AV129" s="200"/>
      <c r="AW129" s="207"/>
      <c r="AX129" s="207"/>
      <c r="AY129" s="207"/>
      <c r="AZ129" s="209"/>
      <c r="BA129" s="204"/>
      <c r="BB129" s="210"/>
      <c r="BC129" s="204"/>
      <c r="BD129" s="204"/>
      <c r="BE129" s="204"/>
      <c r="BF129" s="210"/>
      <c r="BG129" s="204"/>
      <c r="BH129" s="210"/>
      <c r="BI129" s="204"/>
      <c r="BJ129" s="204"/>
      <c r="BK129" s="204"/>
      <c r="BL129" s="210"/>
      <c r="BM129" s="204"/>
      <c r="BN129" s="210"/>
      <c r="BO129" s="204"/>
      <c r="BP129" s="204"/>
      <c r="BQ129" s="204"/>
      <c r="BR129" s="210"/>
      <c r="BS129" s="204"/>
      <c r="BT129" s="210"/>
      <c r="BU129" s="204"/>
      <c r="BV129" s="204"/>
      <c r="BW129" s="204"/>
      <c r="BX129" s="210"/>
      <c r="BY129" s="204"/>
      <c r="BZ129" s="210"/>
      <c r="CA129" s="204"/>
      <c r="CB129" s="204"/>
      <c r="CC129" s="204"/>
      <c r="CD129" s="210"/>
      <c r="CE129" s="204"/>
      <c r="CF129" s="210"/>
      <c r="CG129" s="204"/>
      <c r="CH129" s="204"/>
      <c r="CI129" s="204"/>
      <c r="CJ129" s="204"/>
    </row>
    <row r="130" spans="1:88" x14ac:dyDescent="0.5">
      <c r="A130" s="21">
        <v>20086647</v>
      </c>
      <c r="B130" s="22">
        <v>20080695</v>
      </c>
      <c r="C130" s="1019" t="s">
        <v>2383</v>
      </c>
      <c r="D130" s="1020" t="s">
        <v>2691</v>
      </c>
      <c r="E130" s="884">
        <v>44077</v>
      </c>
      <c r="F130" s="932" t="s">
        <v>3368</v>
      </c>
      <c r="G130" s="933" t="s">
        <v>2431</v>
      </c>
      <c r="H130" s="884">
        <v>44070</v>
      </c>
      <c r="I130" s="1021">
        <v>63215</v>
      </c>
      <c r="J130" s="931" t="s">
        <v>3423</v>
      </c>
      <c r="K130" s="957">
        <v>44075</v>
      </c>
      <c r="L130" s="22" t="s">
        <v>15</v>
      </c>
      <c r="M130" s="28" t="s">
        <v>4074</v>
      </c>
      <c r="N130" s="22" t="s">
        <v>51</v>
      </c>
      <c r="O130" s="29">
        <v>12840</v>
      </c>
      <c r="P130" s="29">
        <f t="shared" si="229"/>
        <v>898.8</v>
      </c>
      <c r="Q130" s="29">
        <f t="shared" si="230"/>
        <v>13738.8</v>
      </c>
      <c r="R130" s="61"/>
      <c r="S130" s="96"/>
      <c r="T130" s="97"/>
      <c r="U130" s="98"/>
      <c r="V130" s="1225"/>
      <c r="W130" s="1225"/>
      <c r="X130" s="100"/>
      <c r="Y130" s="1225"/>
      <c r="Z130" s="1225"/>
      <c r="AA130" s="1225"/>
      <c r="AB130" s="1225"/>
      <c r="AC130" s="100"/>
      <c r="AD130" s="595"/>
      <c r="AE130" s="40">
        <v>20090239</v>
      </c>
      <c r="AF130" s="1186" t="s">
        <v>3423</v>
      </c>
      <c r="AG130" s="41">
        <v>12840</v>
      </c>
      <c r="AH130" s="63">
        <f t="shared" si="237"/>
        <v>898.8</v>
      </c>
      <c r="AI130" s="52">
        <f t="shared" si="238"/>
        <v>13738.8</v>
      </c>
      <c r="AJ130" s="53">
        <v>44133</v>
      </c>
      <c r="AK130" s="39"/>
      <c r="AL130" s="39"/>
      <c r="AM130" s="39" t="s">
        <v>3423</v>
      </c>
      <c r="AN130" s="21"/>
      <c r="AO130" s="1696">
        <v>1</v>
      </c>
      <c r="AP130" s="45" t="s">
        <v>4202</v>
      </c>
      <c r="AQ130" s="46" t="s">
        <v>3423</v>
      </c>
      <c r="AR130" s="46"/>
      <c r="AS130" s="47">
        <v>1</v>
      </c>
      <c r="AT130" s="48" t="s">
        <v>635</v>
      </c>
      <c r="AU130" s="1696">
        <v>2</v>
      </c>
      <c r="AV130" s="40" t="s">
        <v>4203</v>
      </c>
      <c r="AW130" s="47" t="s">
        <v>3423</v>
      </c>
      <c r="AX130" s="47"/>
      <c r="AY130" s="47">
        <v>2</v>
      </c>
      <c r="AZ130" s="49" t="s">
        <v>635</v>
      </c>
      <c r="BA130" s="1699">
        <v>3</v>
      </c>
      <c r="BB130" s="54"/>
      <c r="BC130" s="1699"/>
      <c r="BD130" s="1699"/>
      <c r="BE130" s="1699"/>
      <c r="BF130" s="54"/>
      <c r="BG130" s="1699">
        <v>4</v>
      </c>
      <c r="BH130" s="54"/>
      <c r="BI130" s="1699"/>
      <c r="BJ130" s="1699"/>
      <c r="BK130" s="1699"/>
      <c r="BL130" s="54"/>
      <c r="BM130" s="1699">
        <v>5</v>
      </c>
      <c r="BN130" s="54"/>
      <c r="BO130" s="1699"/>
      <c r="BP130" s="1699"/>
      <c r="BQ130" s="1699"/>
      <c r="BR130" s="54"/>
      <c r="BS130" s="1699"/>
      <c r="BT130" s="54"/>
      <c r="BU130" s="1699"/>
      <c r="BV130" s="1699"/>
      <c r="BW130" s="1699"/>
      <c r="BX130" s="54"/>
      <c r="BY130" s="1699"/>
      <c r="BZ130" s="54"/>
      <c r="CA130" s="1699"/>
      <c r="CB130" s="1699"/>
      <c r="CC130" s="1699"/>
      <c r="CD130" s="54"/>
      <c r="CE130" s="1699"/>
      <c r="CF130" s="54"/>
      <c r="CG130" s="1699"/>
      <c r="CH130" s="1699"/>
      <c r="CI130" s="1699"/>
      <c r="CJ130" s="1699"/>
    </row>
    <row r="131" spans="1:88" x14ac:dyDescent="0.5">
      <c r="A131" s="21">
        <v>20086646</v>
      </c>
      <c r="B131" s="22">
        <v>20080682</v>
      </c>
      <c r="C131" s="55"/>
      <c r="D131" s="56"/>
      <c r="E131" s="910"/>
      <c r="F131" s="57"/>
      <c r="G131" s="58"/>
      <c r="H131" s="59"/>
      <c r="I131" s="60"/>
      <c r="J131" s="269"/>
      <c r="K131" s="59"/>
      <c r="L131" s="22" t="s">
        <v>3544</v>
      </c>
      <c r="M131" s="28" t="s">
        <v>4175</v>
      </c>
      <c r="N131" s="22" t="s">
        <v>1523</v>
      </c>
      <c r="O131" s="29">
        <v>4200</v>
      </c>
      <c r="P131" s="29">
        <f t="shared" si="229"/>
        <v>294</v>
      </c>
      <c r="Q131" s="29">
        <f t="shared" si="230"/>
        <v>4494</v>
      </c>
      <c r="R131" s="61"/>
      <c r="S131" s="96"/>
      <c r="T131" s="97"/>
      <c r="U131" s="98"/>
      <c r="V131" s="1225"/>
      <c r="W131" s="1225"/>
      <c r="X131" s="1184">
        <v>4200</v>
      </c>
      <c r="Y131" s="1223">
        <v>1</v>
      </c>
      <c r="Z131" s="1223">
        <f>X131*Y131/100</f>
        <v>42</v>
      </c>
      <c r="AA131" s="1225"/>
      <c r="AB131" s="1225"/>
      <c r="AC131" s="100"/>
      <c r="AD131" s="595"/>
      <c r="AE131" s="40">
        <v>20080230</v>
      </c>
      <c r="AF131" s="1186" t="s">
        <v>3423</v>
      </c>
      <c r="AG131" s="41">
        <v>4200</v>
      </c>
      <c r="AH131" s="63">
        <f t="shared" si="237"/>
        <v>294</v>
      </c>
      <c r="AI131" s="52">
        <f t="shared" si="238"/>
        <v>4494</v>
      </c>
      <c r="AJ131" s="53">
        <v>44097</v>
      </c>
      <c r="AK131" s="39"/>
      <c r="AL131" s="39"/>
      <c r="AM131" s="39" t="s">
        <v>3423</v>
      </c>
      <c r="AN131" s="21" t="s">
        <v>4178</v>
      </c>
      <c r="AO131" s="1696">
        <v>1</v>
      </c>
      <c r="AP131" s="45" t="s">
        <v>548</v>
      </c>
      <c r="AQ131" s="46"/>
      <c r="AR131" s="46"/>
      <c r="AS131" s="47">
        <v>3</v>
      </c>
      <c r="AT131" s="48" t="s">
        <v>628</v>
      </c>
      <c r="AU131" s="1698"/>
      <c r="AV131" s="54"/>
      <c r="AW131" s="1698"/>
      <c r="AX131" s="1698"/>
      <c r="AY131" s="1698"/>
      <c r="AZ131" s="54"/>
      <c r="BA131" s="1698"/>
      <c r="BB131" s="54"/>
      <c r="BC131" s="1698"/>
      <c r="BD131" s="1698"/>
      <c r="BE131" s="1698"/>
      <c r="BF131" s="54"/>
      <c r="BG131" s="1698"/>
      <c r="BH131" s="54"/>
      <c r="BI131" s="1698"/>
      <c r="BJ131" s="1698"/>
      <c r="BK131" s="1698"/>
      <c r="BL131" s="54"/>
      <c r="BM131" s="1698"/>
      <c r="BN131" s="54"/>
      <c r="BO131" s="1698"/>
      <c r="BP131" s="1698"/>
      <c r="BQ131" s="1698"/>
      <c r="BR131" s="54"/>
      <c r="BS131" s="1698"/>
      <c r="BT131" s="54"/>
      <c r="BU131" s="1698"/>
      <c r="BV131" s="1698"/>
      <c r="BW131" s="1698"/>
      <c r="BX131" s="54"/>
      <c r="BY131" s="1698"/>
      <c r="BZ131" s="54"/>
      <c r="CA131" s="1698"/>
      <c r="CB131" s="1698"/>
      <c r="CC131" s="1698"/>
      <c r="CD131" s="54"/>
      <c r="CE131" s="1698"/>
      <c r="CF131" s="54"/>
      <c r="CG131" s="1698"/>
      <c r="CH131" s="1698"/>
      <c r="CI131" s="1698"/>
      <c r="CJ131" s="1698"/>
    </row>
    <row r="132" spans="1:88" x14ac:dyDescent="0.5">
      <c r="A132" s="21">
        <v>20086645</v>
      </c>
      <c r="B132" s="22">
        <v>20080683</v>
      </c>
      <c r="C132" s="1019" t="s">
        <v>2392</v>
      </c>
      <c r="D132" s="1020" t="s">
        <v>3830</v>
      </c>
      <c r="E132" s="884">
        <v>44082</v>
      </c>
      <c r="F132" s="932"/>
      <c r="G132" s="933"/>
      <c r="H132" s="831"/>
      <c r="I132" s="1021"/>
      <c r="J132" s="931"/>
      <c r="K132" s="40"/>
      <c r="L132" s="22" t="s">
        <v>3544</v>
      </c>
      <c r="M132" s="28" t="s">
        <v>4174</v>
      </c>
      <c r="N132" s="22" t="s">
        <v>1523</v>
      </c>
      <c r="O132" s="29">
        <v>45400</v>
      </c>
      <c r="P132" s="29">
        <f t="shared" si="219"/>
        <v>3178</v>
      </c>
      <c r="Q132" s="29">
        <f t="shared" si="220"/>
        <v>48578</v>
      </c>
      <c r="R132" s="61"/>
      <c r="S132" s="31" t="s">
        <v>4211</v>
      </c>
      <c r="T132" s="32">
        <f t="shared" si="221"/>
        <v>45400</v>
      </c>
      <c r="U132" s="33">
        <v>5</v>
      </c>
      <c r="V132" s="1251">
        <f t="shared" si="222"/>
        <v>2270</v>
      </c>
      <c r="W132" s="1231">
        <v>57.46</v>
      </c>
      <c r="X132" s="1184">
        <f t="shared" si="223"/>
        <v>43130</v>
      </c>
      <c r="Y132" s="1223">
        <f t="shared" si="224"/>
        <v>0.3135</v>
      </c>
      <c r="Z132" s="1223">
        <f>43130*0.31/100</f>
        <v>133.703</v>
      </c>
      <c r="AA132" s="1228">
        <v>0.5</v>
      </c>
      <c r="AB132" s="1228">
        <f t="shared" si="225"/>
        <v>215.65</v>
      </c>
      <c r="AC132" s="37">
        <v>0.2</v>
      </c>
      <c r="AD132" s="1234">
        <f t="shared" si="226"/>
        <v>86.26</v>
      </c>
      <c r="AE132" s="40"/>
      <c r="AF132" s="1186"/>
      <c r="AG132" s="41"/>
      <c r="AH132" s="63">
        <f t="shared" si="227"/>
        <v>0</v>
      </c>
      <c r="AI132" s="52">
        <f t="shared" si="228"/>
        <v>0</v>
      </c>
      <c r="AJ132" s="43"/>
      <c r="AK132" s="39"/>
      <c r="AL132" s="39"/>
      <c r="AM132" s="39"/>
      <c r="AN132" s="21"/>
      <c r="AO132" s="1458">
        <v>1</v>
      </c>
      <c r="AP132" s="45" t="s">
        <v>755</v>
      </c>
      <c r="AQ132" s="46" t="s">
        <v>3423</v>
      </c>
      <c r="AR132" s="46"/>
      <c r="AS132" s="47">
        <v>1</v>
      </c>
      <c r="AT132" s="48" t="s">
        <v>634</v>
      </c>
      <c r="AU132" s="1458">
        <v>2</v>
      </c>
      <c r="AV132" s="40" t="s">
        <v>4177</v>
      </c>
      <c r="AW132" s="47"/>
      <c r="AX132" s="47" t="s">
        <v>3423</v>
      </c>
      <c r="AY132" s="47">
        <v>1</v>
      </c>
      <c r="AZ132" s="49" t="s">
        <v>634</v>
      </c>
      <c r="BA132" s="1458">
        <v>3</v>
      </c>
      <c r="BB132" s="40" t="s">
        <v>1606</v>
      </c>
      <c r="BC132" s="47" t="s">
        <v>3423</v>
      </c>
      <c r="BD132" s="47"/>
      <c r="BE132" s="47">
        <v>4</v>
      </c>
      <c r="BF132" s="49" t="s">
        <v>636</v>
      </c>
      <c r="BG132" s="1698"/>
      <c r="BH132" s="54"/>
      <c r="BI132" s="1698"/>
      <c r="BJ132" s="1698"/>
      <c r="BK132" s="1698"/>
      <c r="BL132" s="54"/>
      <c r="BM132" s="1698"/>
      <c r="BN132" s="54"/>
      <c r="BO132" s="1698"/>
      <c r="BP132" s="1698"/>
      <c r="BQ132" s="1698"/>
      <c r="BR132" s="54"/>
      <c r="BS132" s="1698"/>
      <c r="BT132" s="54"/>
      <c r="BU132" s="1698"/>
      <c r="BV132" s="1698"/>
      <c r="BW132" s="1698"/>
      <c r="BX132" s="54"/>
      <c r="BY132" s="1698"/>
      <c r="BZ132" s="54"/>
      <c r="CA132" s="1698"/>
      <c r="CB132" s="1698"/>
      <c r="CC132" s="1698"/>
      <c r="CD132" s="54"/>
      <c r="CE132" s="1698"/>
      <c r="CF132" s="54"/>
      <c r="CG132" s="1698"/>
      <c r="CH132" s="1698"/>
      <c r="CI132" s="1698"/>
      <c r="CJ132" s="1698"/>
    </row>
    <row r="133" spans="1:88" x14ac:dyDescent="0.5">
      <c r="A133" s="103">
        <v>20086644</v>
      </c>
      <c r="B133" s="104">
        <v>20080673</v>
      </c>
      <c r="C133" s="1243" t="s">
        <v>2394</v>
      </c>
      <c r="D133" s="1244" t="s">
        <v>2691</v>
      </c>
      <c r="E133" s="302">
        <v>44069</v>
      </c>
      <c r="F133" s="936" t="s">
        <v>3368</v>
      </c>
      <c r="G133" s="937" t="s">
        <v>2408</v>
      </c>
      <c r="H133" s="302">
        <v>44082</v>
      </c>
      <c r="I133" s="1124">
        <v>63217</v>
      </c>
      <c r="J133" s="960" t="s">
        <v>3423</v>
      </c>
      <c r="K133" s="965">
        <v>44083</v>
      </c>
      <c r="L133" s="104" t="s">
        <v>4167</v>
      </c>
      <c r="M133" s="110" t="s">
        <v>4168</v>
      </c>
      <c r="N133" s="104" t="s">
        <v>1523</v>
      </c>
      <c r="O133" s="111">
        <v>258830</v>
      </c>
      <c r="P133" s="111">
        <f t="shared" ref="P133:P145" si="239">O133*7/100</f>
        <v>18118.099999999999</v>
      </c>
      <c r="Q133" s="111">
        <f t="shared" ref="Q133:Q145" si="240">O133+P133</f>
        <v>276948.09999999998</v>
      </c>
      <c r="R133" s="212"/>
      <c r="S133" s="113" t="s">
        <v>4176</v>
      </c>
      <c r="T133" s="114">
        <f t="shared" ref="T133:T145" si="241">O133-R133</f>
        <v>258830</v>
      </c>
      <c r="U133" s="115">
        <v>5</v>
      </c>
      <c r="V133" s="1252">
        <f t="shared" ref="V133:V145" si="242">T133*U133/100</f>
        <v>12941.5</v>
      </c>
      <c r="W133" s="1245">
        <v>47.75</v>
      </c>
      <c r="X133" s="1246">
        <f t="shared" ref="X133:X145" si="243">T133-V133</f>
        <v>245888.5</v>
      </c>
      <c r="Y133" s="1247">
        <f t="shared" ref="Y133:Y145" si="244">SUM((50-W133)/(100)*(2.5)+(0.5))</f>
        <v>0.55625000000000002</v>
      </c>
      <c r="Z133" s="1247">
        <f>245888.5*0.56/100</f>
        <v>1376.9756000000002</v>
      </c>
      <c r="AA133" s="1265">
        <v>0.5</v>
      </c>
      <c r="AB133" s="1265">
        <f t="shared" ref="AB133:AB145" si="245">X133*AA133/100</f>
        <v>1229.4425000000001</v>
      </c>
      <c r="AC133" s="119">
        <v>0.2</v>
      </c>
      <c r="AD133" s="1248">
        <f t="shared" ref="AD133:AD145" si="246">X133*AC133/100</f>
        <v>491.77700000000004</v>
      </c>
      <c r="AE133" s="771">
        <v>20090237</v>
      </c>
      <c r="AF133" s="1409"/>
      <c r="AG133" s="819">
        <v>77649</v>
      </c>
      <c r="AH133" s="820">
        <f t="shared" ref="AH133:AH145" si="247">AG133*7/100</f>
        <v>5435.43</v>
      </c>
      <c r="AI133" s="821">
        <f t="shared" ref="AI133:AI145" si="248">AG133+AH133</f>
        <v>83084.429999999993</v>
      </c>
      <c r="AJ133" s="822">
        <v>44077</v>
      </c>
      <c r="AK133" s="775"/>
      <c r="AL133" s="775"/>
      <c r="AM133" s="775" t="s">
        <v>3423</v>
      </c>
      <c r="AN133" s="1780">
        <v>0.3</v>
      </c>
      <c r="AO133" s="128">
        <v>1</v>
      </c>
      <c r="AP133" s="129" t="s">
        <v>4169</v>
      </c>
      <c r="AQ133" s="130"/>
      <c r="AR133" s="130" t="s">
        <v>3423</v>
      </c>
      <c r="AS133" s="131">
        <v>1</v>
      </c>
      <c r="AT133" s="132" t="s">
        <v>634</v>
      </c>
      <c r="AU133" s="128"/>
      <c r="AV133" s="133"/>
      <c r="AW133" s="128"/>
      <c r="AX133" s="128"/>
      <c r="AY133" s="128"/>
      <c r="AZ133" s="133"/>
      <c r="BA133" s="128"/>
      <c r="BB133" s="133"/>
      <c r="BC133" s="128"/>
      <c r="BD133" s="128"/>
      <c r="BE133" s="128"/>
      <c r="BF133" s="133"/>
      <c r="BG133" s="128"/>
      <c r="BH133" s="133"/>
      <c r="BI133" s="128"/>
      <c r="BJ133" s="128"/>
      <c r="BK133" s="128"/>
      <c r="BL133" s="133"/>
      <c r="BM133" s="128"/>
      <c r="BN133" s="133"/>
      <c r="BO133" s="128"/>
      <c r="BP133" s="128"/>
      <c r="BQ133" s="128"/>
      <c r="BR133" s="133"/>
      <c r="BS133" s="128"/>
      <c r="BT133" s="133"/>
      <c r="BU133" s="128"/>
      <c r="BV133" s="128"/>
      <c r="BW133" s="128"/>
      <c r="BX133" s="133"/>
      <c r="BY133" s="128"/>
      <c r="BZ133" s="133"/>
      <c r="CA133" s="128"/>
      <c r="CB133" s="128"/>
      <c r="CC133" s="128"/>
      <c r="CD133" s="133"/>
      <c r="CE133" s="128"/>
      <c r="CF133" s="133"/>
      <c r="CG133" s="128"/>
      <c r="CH133" s="128"/>
      <c r="CI133" s="128"/>
      <c r="CJ133" s="128"/>
    </row>
    <row r="134" spans="1:88" x14ac:dyDescent="0.5">
      <c r="A134" s="134"/>
      <c r="B134" s="135"/>
      <c r="C134" s="1290"/>
      <c r="D134" s="1291"/>
      <c r="E134" s="906"/>
      <c r="F134" s="940"/>
      <c r="G134" s="941"/>
      <c r="H134" s="1307"/>
      <c r="I134" s="1138"/>
      <c r="J134" s="963"/>
      <c r="K134" s="154"/>
      <c r="L134" s="135"/>
      <c r="M134" s="141"/>
      <c r="N134" s="135"/>
      <c r="O134" s="142"/>
      <c r="P134" s="142"/>
      <c r="Q134" s="142"/>
      <c r="R134" s="213"/>
      <c r="S134" s="144"/>
      <c r="T134" s="145"/>
      <c r="U134" s="146"/>
      <c r="V134" s="1292"/>
      <c r="W134" s="1293"/>
      <c r="X134" s="1294"/>
      <c r="Y134" s="1295"/>
      <c r="Z134" s="1295"/>
      <c r="AA134" s="1308"/>
      <c r="AB134" s="1308"/>
      <c r="AC134" s="150"/>
      <c r="AD134" s="1297"/>
      <c r="AE134" s="857">
        <v>20090238</v>
      </c>
      <c r="AF134" s="1781" t="s">
        <v>3423</v>
      </c>
      <c r="AG134" s="858">
        <v>181181</v>
      </c>
      <c r="AH134" s="859">
        <f t="shared" si="247"/>
        <v>12682.67</v>
      </c>
      <c r="AI134" s="915">
        <f t="shared" si="248"/>
        <v>193863.67</v>
      </c>
      <c r="AJ134" s="860">
        <v>44077</v>
      </c>
      <c r="AK134" s="861"/>
      <c r="AL134" s="861"/>
      <c r="AM134" s="861" t="s">
        <v>3423</v>
      </c>
      <c r="AN134" s="1047">
        <v>0.7</v>
      </c>
      <c r="AO134" s="158"/>
      <c r="AP134" s="159"/>
      <c r="AQ134" s="160"/>
      <c r="AR134" s="160"/>
      <c r="AS134" s="161"/>
      <c r="AT134" s="162"/>
      <c r="AU134" s="158"/>
      <c r="AV134" s="163"/>
      <c r="AW134" s="158"/>
      <c r="AX134" s="158"/>
      <c r="AY134" s="158"/>
      <c r="AZ134" s="163"/>
      <c r="BA134" s="158"/>
      <c r="BB134" s="163"/>
      <c r="BC134" s="158"/>
      <c r="BD134" s="158"/>
      <c r="BE134" s="158"/>
      <c r="BF134" s="163"/>
      <c r="BG134" s="158"/>
      <c r="BH134" s="163"/>
      <c r="BI134" s="158"/>
      <c r="BJ134" s="158"/>
      <c r="BK134" s="158"/>
      <c r="BL134" s="163"/>
      <c r="BM134" s="158"/>
      <c r="BN134" s="163"/>
      <c r="BO134" s="158"/>
      <c r="BP134" s="158"/>
      <c r="BQ134" s="158"/>
      <c r="BR134" s="163"/>
      <c r="BS134" s="158"/>
      <c r="BT134" s="163"/>
      <c r="BU134" s="158"/>
      <c r="BV134" s="158"/>
      <c r="BW134" s="158"/>
      <c r="BX134" s="163"/>
      <c r="BY134" s="158"/>
      <c r="BZ134" s="163"/>
      <c r="CA134" s="158"/>
      <c r="CB134" s="158"/>
      <c r="CC134" s="158"/>
      <c r="CD134" s="163"/>
      <c r="CE134" s="158"/>
      <c r="CF134" s="163"/>
      <c r="CG134" s="158"/>
      <c r="CH134" s="158"/>
      <c r="CI134" s="158"/>
      <c r="CJ134" s="158"/>
    </row>
    <row r="135" spans="1:88" x14ac:dyDescent="0.5">
      <c r="A135" s="134"/>
      <c r="B135" s="135"/>
      <c r="C135" s="1290"/>
      <c r="D135" s="1291"/>
      <c r="E135" s="906"/>
      <c r="F135" s="940"/>
      <c r="G135" s="941"/>
      <c r="H135" s="1307"/>
      <c r="I135" s="1138"/>
      <c r="J135" s="963"/>
      <c r="K135" s="154"/>
      <c r="L135" s="135"/>
      <c r="M135" s="141"/>
      <c r="N135" s="135"/>
      <c r="O135" s="142"/>
      <c r="P135" s="142"/>
      <c r="Q135" s="142"/>
      <c r="R135" s="213"/>
      <c r="S135" s="144"/>
      <c r="T135" s="145"/>
      <c r="U135" s="146"/>
      <c r="V135" s="1292"/>
      <c r="W135" s="1293"/>
      <c r="X135" s="1294"/>
      <c r="Y135" s="1295"/>
      <c r="Z135" s="1295"/>
      <c r="AA135" s="1308"/>
      <c r="AB135" s="1308"/>
      <c r="AC135" s="150"/>
      <c r="AD135" s="1297"/>
      <c r="AE135" s="857" t="s">
        <v>4287</v>
      </c>
      <c r="AF135" s="1781"/>
      <c r="AG135" s="858">
        <v>77649</v>
      </c>
      <c r="AH135" s="859">
        <f t="shared" si="247"/>
        <v>5435.43</v>
      </c>
      <c r="AI135" s="915">
        <f t="shared" si="248"/>
        <v>83084.429999999993</v>
      </c>
      <c r="AJ135" s="860">
        <v>44105</v>
      </c>
      <c r="AK135" s="861"/>
      <c r="AL135" s="861"/>
      <c r="AM135" s="861" t="s">
        <v>3423</v>
      </c>
      <c r="AN135" s="1047" t="s">
        <v>4308</v>
      </c>
      <c r="AO135" s="158"/>
      <c r="AP135" s="159"/>
      <c r="AQ135" s="160"/>
      <c r="AR135" s="160"/>
      <c r="AS135" s="161"/>
      <c r="AT135" s="162"/>
      <c r="AU135" s="158"/>
      <c r="AV135" s="163"/>
      <c r="AW135" s="158"/>
      <c r="AX135" s="158"/>
      <c r="AY135" s="158"/>
      <c r="AZ135" s="163"/>
      <c r="BA135" s="158"/>
      <c r="BB135" s="163"/>
      <c r="BC135" s="158"/>
      <c r="BD135" s="158"/>
      <c r="BE135" s="158"/>
      <c r="BF135" s="163"/>
      <c r="BG135" s="158"/>
      <c r="BH135" s="163"/>
      <c r="BI135" s="158"/>
      <c r="BJ135" s="158"/>
      <c r="BK135" s="158"/>
      <c r="BL135" s="163"/>
      <c r="BM135" s="158"/>
      <c r="BN135" s="163"/>
      <c r="BO135" s="158"/>
      <c r="BP135" s="158"/>
      <c r="BQ135" s="158"/>
      <c r="BR135" s="163"/>
      <c r="BS135" s="158"/>
      <c r="BT135" s="163"/>
      <c r="BU135" s="158"/>
      <c r="BV135" s="158"/>
      <c r="BW135" s="158"/>
      <c r="BX135" s="163"/>
      <c r="BY135" s="158"/>
      <c r="BZ135" s="163"/>
      <c r="CA135" s="158"/>
      <c r="CB135" s="158"/>
      <c r="CC135" s="158"/>
      <c r="CD135" s="163"/>
      <c r="CE135" s="158"/>
      <c r="CF135" s="163"/>
      <c r="CG135" s="158"/>
      <c r="CH135" s="158"/>
      <c r="CI135" s="158"/>
      <c r="CJ135" s="158"/>
    </row>
    <row r="136" spans="1:88" x14ac:dyDescent="0.5">
      <c r="A136" s="134"/>
      <c r="B136" s="135"/>
      <c r="C136" s="1290"/>
      <c r="D136" s="1291"/>
      <c r="E136" s="906"/>
      <c r="F136" s="940"/>
      <c r="G136" s="941"/>
      <c r="H136" s="1307"/>
      <c r="I136" s="1138"/>
      <c r="J136" s="963"/>
      <c r="K136" s="154"/>
      <c r="L136" s="135"/>
      <c r="M136" s="141"/>
      <c r="N136" s="135"/>
      <c r="O136" s="142"/>
      <c r="P136" s="142"/>
      <c r="Q136" s="142"/>
      <c r="R136" s="213"/>
      <c r="S136" s="144"/>
      <c r="T136" s="145"/>
      <c r="U136" s="146"/>
      <c r="V136" s="1292"/>
      <c r="W136" s="1293"/>
      <c r="X136" s="1294"/>
      <c r="Y136" s="1295"/>
      <c r="Z136" s="1295"/>
      <c r="AA136" s="1308"/>
      <c r="AB136" s="1308"/>
      <c r="AC136" s="150"/>
      <c r="AD136" s="1297"/>
      <c r="AE136" s="857" t="s">
        <v>4288</v>
      </c>
      <c r="AF136" s="1781" t="s">
        <v>3423</v>
      </c>
      <c r="AG136" s="858">
        <v>181181</v>
      </c>
      <c r="AH136" s="859">
        <f t="shared" si="247"/>
        <v>12682.67</v>
      </c>
      <c r="AI136" s="915">
        <f t="shared" si="248"/>
        <v>193863.67</v>
      </c>
      <c r="AJ136" s="860">
        <v>44105</v>
      </c>
      <c r="AK136" s="861"/>
      <c r="AL136" s="861"/>
      <c r="AM136" s="861" t="s">
        <v>3423</v>
      </c>
      <c r="AN136" s="1047" t="s">
        <v>4307</v>
      </c>
      <c r="AO136" s="158"/>
      <c r="AP136" s="159"/>
      <c r="AQ136" s="160"/>
      <c r="AR136" s="160"/>
      <c r="AS136" s="161"/>
      <c r="AT136" s="162"/>
      <c r="AU136" s="158"/>
      <c r="AV136" s="163"/>
      <c r="AW136" s="158"/>
      <c r="AX136" s="158"/>
      <c r="AY136" s="158"/>
      <c r="AZ136" s="163"/>
      <c r="BA136" s="158"/>
      <c r="BB136" s="163"/>
      <c r="BC136" s="158"/>
      <c r="BD136" s="158"/>
      <c r="BE136" s="158"/>
      <c r="BF136" s="163"/>
      <c r="BG136" s="158"/>
      <c r="BH136" s="163"/>
      <c r="BI136" s="158"/>
      <c r="BJ136" s="158"/>
      <c r="BK136" s="158"/>
      <c r="BL136" s="163"/>
      <c r="BM136" s="158"/>
      <c r="BN136" s="163"/>
      <c r="BO136" s="158"/>
      <c r="BP136" s="158"/>
      <c r="BQ136" s="158"/>
      <c r="BR136" s="163"/>
      <c r="BS136" s="158"/>
      <c r="BT136" s="163"/>
      <c r="BU136" s="158"/>
      <c r="BV136" s="158"/>
      <c r="BW136" s="158"/>
      <c r="BX136" s="163"/>
      <c r="BY136" s="158"/>
      <c r="BZ136" s="163"/>
      <c r="CA136" s="158"/>
      <c r="CB136" s="158"/>
      <c r="CC136" s="158"/>
      <c r="CD136" s="163"/>
      <c r="CE136" s="158"/>
      <c r="CF136" s="163"/>
      <c r="CG136" s="158"/>
      <c r="CH136" s="158"/>
      <c r="CI136" s="158"/>
      <c r="CJ136" s="158"/>
    </row>
    <row r="137" spans="1:88" x14ac:dyDescent="0.5">
      <c r="A137" s="180"/>
      <c r="B137" s="181"/>
      <c r="C137" s="1236"/>
      <c r="D137" s="1237"/>
      <c r="E137" s="749"/>
      <c r="F137" s="938"/>
      <c r="G137" s="939"/>
      <c r="H137" s="304"/>
      <c r="I137" s="1125"/>
      <c r="J137" s="961"/>
      <c r="K137" s="200"/>
      <c r="L137" s="181"/>
      <c r="M137" s="188"/>
      <c r="N137" s="181"/>
      <c r="O137" s="189"/>
      <c r="P137" s="189"/>
      <c r="Q137" s="189"/>
      <c r="R137" s="214"/>
      <c r="S137" s="215"/>
      <c r="T137" s="216"/>
      <c r="U137" s="217"/>
      <c r="V137" s="1253"/>
      <c r="W137" s="1238"/>
      <c r="X137" s="1239"/>
      <c r="Y137" s="1240"/>
      <c r="Z137" s="1240"/>
      <c r="AA137" s="1263"/>
      <c r="AB137" s="1263"/>
      <c r="AC137" s="197"/>
      <c r="AD137" s="1241"/>
      <c r="AE137" s="200" t="s">
        <v>4288</v>
      </c>
      <c r="AF137" s="1242" t="s">
        <v>3423</v>
      </c>
      <c r="AG137" s="201">
        <v>258829.91</v>
      </c>
      <c r="AH137" s="237">
        <f t="shared" si="247"/>
        <v>18118.093700000001</v>
      </c>
      <c r="AI137" s="202">
        <f t="shared" si="248"/>
        <v>276948.0037</v>
      </c>
      <c r="AJ137" s="203">
        <v>44105</v>
      </c>
      <c r="AK137" s="199"/>
      <c r="AL137" s="199"/>
      <c r="AM137" s="199" t="s">
        <v>3423</v>
      </c>
      <c r="AN137" s="843" t="s">
        <v>4415</v>
      </c>
      <c r="AO137" s="204"/>
      <c r="AP137" s="205"/>
      <c r="AQ137" s="206"/>
      <c r="AR137" s="206"/>
      <c r="AS137" s="207"/>
      <c r="AT137" s="208"/>
      <c r="AU137" s="204"/>
      <c r="AV137" s="210"/>
      <c r="AW137" s="204"/>
      <c r="AX137" s="204"/>
      <c r="AY137" s="204"/>
      <c r="AZ137" s="210"/>
      <c r="BA137" s="204"/>
      <c r="BB137" s="210"/>
      <c r="BC137" s="204"/>
      <c r="BD137" s="204"/>
      <c r="BE137" s="204"/>
      <c r="BF137" s="210"/>
      <c r="BG137" s="204"/>
      <c r="BH137" s="210"/>
      <c r="BI137" s="204"/>
      <c r="BJ137" s="204"/>
      <c r="BK137" s="204"/>
      <c r="BL137" s="210"/>
      <c r="BM137" s="204"/>
      <c r="BN137" s="210"/>
      <c r="BO137" s="204"/>
      <c r="BP137" s="204"/>
      <c r="BQ137" s="204"/>
      <c r="BR137" s="210"/>
      <c r="BS137" s="204"/>
      <c r="BT137" s="210"/>
      <c r="BU137" s="204"/>
      <c r="BV137" s="204"/>
      <c r="BW137" s="204"/>
      <c r="BX137" s="210"/>
      <c r="BY137" s="204"/>
      <c r="BZ137" s="210"/>
      <c r="CA137" s="204"/>
      <c r="CB137" s="204"/>
      <c r="CC137" s="204"/>
      <c r="CD137" s="210"/>
      <c r="CE137" s="204"/>
      <c r="CF137" s="210"/>
      <c r="CG137" s="204"/>
      <c r="CH137" s="204"/>
      <c r="CI137" s="204"/>
      <c r="CJ137" s="204"/>
    </row>
    <row r="138" spans="1:88" x14ac:dyDescent="0.5">
      <c r="A138" s="103">
        <v>20086643</v>
      </c>
      <c r="B138" s="104">
        <v>20080681</v>
      </c>
      <c r="C138" s="242"/>
      <c r="D138" s="243"/>
      <c r="E138" s="912"/>
      <c r="F138" s="244"/>
      <c r="G138" s="245"/>
      <c r="H138" s="246"/>
      <c r="I138" s="247"/>
      <c r="J138" s="306"/>
      <c r="K138" s="246"/>
      <c r="L138" s="104" t="s">
        <v>3008</v>
      </c>
      <c r="M138" s="110" t="s">
        <v>4170</v>
      </c>
      <c r="N138" s="104" t="s">
        <v>51</v>
      </c>
      <c r="O138" s="111">
        <v>129900</v>
      </c>
      <c r="P138" s="111">
        <f t="shared" si="239"/>
        <v>9093</v>
      </c>
      <c r="Q138" s="111">
        <f t="shared" si="240"/>
        <v>138993</v>
      </c>
      <c r="R138" s="212"/>
      <c r="S138" s="165"/>
      <c r="T138" s="166"/>
      <c r="U138" s="167"/>
      <c r="V138" s="1302"/>
      <c r="W138" s="1302"/>
      <c r="X138" s="231"/>
      <c r="Y138" s="1302"/>
      <c r="Z138" s="1302"/>
      <c r="AA138" s="1302"/>
      <c r="AB138" s="1302"/>
      <c r="AC138" s="231"/>
      <c r="AD138" s="1309"/>
      <c r="AE138" s="771">
        <v>20100269</v>
      </c>
      <c r="AF138" s="1409" t="s">
        <v>3423</v>
      </c>
      <c r="AG138" s="819">
        <v>129900</v>
      </c>
      <c r="AH138" s="820">
        <f t="shared" si="247"/>
        <v>9093</v>
      </c>
      <c r="AI138" s="821">
        <f t="shared" si="248"/>
        <v>138993</v>
      </c>
      <c r="AJ138" s="822">
        <v>44148</v>
      </c>
      <c r="AK138" s="775"/>
      <c r="AL138" s="775"/>
      <c r="AM138" s="775"/>
      <c r="AN138" s="776" t="s">
        <v>4480</v>
      </c>
      <c r="AO138" s="128">
        <v>1</v>
      </c>
      <c r="AP138" s="129" t="s">
        <v>4171</v>
      </c>
      <c r="AQ138" s="130"/>
      <c r="AR138" s="130"/>
      <c r="AS138" s="131">
        <v>1</v>
      </c>
      <c r="AT138" s="132" t="s">
        <v>628</v>
      </c>
      <c r="AU138" s="128"/>
      <c r="AV138" s="133"/>
      <c r="AW138" s="128"/>
      <c r="AX138" s="128"/>
      <c r="AY138" s="128"/>
      <c r="AZ138" s="133"/>
      <c r="BA138" s="128"/>
      <c r="BB138" s="133"/>
      <c r="BC138" s="128"/>
      <c r="BD138" s="128"/>
      <c r="BE138" s="128"/>
      <c r="BF138" s="133"/>
      <c r="BG138" s="128"/>
      <c r="BH138" s="133"/>
      <c r="BI138" s="128"/>
      <c r="BJ138" s="128"/>
      <c r="BK138" s="128"/>
      <c r="BL138" s="133"/>
      <c r="BM138" s="128"/>
      <c r="BN138" s="133"/>
      <c r="BO138" s="128"/>
      <c r="BP138" s="128"/>
      <c r="BQ138" s="128"/>
      <c r="BR138" s="133"/>
      <c r="BS138" s="128"/>
      <c r="BT138" s="133"/>
      <c r="BU138" s="128"/>
      <c r="BV138" s="128"/>
      <c r="BW138" s="128"/>
      <c r="BX138" s="133"/>
      <c r="BY138" s="128"/>
      <c r="BZ138" s="133"/>
      <c r="CA138" s="128"/>
      <c r="CB138" s="128"/>
      <c r="CC138" s="128"/>
      <c r="CD138" s="133"/>
      <c r="CE138" s="128"/>
      <c r="CF138" s="133"/>
      <c r="CG138" s="128"/>
      <c r="CH138" s="128"/>
      <c r="CI138" s="128"/>
      <c r="CJ138" s="128"/>
    </row>
    <row r="139" spans="1:88" x14ac:dyDescent="0.5">
      <c r="A139" s="134"/>
      <c r="B139" s="135"/>
      <c r="C139" s="276"/>
      <c r="D139" s="277"/>
      <c r="E139" s="1054"/>
      <c r="F139" s="278"/>
      <c r="G139" s="279"/>
      <c r="H139" s="280"/>
      <c r="I139" s="281"/>
      <c r="J139" s="836"/>
      <c r="K139" s="280"/>
      <c r="L139" s="135"/>
      <c r="M139" s="141"/>
      <c r="N139" s="135"/>
      <c r="O139" s="142"/>
      <c r="P139" s="142"/>
      <c r="Q139" s="142"/>
      <c r="R139" s="213"/>
      <c r="S139" s="172"/>
      <c r="T139" s="173"/>
      <c r="U139" s="174"/>
      <c r="V139" s="1296"/>
      <c r="W139" s="1296"/>
      <c r="X139" s="282"/>
      <c r="Y139" s="1296"/>
      <c r="Z139" s="1296"/>
      <c r="AA139" s="1296"/>
      <c r="AB139" s="1296"/>
      <c r="AC139" s="282"/>
      <c r="AD139" s="1311"/>
      <c r="AE139" s="154">
        <v>20110301</v>
      </c>
      <c r="AF139" s="1298" t="s">
        <v>3423</v>
      </c>
      <c r="AG139" s="155">
        <v>129900</v>
      </c>
      <c r="AH139" s="253">
        <f t="shared" si="247"/>
        <v>9093</v>
      </c>
      <c r="AI139" s="156">
        <f t="shared" si="248"/>
        <v>138993</v>
      </c>
      <c r="AJ139" s="157">
        <v>44175</v>
      </c>
      <c r="AK139" s="152"/>
      <c r="AL139" s="152"/>
      <c r="AM139" s="152" t="s">
        <v>3423</v>
      </c>
      <c r="AN139" s="134" t="s">
        <v>4478</v>
      </c>
      <c r="AO139" s="158"/>
      <c r="AP139" s="159"/>
      <c r="AQ139" s="160"/>
      <c r="AR139" s="160"/>
      <c r="AS139" s="161"/>
      <c r="AT139" s="162"/>
      <c r="AU139" s="158"/>
      <c r="AV139" s="163"/>
      <c r="AW139" s="158"/>
      <c r="AX139" s="158"/>
      <c r="AY139" s="158"/>
      <c r="AZ139" s="163"/>
      <c r="BA139" s="158"/>
      <c r="BB139" s="163"/>
      <c r="BC139" s="158"/>
      <c r="BD139" s="158"/>
      <c r="BE139" s="158"/>
      <c r="BF139" s="163"/>
      <c r="BG139" s="158"/>
      <c r="BH139" s="163"/>
      <c r="BI139" s="158"/>
      <c r="BJ139" s="158"/>
      <c r="BK139" s="158"/>
      <c r="BL139" s="163"/>
      <c r="BM139" s="158"/>
      <c r="BN139" s="163"/>
      <c r="BO139" s="158"/>
      <c r="BP139" s="158"/>
      <c r="BQ139" s="158"/>
      <c r="BR139" s="163"/>
      <c r="BS139" s="158"/>
      <c r="BT139" s="163"/>
      <c r="BU139" s="158"/>
      <c r="BV139" s="158"/>
      <c r="BW139" s="158"/>
      <c r="BX139" s="163"/>
      <c r="BY139" s="158"/>
      <c r="BZ139" s="163"/>
      <c r="CA139" s="158"/>
      <c r="CB139" s="158"/>
      <c r="CC139" s="158"/>
      <c r="CD139" s="163"/>
      <c r="CE139" s="158"/>
      <c r="CF139" s="163"/>
      <c r="CG139" s="158"/>
      <c r="CH139" s="158"/>
      <c r="CI139" s="158"/>
      <c r="CJ139" s="158"/>
    </row>
    <row r="140" spans="1:88" x14ac:dyDescent="0.5">
      <c r="A140" s="103">
        <v>20086642</v>
      </c>
      <c r="B140" s="104">
        <v>20080680</v>
      </c>
      <c r="C140" s="1243" t="s">
        <v>2339</v>
      </c>
      <c r="D140" s="1244" t="s">
        <v>2691</v>
      </c>
      <c r="E140" s="302">
        <v>44097</v>
      </c>
      <c r="F140" s="244"/>
      <c r="G140" s="245"/>
      <c r="H140" s="246"/>
      <c r="I140" s="247"/>
      <c r="J140" s="960" t="s">
        <v>3423</v>
      </c>
      <c r="K140" s="965">
        <v>44109</v>
      </c>
      <c r="L140" s="104" t="s">
        <v>3008</v>
      </c>
      <c r="M140" s="110" t="s">
        <v>4172</v>
      </c>
      <c r="N140" s="104" t="s">
        <v>51</v>
      </c>
      <c r="O140" s="111">
        <v>418000</v>
      </c>
      <c r="P140" s="111">
        <f t="shared" si="239"/>
        <v>29260</v>
      </c>
      <c r="Q140" s="111">
        <f t="shared" si="240"/>
        <v>447260</v>
      </c>
      <c r="R140" s="212"/>
      <c r="S140" s="165"/>
      <c r="T140" s="166"/>
      <c r="U140" s="167"/>
      <c r="V140" s="1302"/>
      <c r="W140" s="1302"/>
      <c r="X140" s="231"/>
      <c r="Y140" s="1302"/>
      <c r="Z140" s="1302"/>
      <c r="AA140" s="1302"/>
      <c r="AB140" s="1302"/>
      <c r="AC140" s="231"/>
      <c r="AD140" s="1309"/>
      <c r="AE140" s="771">
        <v>20100264</v>
      </c>
      <c r="AF140" s="1409" t="s">
        <v>3423</v>
      </c>
      <c r="AG140" s="819">
        <v>418000</v>
      </c>
      <c r="AH140" s="820">
        <f t="shared" si="247"/>
        <v>29260</v>
      </c>
      <c r="AI140" s="821">
        <f t="shared" si="248"/>
        <v>447260</v>
      </c>
      <c r="AJ140" s="822">
        <v>44139</v>
      </c>
      <c r="AK140" s="775"/>
      <c r="AL140" s="775"/>
      <c r="AM140" s="775" t="s">
        <v>3423</v>
      </c>
      <c r="AN140" s="776" t="s">
        <v>4479</v>
      </c>
      <c r="AO140" s="128">
        <v>1</v>
      </c>
      <c r="AP140" s="129" t="s">
        <v>1486</v>
      </c>
      <c r="AQ140" s="130"/>
      <c r="AR140" s="130"/>
      <c r="AS140" s="131">
        <v>2</v>
      </c>
      <c r="AT140" s="132" t="s">
        <v>1485</v>
      </c>
      <c r="AU140" s="128"/>
      <c r="AV140" s="133"/>
      <c r="AW140" s="128"/>
      <c r="AX140" s="128"/>
      <c r="AY140" s="128"/>
      <c r="AZ140" s="133"/>
      <c r="BA140" s="128"/>
      <c r="BB140" s="133"/>
      <c r="BC140" s="128"/>
      <c r="BD140" s="128"/>
      <c r="BE140" s="128"/>
      <c r="BF140" s="133"/>
      <c r="BG140" s="128"/>
      <c r="BH140" s="133"/>
      <c r="BI140" s="128"/>
      <c r="BJ140" s="128"/>
      <c r="BK140" s="128"/>
      <c r="BL140" s="133"/>
      <c r="BM140" s="128"/>
      <c r="BN140" s="133"/>
      <c r="BO140" s="128"/>
      <c r="BP140" s="128"/>
      <c r="BQ140" s="128"/>
      <c r="BR140" s="133"/>
      <c r="BS140" s="128"/>
      <c r="BT140" s="133"/>
      <c r="BU140" s="128"/>
      <c r="BV140" s="128"/>
      <c r="BW140" s="128"/>
      <c r="BX140" s="133"/>
      <c r="BY140" s="128"/>
      <c r="BZ140" s="133"/>
      <c r="CA140" s="128"/>
      <c r="CB140" s="128"/>
      <c r="CC140" s="128"/>
      <c r="CD140" s="133"/>
      <c r="CE140" s="128"/>
      <c r="CF140" s="133"/>
      <c r="CG140" s="128"/>
      <c r="CH140" s="128"/>
      <c r="CI140" s="128"/>
      <c r="CJ140" s="128"/>
    </row>
    <row r="141" spans="1:88" x14ac:dyDescent="0.5">
      <c r="A141" s="180"/>
      <c r="B141" s="181"/>
      <c r="C141" s="1236"/>
      <c r="D141" s="1237"/>
      <c r="E141" s="749"/>
      <c r="F141" s="287"/>
      <c r="G141" s="288"/>
      <c r="H141" s="289"/>
      <c r="I141" s="290"/>
      <c r="J141" s="961"/>
      <c r="K141" s="966"/>
      <c r="L141" s="181"/>
      <c r="M141" s="188"/>
      <c r="N141" s="181"/>
      <c r="O141" s="189"/>
      <c r="P141" s="189"/>
      <c r="Q141" s="189"/>
      <c r="R141" s="214"/>
      <c r="S141" s="191"/>
      <c r="T141" s="192"/>
      <c r="U141" s="193"/>
      <c r="V141" s="1254"/>
      <c r="W141" s="1254"/>
      <c r="X141" s="235"/>
      <c r="Y141" s="1254"/>
      <c r="Z141" s="1254"/>
      <c r="AA141" s="1254"/>
      <c r="AB141" s="1254"/>
      <c r="AC141" s="235"/>
      <c r="AD141" s="1303"/>
      <c r="AE141" s="200">
        <v>20110300</v>
      </c>
      <c r="AF141" s="1242" t="s">
        <v>3423</v>
      </c>
      <c r="AG141" s="201">
        <v>418000</v>
      </c>
      <c r="AH141" s="237">
        <f t="shared" si="247"/>
        <v>29260</v>
      </c>
      <c r="AI141" s="202">
        <f t="shared" si="248"/>
        <v>447260</v>
      </c>
      <c r="AJ141" s="203">
        <v>44175</v>
      </c>
      <c r="AK141" s="199"/>
      <c r="AL141" s="199"/>
      <c r="AM141" s="199" t="s">
        <v>3423</v>
      </c>
      <c r="AN141" s="180" t="s">
        <v>4478</v>
      </c>
      <c r="AO141" s="204"/>
      <c r="AP141" s="205"/>
      <c r="AQ141" s="206"/>
      <c r="AR141" s="206"/>
      <c r="AS141" s="207"/>
      <c r="AT141" s="208"/>
      <c r="AU141" s="204"/>
      <c r="AV141" s="210"/>
      <c r="AW141" s="204"/>
      <c r="AX141" s="204"/>
      <c r="AY141" s="204"/>
      <c r="AZ141" s="210"/>
      <c r="BA141" s="204"/>
      <c r="BB141" s="210"/>
      <c r="BC141" s="204"/>
      <c r="BD141" s="204"/>
      <c r="BE141" s="204"/>
      <c r="BF141" s="210"/>
      <c r="BG141" s="204"/>
      <c r="BH141" s="210"/>
      <c r="BI141" s="204"/>
      <c r="BJ141" s="204"/>
      <c r="BK141" s="204"/>
      <c r="BL141" s="210"/>
      <c r="BM141" s="204"/>
      <c r="BN141" s="210"/>
      <c r="BO141" s="204"/>
      <c r="BP141" s="204"/>
      <c r="BQ141" s="204"/>
      <c r="BR141" s="210"/>
      <c r="BS141" s="204"/>
      <c r="BT141" s="210"/>
      <c r="BU141" s="204"/>
      <c r="BV141" s="204"/>
      <c r="BW141" s="204"/>
      <c r="BX141" s="210"/>
      <c r="BY141" s="204"/>
      <c r="BZ141" s="210"/>
      <c r="CA141" s="204"/>
      <c r="CB141" s="204"/>
      <c r="CC141" s="204"/>
      <c r="CD141" s="210"/>
      <c r="CE141" s="204"/>
      <c r="CF141" s="210"/>
      <c r="CG141" s="204"/>
      <c r="CH141" s="204"/>
      <c r="CI141" s="204"/>
      <c r="CJ141" s="204"/>
    </row>
    <row r="142" spans="1:88" x14ac:dyDescent="0.5">
      <c r="A142" s="21">
        <v>20086641</v>
      </c>
      <c r="B142" s="22">
        <v>20080678</v>
      </c>
      <c r="C142" s="55"/>
      <c r="D142" s="56"/>
      <c r="E142" s="910"/>
      <c r="F142" s="57"/>
      <c r="G142" s="58"/>
      <c r="H142" s="59"/>
      <c r="I142" s="60"/>
      <c r="J142" s="269"/>
      <c r="K142" s="59"/>
      <c r="L142" s="22" t="s">
        <v>3544</v>
      </c>
      <c r="M142" s="28" t="s">
        <v>4173</v>
      </c>
      <c r="N142" s="22" t="s">
        <v>1523</v>
      </c>
      <c r="O142" s="29">
        <v>16600</v>
      </c>
      <c r="P142" s="29">
        <f t="shared" si="239"/>
        <v>1162</v>
      </c>
      <c r="Q142" s="29">
        <f t="shared" si="240"/>
        <v>17762</v>
      </c>
      <c r="R142" s="61"/>
      <c r="S142" s="96"/>
      <c r="T142" s="97"/>
      <c r="U142" s="98"/>
      <c r="V142" s="1225"/>
      <c r="W142" s="1225"/>
      <c r="X142" s="100"/>
      <c r="Y142" s="1225"/>
      <c r="Z142" s="1225"/>
      <c r="AA142" s="1225"/>
      <c r="AB142" s="1225"/>
      <c r="AC142" s="100"/>
      <c r="AD142" s="595"/>
      <c r="AE142" s="40">
        <v>20080229</v>
      </c>
      <c r="AF142" s="1186" t="s">
        <v>3423</v>
      </c>
      <c r="AG142" s="41">
        <v>16600</v>
      </c>
      <c r="AH142" s="63">
        <f t="shared" si="247"/>
        <v>1162</v>
      </c>
      <c r="AI142" s="52">
        <f t="shared" si="248"/>
        <v>17762</v>
      </c>
      <c r="AJ142" s="53">
        <v>44097</v>
      </c>
      <c r="AK142" s="39"/>
      <c r="AL142" s="39"/>
      <c r="AM142" s="39" t="s">
        <v>3423</v>
      </c>
      <c r="AN142" s="21" t="s">
        <v>4178</v>
      </c>
      <c r="AO142" s="1458">
        <v>1</v>
      </c>
      <c r="AP142" s="45" t="s">
        <v>404</v>
      </c>
      <c r="AQ142" s="46"/>
      <c r="AR142" s="46"/>
      <c r="AS142" s="47">
        <v>2</v>
      </c>
      <c r="AT142" s="102"/>
      <c r="AU142" s="1696"/>
      <c r="AV142" s="54"/>
      <c r="AW142" s="1696"/>
      <c r="AX142" s="1696"/>
      <c r="AY142" s="1696"/>
      <c r="AZ142" s="54"/>
      <c r="BA142" s="1696"/>
      <c r="BB142" s="54"/>
      <c r="BC142" s="1696"/>
      <c r="BD142" s="1696"/>
      <c r="BE142" s="1696"/>
      <c r="BF142" s="54"/>
      <c r="BG142" s="1696"/>
      <c r="BH142" s="54"/>
      <c r="BI142" s="1696"/>
      <c r="BJ142" s="1696"/>
      <c r="BK142" s="1696"/>
      <c r="BL142" s="54"/>
      <c r="BM142" s="1696"/>
      <c r="BN142" s="54"/>
      <c r="BO142" s="1696"/>
      <c r="BP142" s="1696"/>
      <c r="BQ142" s="1696"/>
      <c r="BR142" s="54"/>
      <c r="BS142" s="1696"/>
      <c r="BT142" s="54"/>
      <c r="BU142" s="1696"/>
      <c r="BV142" s="1696"/>
      <c r="BW142" s="1696"/>
      <c r="BX142" s="54"/>
      <c r="BY142" s="1696"/>
      <c r="BZ142" s="54"/>
      <c r="CA142" s="1696"/>
      <c r="CB142" s="1696"/>
      <c r="CC142" s="1696"/>
      <c r="CD142" s="54"/>
      <c r="CE142" s="1696"/>
      <c r="CF142" s="54"/>
      <c r="CG142" s="1696"/>
      <c r="CH142" s="1696"/>
      <c r="CI142" s="1696"/>
      <c r="CJ142" s="1696"/>
    </row>
    <row r="143" spans="1:88" x14ac:dyDescent="0.5">
      <c r="A143" s="227">
        <v>20086640</v>
      </c>
      <c r="B143" s="22">
        <v>20080679</v>
      </c>
      <c r="C143" s="1019" t="s">
        <v>2310</v>
      </c>
      <c r="D143" s="1020" t="s">
        <v>2691</v>
      </c>
      <c r="E143" s="884">
        <v>44063</v>
      </c>
      <c r="F143" s="932" t="s">
        <v>3368</v>
      </c>
      <c r="G143" s="933" t="s">
        <v>2339</v>
      </c>
      <c r="H143" s="884">
        <v>44062</v>
      </c>
      <c r="I143" s="1021">
        <v>63201</v>
      </c>
      <c r="J143" s="931" t="s">
        <v>3423</v>
      </c>
      <c r="K143" s="957">
        <v>44063</v>
      </c>
      <c r="L143" s="22" t="s">
        <v>4162</v>
      </c>
      <c r="M143" s="28" t="s">
        <v>4163</v>
      </c>
      <c r="N143" s="22" t="s">
        <v>1523</v>
      </c>
      <c r="O143" s="29">
        <v>9500</v>
      </c>
      <c r="P143" s="29">
        <f t="shared" si="239"/>
        <v>665</v>
      </c>
      <c r="Q143" s="29">
        <f t="shared" si="240"/>
        <v>10165</v>
      </c>
      <c r="R143" s="61"/>
      <c r="S143" s="96"/>
      <c r="T143" s="97"/>
      <c r="U143" s="98"/>
      <c r="V143" s="1225"/>
      <c r="W143" s="1231">
        <v>56.81</v>
      </c>
      <c r="X143" s="1184">
        <f>O143</f>
        <v>9500</v>
      </c>
      <c r="Y143" s="1223">
        <f t="shared" si="244"/>
        <v>0.32974999999999993</v>
      </c>
      <c r="Z143" s="1223">
        <f>9500*0.33/100</f>
        <v>31.35</v>
      </c>
      <c r="AA143" s="1228">
        <v>0.5</v>
      </c>
      <c r="AB143" s="1228">
        <f t="shared" si="245"/>
        <v>47.5</v>
      </c>
      <c r="AC143" s="37">
        <v>0.2</v>
      </c>
      <c r="AD143" s="1234">
        <f t="shared" si="246"/>
        <v>19</v>
      </c>
      <c r="AE143" s="40">
        <v>20080228</v>
      </c>
      <c r="AF143" s="1186" t="s">
        <v>3423</v>
      </c>
      <c r="AG143" s="41">
        <v>9500</v>
      </c>
      <c r="AH143" s="63">
        <f t="shared" si="247"/>
        <v>665</v>
      </c>
      <c r="AI143" s="52">
        <f t="shared" si="248"/>
        <v>10165</v>
      </c>
      <c r="AJ143" s="53">
        <v>44063</v>
      </c>
      <c r="AK143" s="39" t="s">
        <v>3423</v>
      </c>
      <c r="AL143" s="39"/>
      <c r="AM143" s="39"/>
      <c r="AN143" s="21" t="s">
        <v>4338</v>
      </c>
      <c r="AO143" s="1458">
        <v>1</v>
      </c>
      <c r="AP143" s="45" t="s">
        <v>661</v>
      </c>
      <c r="AQ143" s="46"/>
      <c r="AR143" s="46" t="s">
        <v>3423</v>
      </c>
      <c r="AS143" s="47">
        <v>1</v>
      </c>
      <c r="AT143" s="48" t="s">
        <v>634</v>
      </c>
      <c r="AU143" s="1695"/>
      <c r="AV143" s="54"/>
      <c r="AW143" s="1695"/>
      <c r="AX143" s="1695"/>
      <c r="AY143" s="1695"/>
      <c r="AZ143" s="54"/>
      <c r="BA143" s="1695"/>
      <c r="BB143" s="54"/>
      <c r="BC143" s="1695"/>
      <c r="BD143" s="1695"/>
      <c r="BE143" s="1695"/>
      <c r="BF143" s="54"/>
      <c r="BG143" s="1695"/>
      <c r="BH143" s="54"/>
      <c r="BI143" s="1695"/>
      <c r="BJ143" s="1695"/>
      <c r="BK143" s="1695"/>
      <c r="BL143" s="54"/>
      <c r="BM143" s="1695"/>
      <c r="BN143" s="54"/>
      <c r="BO143" s="1695"/>
      <c r="BP143" s="1695"/>
      <c r="BQ143" s="1695"/>
      <c r="BR143" s="54"/>
      <c r="BS143" s="1695"/>
      <c r="BT143" s="54"/>
      <c r="BU143" s="1695"/>
      <c r="BV143" s="1695"/>
      <c r="BW143" s="1695"/>
      <c r="BX143" s="54"/>
      <c r="BY143" s="1695"/>
      <c r="BZ143" s="54"/>
      <c r="CA143" s="1695"/>
      <c r="CB143" s="1695"/>
      <c r="CC143" s="1695"/>
      <c r="CD143" s="54"/>
      <c r="CE143" s="1695"/>
      <c r="CF143" s="54"/>
      <c r="CG143" s="1695"/>
      <c r="CH143" s="1695"/>
      <c r="CI143" s="1695"/>
      <c r="CJ143" s="1695"/>
    </row>
    <row r="144" spans="1:88" s="95" customFormat="1" x14ac:dyDescent="0.5">
      <c r="A144" s="65">
        <v>20086639</v>
      </c>
      <c r="B144" s="66">
        <v>20080664</v>
      </c>
      <c r="C144" s="312"/>
      <c r="D144" s="313"/>
      <c r="E144" s="929"/>
      <c r="F144" s="314"/>
      <c r="G144" s="315"/>
      <c r="H144" s="316"/>
      <c r="I144" s="317"/>
      <c r="J144" s="835"/>
      <c r="K144" s="316"/>
      <c r="L144" s="66" t="s">
        <v>3958</v>
      </c>
      <c r="M144" s="72" t="s">
        <v>4158</v>
      </c>
      <c r="N144" s="66" t="s">
        <v>1523</v>
      </c>
      <c r="O144" s="73">
        <v>30000</v>
      </c>
      <c r="P144" s="73">
        <f t="shared" si="239"/>
        <v>2100</v>
      </c>
      <c r="Q144" s="73">
        <f t="shared" si="240"/>
        <v>32100</v>
      </c>
      <c r="R144" s="74">
        <v>16000</v>
      </c>
      <c r="S144" s="75" t="s">
        <v>2397</v>
      </c>
      <c r="T144" s="76">
        <f t="shared" si="241"/>
        <v>14000</v>
      </c>
      <c r="U144" s="321" t="s">
        <v>1994</v>
      </c>
      <c r="V144" s="1370">
        <f>T144</f>
        <v>14000</v>
      </c>
      <c r="W144" s="1321"/>
      <c r="X144" s="323"/>
      <c r="Y144" s="1321"/>
      <c r="Z144" s="1321"/>
      <c r="AA144" s="1321"/>
      <c r="AB144" s="1321"/>
      <c r="AC144" s="323"/>
      <c r="AD144" s="1322"/>
      <c r="AE144" s="84">
        <v>20080216</v>
      </c>
      <c r="AF144" s="1323" t="s">
        <v>3423</v>
      </c>
      <c r="AG144" s="85">
        <v>30000</v>
      </c>
      <c r="AH144" s="590">
        <f t="shared" si="247"/>
        <v>2100</v>
      </c>
      <c r="AI144" s="908">
        <f t="shared" si="248"/>
        <v>32100</v>
      </c>
      <c r="AJ144" s="909">
        <v>44056</v>
      </c>
      <c r="AK144" s="83"/>
      <c r="AL144" s="83"/>
      <c r="AM144" s="83" t="s">
        <v>3423</v>
      </c>
      <c r="AN144" s="65" t="s">
        <v>4252</v>
      </c>
      <c r="AO144" s="88">
        <v>1</v>
      </c>
      <c r="AP144" s="89" t="s">
        <v>404</v>
      </c>
      <c r="AQ144" s="90"/>
      <c r="AR144" s="90"/>
      <c r="AS144" s="91">
        <v>1</v>
      </c>
      <c r="AT144" s="633"/>
      <c r="AU144" s="88"/>
      <c r="AV144" s="94"/>
      <c r="AW144" s="88"/>
      <c r="AX144" s="88"/>
      <c r="AY144" s="88"/>
      <c r="AZ144" s="94"/>
      <c r="BA144" s="88"/>
      <c r="BB144" s="94"/>
      <c r="BC144" s="88"/>
      <c r="BD144" s="88"/>
      <c r="BE144" s="88"/>
      <c r="BF144" s="94"/>
      <c r="BG144" s="88"/>
      <c r="BH144" s="94"/>
      <c r="BI144" s="88"/>
      <c r="BJ144" s="88"/>
      <c r="BK144" s="88"/>
      <c r="BL144" s="94"/>
      <c r="BM144" s="88"/>
      <c r="BN144" s="94"/>
      <c r="BO144" s="88"/>
      <c r="BP144" s="88"/>
      <c r="BQ144" s="88"/>
      <c r="BR144" s="94"/>
      <c r="BS144" s="88"/>
      <c r="BT144" s="94"/>
      <c r="BU144" s="88"/>
      <c r="BV144" s="88"/>
      <c r="BW144" s="88"/>
      <c r="BX144" s="94"/>
      <c r="BY144" s="88"/>
      <c r="BZ144" s="94"/>
      <c r="CA144" s="88"/>
      <c r="CB144" s="88"/>
      <c r="CC144" s="88"/>
      <c r="CD144" s="94"/>
      <c r="CE144" s="88"/>
      <c r="CF144" s="94"/>
      <c r="CG144" s="88"/>
      <c r="CH144" s="88"/>
      <c r="CI144" s="88"/>
      <c r="CJ144" s="88"/>
    </row>
    <row r="145" spans="1:88" x14ac:dyDescent="0.5">
      <c r="A145" s="21">
        <v>20086638</v>
      </c>
      <c r="B145" s="22" t="s">
        <v>4130</v>
      </c>
      <c r="C145" s="1019" t="s">
        <v>2314</v>
      </c>
      <c r="D145" s="1020" t="s">
        <v>2691</v>
      </c>
      <c r="E145" s="884">
        <v>44135</v>
      </c>
      <c r="F145" s="932"/>
      <c r="G145" s="933"/>
      <c r="H145" s="831"/>
      <c r="I145" s="1021"/>
      <c r="J145" s="931"/>
      <c r="K145" s="40"/>
      <c r="L145" s="22" t="s">
        <v>4131</v>
      </c>
      <c r="M145" s="28" t="s">
        <v>4132</v>
      </c>
      <c r="N145" s="22" t="s">
        <v>52</v>
      </c>
      <c r="O145" s="29">
        <v>75000</v>
      </c>
      <c r="P145" s="29">
        <f t="shared" si="239"/>
        <v>5250</v>
      </c>
      <c r="Q145" s="29">
        <f t="shared" si="240"/>
        <v>80250</v>
      </c>
      <c r="R145" s="30">
        <v>7000</v>
      </c>
      <c r="S145" s="31" t="s">
        <v>568</v>
      </c>
      <c r="T145" s="32">
        <f t="shared" si="241"/>
        <v>68000</v>
      </c>
      <c r="U145" s="33">
        <v>5</v>
      </c>
      <c r="V145" s="1251">
        <f t="shared" si="242"/>
        <v>3400</v>
      </c>
      <c r="W145" s="1231">
        <v>55.23</v>
      </c>
      <c r="X145" s="1184">
        <f t="shared" si="243"/>
        <v>64600</v>
      </c>
      <c r="Y145" s="1223">
        <f t="shared" si="244"/>
        <v>0.36925000000000008</v>
      </c>
      <c r="Z145" s="1223">
        <f>64600*0.37/100</f>
        <v>239.02</v>
      </c>
      <c r="AA145" s="1225"/>
      <c r="AB145" s="1225">
        <f t="shared" si="245"/>
        <v>0</v>
      </c>
      <c r="AC145" s="37">
        <v>0.2</v>
      </c>
      <c r="AD145" s="1234">
        <f t="shared" si="246"/>
        <v>129.19999999999999</v>
      </c>
      <c r="AE145" s="40"/>
      <c r="AF145" s="1186"/>
      <c r="AG145" s="41"/>
      <c r="AH145" s="63">
        <f t="shared" si="247"/>
        <v>0</v>
      </c>
      <c r="AI145" s="52">
        <f t="shared" si="248"/>
        <v>0</v>
      </c>
      <c r="AJ145" s="43"/>
      <c r="AK145" s="39"/>
      <c r="AL145" s="39"/>
      <c r="AM145" s="39"/>
      <c r="AN145" s="21"/>
      <c r="AO145" s="1458">
        <v>1</v>
      </c>
      <c r="AP145" s="45" t="s">
        <v>4133</v>
      </c>
      <c r="AQ145" s="46"/>
      <c r="AR145" s="46" t="s">
        <v>3423</v>
      </c>
      <c r="AS145" s="47">
        <v>2</v>
      </c>
      <c r="AT145" s="48" t="s">
        <v>634</v>
      </c>
      <c r="AU145" s="1458">
        <v>2</v>
      </c>
      <c r="AV145" s="40" t="s">
        <v>600</v>
      </c>
      <c r="AW145" s="47"/>
      <c r="AX145" s="47" t="s">
        <v>3423</v>
      </c>
      <c r="AY145" s="47">
        <v>1</v>
      </c>
      <c r="AZ145" s="49" t="s">
        <v>636</v>
      </c>
      <c r="BA145" s="1655"/>
      <c r="BB145" s="54"/>
      <c r="BC145" s="1655"/>
      <c r="BD145" s="1655"/>
      <c r="BE145" s="1655"/>
      <c r="BF145" s="54"/>
      <c r="BG145" s="1655"/>
      <c r="BH145" s="54"/>
      <c r="BI145" s="1655"/>
      <c r="BJ145" s="1655"/>
      <c r="BK145" s="1655"/>
      <c r="BL145" s="54"/>
      <c r="BM145" s="1655"/>
      <c r="BN145" s="54"/>
      <c r="BO145" s="1655"/>
      <c r="BP145" s="1655"/>
      <c r="BQ145" s="1655"/>
      <c r="BR145" s="54"/>
      <c r="BS145" s="1655"/>
      <c r="BT145" s="54"/>
      <c r="BU145" s="1655"/>
      <c r="BV145" s="1655"/>
      <c r="BW145" s="1655"/>
      <c r="BX145" s="54"/>
      <c r="BY145" s="1655"/>
      <c r="BZ145" s="54"/>
      <c r="CA145" s="1655"/>
      <c r="CB145" s="1655"/>
      <c r="CC145" s="1655"/>
      <c r="CD145" s="54"/>
      <c r="CE145" s="1655"/>
      <c r="CF145" s="54"/>
      <c r="CG145" s="1655"/>
      <c r="CH145" s="1655"/>
      <c r="CI145" s="1655"/>
      <c r="CJ145" s="1655"/>
    </row>
    <row r="146" spans="1:88" x14ac:dyDescent="0.5">
      <c r="A146" s="21">
        <v>20086637</v>
      </c>
      <c r="B146" s="1656">
        <v>20080650</v>
      </c>
      <c r="C146" s="1657" t="s">
        <v>1352</v>
      </c>
      <c r="D146" s="1020" t="s">
        <v>2691</v>
      </c>
      <c r="E146" s="884" t="s">
        <v>4134</v>
      </c>
      <c r="F146" s="932"/>
      <c r="G146" s="933"/>
      <c r="H146" s="831"/>
      <c r="I146" s="1021"/>
      <c r="J146" s="931"/>
      <c r="K146" s="40"/>
      <c r="L146" s="22" t="s">
        <v>154</v>
      </c>
      <c r="M146" s="28" t="s">
        <v>4135</v>
      </c>
      <c r="N146" s="22" t="s">
        <v>51</v>
      </c>
      <c r="O146" s="29">
        <v>40000</v>
      </c>
      <c r="P146" s="29">
        <f t="shared" si="219"/>
        <v>2800</v>
      </c>
      <c r="Q146" s="29">
        <f t="shared" si="220"/>
        <v>42800</v>
      </c>
      <c r="R146" s="61"/>
      <c r="S146" s="96"/>
      <c r="T146" s="97"/>
      <c r="U146" s="98"/>
      <c r="V146" s="1225"/>
      <c r="W146" s="1225"/>
      <c r="X146" s="100"/>
      <c r="Y146" s="1225"/>
      <c r="Z146" s="1225"/>
      <c r="AA146" s="1225"/>
      <c r="AB146" s="1225"/>
      <c r="AC146" s="100"/>
      <c r="AD146" s="595"/>
      <c r="AE146" s="40"/>
      <c r="AF146" s="1186"/>
      <c r="AG146" s="41"/>
      <c r="AH146" s="63">
        <f t="shared" si="227"/>
        <v>0</v>
      </c>
      <c r="AI146" s="52">
        <f t="shared" si="228"/>
        <v>0</v>
      </c>
      <c r="AJ146" s="43"/>
      <c r="AK146" s="39"/>
      <c r="AL146" s="39"/>
      <c r="AM146" s="39"/>
      <c r="AN146" s="21"/>
      <c r="AO146" s="1458">
        <v>1</v>
      </c>
      <c r="AP146" s="45" t="s">
        <v>4136</v>
      </c>
      <c r="AQ146" s="46"/>
      <c r="AR146" s="46"/>
      <c r="AS146" s="47">
        <v>10</v>
      </c>
      <c r="AT146" s="48" t="s">
        <v>628</v>
      </c>
      <c r="AU146" s="1458">
        <v>2</v>
      </c>
      <c r="AV146" s="40" t="s">
        <v>1894</v>
      </c>
      <c r="AW146" s="47"/>
      <c r="AX146" s="47"/>
      <c r="AY146" s="47">
        <v>10</v>
      </c>
      <c r="AZ146" s="49" t="s">
        <v>628</v>
      </c>
      <c r="BA146" s="1655"/>
      <c r="BB146" s="54"/>
      <c r="BC146" s="1655"/>
      <c r="BD146" s="1655"/>
      <c r="BE146" s="1655"/>
      <c r="BF146" s="54"/>
      <c r="BG146" s="1655"/>
      <c r="BH146" s="54"/>
      <c r="BI146" s="1655"/>
      <c r="BJ146" s="1655"/>
      <c r="BK146" s="1655"/>
      <c r="BL146" s="54"/>
      <c r="BM146" s="1655"/>
      <c r="BN146" s="54"/>
      <c r="BO146" s="1655"/>
      <c r="BP146" s="1655"/>
      <c r="BQ146" s="1655"/>
      <c r="BR146" s="54"/>
      <c r="BS146" s="1655"/>
      <c r="BT146" s="54"/>
      <c r="BU146" s="1655"/>
      <c r="BV146" s="1655"/>
      <c r="BW146" s="1655"/>
      <c r="BX146" s="54"/>
      <c r="BY146" s="1655"/>
      <c r="BZ146" s="54"/>
      <c r="CA146" s="1655"/>
      <c r="CB146" s="1655"/>
      <c r="CC146" s="1655"/>
      <c r="CD146" s="54"/>
      <c r="CE146" s="1655"/>
      <c r="CF146" s="54"/>
      <c r="CG146" s="1655"/>
      <c r="CH146" s="1655"/>
      <c r="CI146" s="1655"/>
      <c r="CJ146" s="1655"/>
    </row>
    <row r="147" spans="1:88" x14ac:dyDescent="0.5">
      <c r="A147" s="21">
        <v>20086636</v>
      </c>
      <c r="B147" s="1656">
        <v>20080649</v>
      </c>
      <c r="C147" s="1657" t="s">
        <v>1354</v>
      </c>
      <c r="D147" s="1020" t="s">
        <v>2691</v>
      </c>
      <c r="E147" s="884" t="s">
        <v>4137</v>
      </c>
      <c r="F147" s="932" t="s">
        <v>3368</v>
      </c>
      <c r="G147" s="933" t="s">
        <v>2296</v>
      </c>
      <c r="H147" s="884">
        <v>44053</v>
      </c>
      <c r="I147" s="1021">
        <v>63193</v>
      </c>
      <c r="J147" s="931" t="s">
        <v>3423</v>
      </c>
      <c r="K147" s="957">
        <v>44050</v>
      </c>
      <c r="L147" s="22" t="s">
        <v>154</v>
      </c>
      <c r="M147" s="28" t="s">
        <v>4138</v>
      </c>
      <c r="N147" s="22" t="s">
        <v>51</v>
      </c>
      <c r="O147" s="29">
        <v>100000</v>
      </c>
      <c r="P147" s="29">
        <f t="shared" si="219"/>
        <v>7000</v>
      </c>
      <c r="Q147" s="29">
        <f t="shared" si="220"/>
        <v>107000</v>
      </c>
      <c r="R147" s="61"/>
      <c r="S147" s="96"/>
      <c r="T147" s="97"/>
      <c r="U147" s="98"/>
      <c r="V147" s="1225"/>
      <c r="W147" s="1225"/>
      <c r="X147" s="100"/>
      <c r="Y147" s="1225"/>
      <c r="Z147" s="1225"/>
      <c r="AA147" s="1225"/>
      <c r="AB147" s="1225"/>
      <c r="AC147" s="100"/>
      <c r="AD147" s="595"/>
      <c r="AE147" s="40">
        <v>20080214</v>
      </c>
      <c r="AF147" s="1186" t="s">
        <v>3423</v>
      </c>
      <c r="AG147" s="41">
        <v>100000</v>
      </c>
      <c r="AH147" s="63">
        <f t="shared" si="227"/>
        <v>7000</v>
      </c>
      <c r="AI147" s="52">
        <f t="shared" si="228"/>
        <v>107000</v>
      </c>
      <c r="AJ147" s="53">
        <v>44083</v>
      </c>
      <c r="AK147" s="39"/>
      <c r="AL147" s="39"/>
      <c r="AM147" s="39" t="s">
        <v>3423</v>
      </c>
      <c r="AN147" s="21"/>
      <c r="AO147" s="1458">
        <v>1</v>
      </c>
      <c r="AP147" s="45" t="s">
        <v>4139</v>
      </c>
      <c r="AQ147" s="46"/>
      <c r="AR147" s="46"/>
      <c r="AS147" s="47">
        <v>13</v>
      </c>
      <c r="AT147" s="48" t="s">
        <v>628</v>
      </c>
      <c r="AU147" s="1458">
        <v>2</v>
      </c>
      <c r="AV147" s="40" t="s">
        <v>4140</v>
      </c>
      <c r="AW147" s="47"/>
      <c r="AX147" s="47"/>
      <c r="AY147" s="47">
        <v>1</v>
      </c>
      <c r="AZ147" s="49" t="s">
        <v>628</v>
      </c>
      <c r="BA147" s="1458">
        <v>3</v>
      </c>
      <c r="BB147" s="40" t="s">
        <v>4136</v>
      </c>
      <c r="BC147" s="47"/>
      <c r="BD147" s="47"/>
      <c r="BE147" s="47">
        <v>4</v>
      </c>
      <c r="BF147" s="49" t="s">
        <v>628</v>
      </c>
      <c r="BG147" s="1458">
        <v>4</v>
      </c>
      <c r="BH147" s="40" t="s">
        <v>4141</v>
      </c>
      <c r="BI147" s="47"/>
      <c r="BJ147" s="47"/>
      <c r="BK147" s="47">
        <v>2</v>
      </c>
      <c r="BL147" s="49" t="s">
        <v>628</v>
      </c>
      <c r="BM147" s="1655"/>
      <c r="BN147" s="54"/>
      <c r="BO147" s="1655"/>
      <c r="BP147" s="1655"/>
      <c r="BQ147" s="1655"/>
      <c r="BR147" s="54"/>
      <c r="BS147" s="1655"/>
      <c r="BT147" s="54"/>
      <c r="BU147" s="1655"/>
      <c r="BV147" s="1655"/>
      <c r="BW147" s="1655"/>
      <c r="BX147" s="54"/>
      <c r="BY147" s="1655"/>
      <c r="BZ147" s="54"/>
      <c r="CA147" s="1655"/>
      <c r="CB147" s="1655"/>
      <c r="CC147" s="1655"/>
      <c r="CD147" s="54"/>
      <c r="CE147" s="1655"/>
      <c r="CF147" s="54"/>
      <c r="CG147" s="1655"/>
      <c r="CH147" s="1655"/>
      <c r="CI147" s="1655"/>
      <c r="CJ147" s="1655"/>
    </row>
    <row r="148" spans="1:88" x14ac:dyDescent="0.5">
      <c r="A148" s="259">
        <v>20086635</v>
      </c>
      <c r="B148" s="104">
        <v>20080647</v>
      </c>
      <c r="C148" s="1243" t="s">
        <v>2319</v>
      </c>
      <c r="D148" s="1244" t="s">
        <v>2691</v>
      </c>
      <c r="E148" s="302" t="s">
        <v>4142</v>
      </c>
      <c r="F148" s="946" t="s">
        <v>3368</v>
      </c>
      <c r="G148" s="947" t="s">
        <v>2303</v>
      </c>
      <c r="H148" s="914">
        <v>44056</v>
      </c>
      <c r="I148" s="1315">
        <v>63197</v>
      </c>
      <c r="J148" s="970"/>
      <c r="K148" s="962">
        <v>44057</v>
      </c>
      <c r="L148" s="104" t="s">
        <v>4127</v>
      </c>
      <c r="M148" s="110" t="s">
        <v>3923</v>
      </c>
      <c r="N148" s="104" t="s">
        <v>1523</v>
      </c>
      <c r="O148" s="111">
        <v>300000</v>
      </c>
      <c r="P148" s="111">
        <f t="shared" si="211"/>
        <v>21000</v>
      </c>
      <c r="Q148" s="111">
        <f t="shared" si="212"/>
        <v>321000</v>
      </c>
      <c r="R148" s="212"/>
      <c r="S148" s="113" t="s">
        <v>3939</v>
      </c>
      <c r="T148" s="114">
        <f t="shared" si="213"/>
        <v>300000</v>
      </c>
      <c r="U148" s="115">
        <v>5</v>
      </c>
      <c r="V148" s="1252">
        <f t="shared" ref="V148" si="249">T148*U148/100</f>
        <v>15000</v>
      </c>
      <c r="W148" s="1245">
        <v>53.53</v>
      </c>
      <c r="X148" s="1246">
        <f t="shared" si="214"/>
        <v>285000</v>
      </c>
      <c r="Y148" s="1247">
        <f t="shared" ref="Y148" si="250">SUM((50-W148)/(100)*(2.5)+(0.5))</f>
        <v>0.41174999999999995</v>
      </c>
      <c r="Z148" s="1247">
        <f>285000*0.41/100</f>
        <v>1168.5</v>
      </c>
      <c r="AA148" s="1265">
        <v>0.5</v>
      </c>
      <c r="AB148" s="1265">
        <f t="shared" si="215"/>
        <v>1425</v>
      </c>
      <c r="AC148" s="119">
        <v>0.2</v>
      </c>
      <c r="AD148" s="1248">
        <f t="shared" si="216"/>
        <v>570</v>
      </c>
      <c r="AE148" s="229">
        <v>20080212</v>
      </c>
      <c r="AF148" s="1313"/>
      <c r="AG148" s="230">
        <v>90000</v>
      </c>
      <c r="AH148" s="233">
        <f t="shared" si="217"/>
        <v>6300</v>
      </c>
      <c r="AI148" s="220">
        <f t="shared" si="218"/>
        <v>96300</v>
      </c>
      <c r="AJ148" s="221">
        <v>44053</v>
      </c>
      <c r="AK148" s="121" t="s">
        <v>3423</v>
      </c>
      <c r="AL148" s="121"/>
      <c r="AM148" s="121"/>
      <c r="AN148" s="222" t="s">
        <v>4342</v>
      </c>
      <c r="AO148" s="128">
        <v>1</v>
      </c>
      <c r="AP148" s="129" t="s">
        <v>826</v>
      </c>
      <c r="AQ148" s="130" t="s">
        <v>3423</v>
      </c>
      <c r="AR148" s="130"/>
      <c r="AS148" s="131">
        <v>4</v>
      </c>
      <c r="AT148" s="132" t="s">
        <v>636</v>
      </c>
      <c r="AU148" s="128">
        <v>2</v>
      </c>
      <c r="AV148" s="123" t="s">
        <v>3924</v>
      </c>
      <c r="AW148" s="131" t="s">
        <v>3423</v>
      </c>
      <c r="AX148" s="131"/>
      <c r="AY148" s="131">
        <v>2</v>
      </c>
      <c r="AZ148" s="169" t="s">
        <v>636</v>
      </c>
      <c r="BA148" s="128"/>
      <c r="BB148" s="133"/>
      <c r="BC148" s="128"/>
      <c r="BD148" s="128"/>
      <c r="BE148" s="128"/>
      <c r="BF148" s="133"/>
      <c r="BG148" s="128"/>
      <c r="BH148" s="133"/>
      <c r="BI148" s="128"/>
      <c r="BJ148" s="128"/>
      <c r="BK148" s="128"/>
      <c r="BL148" s="133"/>
      <c r="BM148" s="128"/>
      <c r="BN148" s="133"/>
      <c r="BO148" s="128"/>
      <c r="BP148" s="128"/>
      <c r="BQ148" s="128"/>
      <c r="BR148" s="133"/>
      <c r="BS148" s="128"/>
      <c r="BT148" s="133"/>
      <c r="BU148" s="128"/>
      <c r="BV148" s="128"/>
      <c r="BW148" s="128"/>
      <c r="BX148" s="133"/>
      <c r="BY148" s="128"/>
      <c r="BZ148" s="133"/>
      <c r="CA148" s="128"/>
      <c r="CB148" s="128"/>
      <c r="CC148" s="128"/>
      <c r="CD148" s="133"/>
      <c r="CE148" s="128"/>
      <c r="CF148" s="133"/>
      <c r="CG148" s="128"/>
      <c r="CH148" s="128"/>
      <c r="CI148" s="128"/>
      <c r="CJ148" s="128"/>
    </row>
    <row r="149" spans="1:88" x14ac:dyDescent="0.5">
      <c r="A149" s="262"/>
      <c r="B149" s="135"/>
      <c r="C149" s="1290"/>
      <c r="D149" s="1291"/>
      <c r="E149" s="906"/>
      <c r="F149" s="940" t="s">
        <v>3368</v>
      </c>
      <c r="G149" s="941" t="s">
        <v>2394</v>
      </c>
      <c r="H149" s="1316">
        <v>44063</v>
      </c>
      <c r="I149" s="1317">
        <v>63203</v>
      </c>
      <c r="J149" s="963" t="s">
        <v>3423</v>
      </c>
      <c r="K149" s="964">
        <v>44064</v>
      </c>
      <c r="L149" s="135"/>
      <c r="M149" s="135"/>
      <c r="N149" s="135"/>
      <c r="O149" s="142"/>
      <c r="P149" s="142"/>
      <c r="Q149" s="142"/>
      <c r="R149" s="213"/>
      <c r="S149" s="144"/>
      <c r="T149" s="145"/>
      <c r="U149" s="146"/>
      <c r="V149" s="1292"/>
      <c r="W149" s="1293"/>
      <c r="X149" s="1294"/>
      <c r="Y149" s="1295"/>
      <c r="Z149" s="1295"/>
      <c r="AA149" s="1308"/>
      <c r="AB149" s="1308"/>
      <c r="AC149" s="150"/>
      <c r="AD149" s="1297"/>
      <c r="AE149" s="154">
        <v>20080213</v>
      </c>
      <c r="AF149" s="1298" t="s">
        <v>3423</v>
      </c>
      <c r="AG149" s="155">
        <v>210000</v>
      </c>
      <c r="AH149" s="253">
        <f t="shared" si="217"/>
        <v>14700</v>
      </c>
      <c r="AI149" s="156">
        <f t="shared" si="218"/>
        <v>224700</v>
      </c>
      <c r="AJ149" s="157">
        <v>44083</v>
      </c>
      <c r="AK149" s="152" t="s">
        <v>3423</v>
      </c>
      <c r="AL149" s="152"/>
      <c r="AM149" s="152"/>
      <c r="AN149" s="134" t="s">
        <v>4328</v>
      </c>
      <c r="AO149" s="158"/>
      <c r="AP149" s="1697"/>
      <c r="AQ149" s="339"/>
      <c r="AR149" s="339"/>
      <c r="AS149" s="158"/>
      <c r="AT149" s="299"/>
      <c r="AU149" s="158"/>
      <c r="AV149" s="163"/>
      <c r="AW149" s="158"/>
      <c r="AX149" s="158"/>
      <c r="AY149" s="158"/>
      <c r="AZ149" s="163"/>
      <c r="BA149" s="158"/>
      <c r="BB149" s="163"/>
      <c r="BC149" s="158"/>
      <c r="BD149" s="158"/>
      <c r="BE149" s="158"/>
      <c r="BF149" s="163"/>
      <c r="BG149" s="158"/>
      <c r="BH149" s="163"/>
      <c r="BI149" s="158"/>
      <c r="BJ149" s="158"/>
      <c r="BK149" s="158"/>
      <c r="BL149" s="163"/>
      <c r="BM149" s="158"/>
      <c r="BN149" s="163"/>
      <c r="BO149" s="158"/>
      <c r="BP149" s="158"/>
      <c r="BQ149" s="158"/>
      <c r="BR149" s="163"/>
      <c r="BS149" s="158"/>
      <c r="BT149" s="163"/>
      <c r="BU149" s="158"/>
      <c r="BV149" s="158"/>
      <c r="BW149" s="158"/>
      <c r="BX149" s="163"/>
      <c r="BY149" s="158"/>
      <c r="BZ149" s="163"/>
      <c r="CA149" s="158"/>
      <c r="CB149" s="158"/>
      <c r="CC149" s="158"/>
      <c r="CD149" s="163"/>
      <c r="CE149" s="158"/>
      <c r="CF149" s="163"/>
      <c r="CG149" s="158"/>
      <c r="CH149" s="158"/>
      <c r="CI149" s="158"/>
      <c r="CJ149" s="158"/>
    </row>
    <row r="150" spans="1:88" x14ac:dyDescent="0.5">
      <c r="A150" s="262"/>
      <c r="B150" s="135"/>
      <c r="C150" s="1290"/>
      <c r="D150" s="1291"/>
      <c r="E150" s="906"/>
      <c r="F150" s="940"/>
      <c r="G150" s="941"/>
      <c r="H150" s="906">
        <v>44063</v>
      </c>
      <c r="I150" s="1138">
        <v>63204</v>
      </c>
      <c r="J150" s="963"/>
      <c r="K150" s="154"/>
      <c r="L150" s="135"/>
      <c r="M150" s="141"/>
      <c r="N150" s="135"/>
      <c r="O150" s="142"/>
      <c r="P150" s="142"/>
      <c r="Q150" s="142"/>
      <c r="R150" s="213"/>
      <c r="S150" s="144"/>
      <c r="T150" s="145"/>
      <c r="U150" s="146"/>
      <c r="V150" s="1292"/>
      <c r="W150" s="1293"/>
      <c r="X150" s="1294"/>
      <c r="Y150" s="1295"/>
      <c r="Z150" s="1295"/>
      <c r="AA150" s="1308"/>
      <c r="AB150" s="1308"/>
      <c r="AC150" s="150"/>
      <c r="AD150" s="1297"/>
      <c r="AE150" s="154"/>
      <c r="AF150" s="1298"/>
      <c r="AG150" s="155"/>
      <c r="AH150" s="253"/>
      <c r="AI150" s="156"/>
      <c r="AJ150" s="157"/>
      <c r="AK150" s="152"/>
      <c r="AL150" s="152"/>
      <c r="AM150" s="152"/>
      <c r="AN150" s="134"/>
      <c r="AO150" s="158"/>
      <c r="AP150" s="1697"/>
      <c r="AQ150" s="339"/>
      <c r="AR150" s="339"/>
      <c r="AS150" s="158"/>
      <c r="AT150" s="299"/>
      <c r="AU150" s="158"/>
      <c r="AV150" s="163"/>
      <c r="AW150" s="158"/>
      <c r="AX150" s="158"/>
      <c r="AY150" s="158"/>
      <c r="AZ150" s="163"/>
      <c r="BA150" s="158"/>
      <c r="BB150" s="163"/>
      <c r="BC150" s="158"/>
      <c r="BD150" s="158"/>
      <c r="BE150" s="158"/>
      <c r="BF150" s="163"/>
      <c r="BG150" s="158"/>
      <c r="BH150" s="163"/>
      <c r="BI150" s="158"/>
      <c r="BJ150" s="158"/>
      <c r="BK150" s="158"/>
      <c r="BL150" s="163"/>
      <c r="BM150" s="158"/>
      <c r="BN150" s="163"/>
      <c r="BO150" s="158"/>
      <c r="BP150" s="158"/>
      <c r="BQ150" s="158"/>
      <c r="BR150" s="163"/>
      <c r="BS150" s="158"/>
      <c r="BT150" s="163"/>
      <c r="BU150" s="158"/>
      <c r="BV150" s="158"/>
      <c r="BW150" s="158"/>
      <c r="BX150" s="163"/>
      <c r="BY150" s="158"/>
      <c r="BZ150" s="163"/>
      <c r="CA150" s="158"/>
      <c r="CB150" s="158"/>
      <c r="CC150" s="158"/>
      <c r="CD150" s="163"/>
      <c r="CE150" s="158"/>
      <c r="CF150" s="163"/>
      <c r="CG150" s="158"/>
      <c r="CH150" s="158"/>
      <c r="CI150" s="158"/>
      <c r="CJ150" s="158"/>
    </row>
    <row r="151" spans="1:88" x14ac:dyDescent="0.5">
      <c r="A151" s="259">
        <v>20086634</v>
      </c>
      <c r="B151" s="104">
        <v>20080646</v>
      </c>
      <c r="C151" s="1243" t="s">
        <v>1734</v>
      </c>
      <c r="D151" s="1244" t="s">
        <v>2691</v>
      </c>
      <c r="E151" s="302" t="s">
        <v>4142</v>
      </c>
      <c r="F151" s="946" t="s">
        <v>3368</v>
      </c>
      <c r="G151" s="947" t="s">
        <v>2319</v>
      </c>
      <c r="H151" s="914">
        <v>44056</v>
      </c>
      <c r="I151" s="1315">
        <v>63196</v>
      </c>
      <c r="J151" s="970"/>
      <c r="K151" s="962">
        <v>44057</v>
      </c>
      <c r="L151" s="104" t="s">
        <v>4127</v>
      </c>
      <c r="M151" s="110" t="s">
        <v>3923</v>
      </c>
      <c r="N151" s="104" t="s">
        <v>1523</v>
      </c>
      <c r="O151" s="111">
        <v>150000</v>
      </c>
      <c r="P151" s="111">
        <f t="shared" ref="P151:P191" si="251">O151*7/100</f>
        <v>10500</v>
      </c>
      <c r="Q151" s="111">
        <f t="shared" ref="Q151:Q191" si="252">O151+P151</f>
        <v>160500</v>
      </c>
      <c r="R151" s="212"/>
      <c r="S151" s="113" t="s">
        <v>3939</v>
      </c>
      <c r="T151" s="114">
        <f t="shared" ref="T151:T191" si="253">O151-R151</f>
        <v>150000</v>
      </c>
      <c r="U151" s="115">
        <v>5</v>
      </c>
      <c r="V151" s="1252">
        <f t="shared" ref="V151:V191" si="254">T151*U151/100</f>
        <v>7500</v>
      </c>
      <c r="W151" s="1245">
        <v>53.53</v>
      </c>
      <c r="X151" s="1246">
        <f t="shared" ref="X151:X188" si="255">T151-V151</f>
        <v>142500</v>
      </c>
      <c r="Y151" s="1247">
        <f t="shared" ref="Y151:Y191" si="256">SUM((50-W151)/(100)*(2.5)+(0.5))</f>
        <v>0.41174999999999995</v>
      </c>
      <c r="Z151" s="1247">
        <f>142500*0.41/100</f>
        <v>584.25</v>
      </c>
      <c r="AA151" s="1265">
        <v>0.5</v>
      </c>
      <c r="AB151" s="1265">
        <f t="shared" si="0"/>
        <v>712.5</v>
      </c>
      <c r="AC151" s="119">
        <v>0.2</v>
      </c>
      <c r="AD151" s="1248">
        <f t="shared" ref="AD151:AD191" si="257">X151*AC151/100</f>
        <v>285</v>
      </c>
      <c r="AE151" s="229">
        <v>20080210</v>
      </c>
      <c r="AF151" s="1313"/>
      <c r="AG151" s="230">
        <v>45000</v>
      </c>
      <c r="AH151" s="233">
        <f t="shared" ref="AH151:AH191" si="258">AG151*7/100</f>
        <v>3150</v>
      </c>
      <c r="AI151" s="220">
        <f t="shared" ref="AI151:AI191" si="259">AG151+AH151</f>
        <v>48150</v>
      </c>
      <c r="AJ151" s="221">
        <v>44053</v>
      </c>
      <c r="AK151" s="121" t="s">
        <v>3423</v>
      </c>
      <c r="AL151" s="121"/>
      <c r="AM151" s="121"/>
      <c r="AN151" s="222" t="s">
        <v>4341</v>
      </c>
      <c r="AO151" s="128">
        <v>1</v>
      </c>
      <c r="AP151" s="129" t="s">
        <v>826</v>
      </c>
      <c r="AQ151" s="130" t="s">
        <v>3423</v>
      </c>
      <c r="AR151" s="130"/>
      <c r="AS151" s="131">
        <v>2</v>
      </c>
      <c r="AT151" s="132" t="s">
        <v>636</v>
      </c>
      <c r="AU151" s="128">
        <v>2</v>
      </c>
      <c r="AV151" s="123" t="s">
        <v>3924</v>
      </c>
      <c r="AW151" s="131" t="s">
        <v>3423</v>
      </c>
      <c r="AX151" s="131"/>
      <c r="AY151" s="131">
        <v>1</v>
      </c>
      <c r="AZ151" s="169" t="s">
        <v>636</v>
      </c>
      <c r="BA151" s="128"/>
      <c r="BB151" s="133"/>
      <c r="BC151" s="128"/>
      <c r="BD151" s="128"/>
      <c r="BE151" s="128"/>
      <c r="BF151" s="133"/>
      <c r="BG151" s="128"/>
      <c r="BH151" s="133"/>
      <c r="BI151" s="128"/>
      <c r="BJ151" s="128"/>
      <c r="BK151" s="128"/>
      <c r="BL151" s="133"/>
      <c r="BM151" s="128"/>
      <c r="BN151" s="133"/>
      <c r="BO151" s="128"/>
      <c r="BP151" s="128"/>
      <c r="BQ151" s="128"/>
      <c r="BR151" s="133"/>
      <c r="BS151" s="128"/>
      <c r="BT151" s="133"/>
      <c r="BU151" s="128"/>
      <c r="BV151" s="128"/>
      <c r="BW151" s="128"/>
      <c r="BX151" s="133"/>
      <c r="BY151" s="128"/>
      <c r="BZ151" s="133"/>
      <c r="CA151" s="128"/>
      <c r="CB151" s="128"/>
      <c r="CC151" s="128"/>
      <c r="CD151" s="133"/>
      <c r="CE151" s="128"/>
      <c r="CF151" s="133"/>
      <c r="CG151" s="128"/>
      <c r="CH151" s="128"/>
      <c r="CI151" s="128"/>
      <c r="CJ151" s="128"/>
    </row>
    <row r="152" spans="1:88" x14ac:dyDescent="0.5">
      <c r="A152" s="268"/>
      <c r="B152" s="181"/>
      <c r="C152" s="1236"/>
      <c r="D152" s="1237"/>
      <c r="E152" s="749"/>
      <c r="F152" s="938" t="s">
        <v>3368</v>
      </c>
      <c r="G152" s="939" t="s">
        <v>2392</v>
      </c>
      <c r="H152" s="749">
        <v>44063</v>
      </c>
      <c r="I152" s="1125">
        <v>63202</v>
      </c>
      <c r="J152" s="961" t="s">
        <v>3423</v>
      </c>
      <c r="K152" s="966">
        <v>44064</v>
      </c>
      <c r="L152" s="181"/>
      <c r="M152" s="188"/>
      <c r="N152" s="181"/>
      <c r="O152" s="189"/>
      <c r="P152" s="189"/>
      <c r="Q152" s="189"/>
      <c r="R152" s="214"/>
      <c r="S152" s="215"/>
      <c r="T152" s="216"/>
      <c r="U152" s="217"/>
      <c r="V152" s="1253"/>
      <c r="W152" s="1238"/>
      <c r="X152" s="1239"/>
      <c r="Y152" s="1240"/>
      <c r="Z152" s="1240"/>
      <c r="AA152" s="1263"/>
      <c r="AB152" s="1263"/>
      <c r="AC152" s="197"/>
      <c r="AD152" s="1241"/>
      <c r="AE152" s="200">
        <v>20080211</v>
      </c>
      <c r="AF152" s="1242" t="s">
        <v>3423</v>
      </c>
      <c r="AG152" s="201">
        <v>105000</v>
      </c>
      <c r="AH152" s="237">
        <f t="shared" si="258"/>
        <v>7350</v>
      </c>
      <c r="AI152" s="202">
        <f t="shared" si="259"/>
        <v>112350</v>
      </c>
      <c r="AJ152" s="203">
        <v>44083</v>
      </c>
      <c r="AK152" s="199" t="s">
        <v>3423</v>
      </c>
      <c r="AL152" s="199"/>
      <c r="AM152" s="199"/>
      <c r="AN152" s="180" t="s">
        <v>4327</v>
      </c>
      <c r="AO152" s="204"/>
      <c r="AP152" s="1654"/>
      <c r="AQ152" s="848"/>
      <c r="AR152" s="848"/>
      <c r="AS152" s="204"/>
      <c r="AT152" s="226"/>
      <c r="AU152" s="204"/>
      <c r="AV152" s="210"/>
      <c r="AW152" s="204"/>
      <c r="AX152" s="204"/>
      <c r="AY152" s="204"/>
      <c r="AZ152" s="210"/>
      <c r="BA152" s="204"/>
      <c r="BB152" s="210"/>
      <c r="BC152" s="204"/>
      <c r="BD152" s="204"/>
      <c r="BE152" s="204"/>
      <c r="BF152" s="210"/>
      <c r="BG152" s="204">
        <v>4</v>
      </c>
      <c r="BH152" s="210"/>
      <c r="BI152" s="204"/>
      <c r="BJ152" s="204"/>
      <c r="BK152" s="204"/>
      <c r="BL152" s="210"/>
      <c r="BM152" s="204"/>
      <c r="BN152" s="210"/>
      <c r="BO152" s="204"/>
      <c r="BP152" s="204"/>
      <c r="BQ152" s="204"/>
      <c r="BR152" s="210"/>
      <c r="BS152" s="204"/>
      <c r="BT152" s="210"/>
      <c r="BU152" s="204"/>
      <c r="BV152" s="204"/>
      <c r="BW152" s="204"/>
      <c r="BX152" s="210"/>
      <c r="BY152" s="204"/>
      <c r="BZ152" s="210"/>
      <c r="CA152" s="204"/>
      <c r="CB152" s="204"/>
      <c r="CC152" s="204"/>
      <c r="CD152" s="210"/>
      <c r="CE152" s="204"/>
      <c r="CF152" s="210"/>
      <c r="CG152" s="204"/>
      <c r="CH152" s="204"/>
      <c r="CI152" s="204"/>
      <c r="CJ152" s="204"/>
    </row>
    <row r="153" spans="1:88" x14ac:dyDescent="0.5">
      <c r="A153" s="21">
        <v>20086633</v>
      </c>
      <c r="B153" s="22">
        <v>20080648</v>
      </c>
      <c r="C153" s="55"/>
      <c r="D153" s="56"/>
      <c r="E153" s="910"/>
      <c r="F153" s="57"/>
      <c r="G153" s="58"/>
      <c r="H153" s="59"/>
      <c r="I153" s="60" t="s">
        <v>3878</v>
      </c>
      <c r="J153" s="269"/>
      <c r="K153" s="59"/>
      <c r="L153" s="22" t="s">
        <v>3228</v>
      </c>
      <c r="M153" s="28" t="s">
        <v>4143</v>
      </c>
      <c r="N153" s="22" t="s">
        <v>51</v>
      </c>
      <c r="O153" s="29">
        <v>10800</v>
      </c>
      <c r="P153" s="29">
        <f t="shared" si="251"/>
        <v>756</v>
      </c>
      <c r="Q153" s="29">
        <f t="shared" si="252"/>
        <v>11556</v>
      </c>
      <c r="R153" s="61"/>
      <c r="S153" s="96"/>
      <c r="T153" s="97"/>
      <c r="U153" s="98"/>
      <c r="V153" s="1225"/>
      <c r="W153" s="1225"/>
      <c r="X153" s="100"/>
      <c r="Y153" s="1225"/>
      <c r="Z153" s="1225"/>
      <c r="AA153" s="1225"/>
      <c r="AB153" s="1225"/>
      <c r="AC153" s="100"/>
      <c r="AD153" s="595"/>
      <c r="AE153" s="40">
        <v>20080231</v>
      </c>
      <c r="AF153" s="1186" t="s">
        <v>3423</v>
      </c>
      <c r="AG153" s="41">
        <v>10800</v>
      </c>
      <c r="AH153" s="63">
        <f t="shared" si="258"/>
        <v>756</v>
      </c>
      <c r="AI153" s="52">
        <f t="shared" si="259"/>
        <v>11556</v>
      </c>
      <c r="AJ153" s="53">
        <v>44098</v>
      </c>
      <c r="AK153" s="39"/>
      <c r="AL153" s="39"/>
      <c r="AM153" s="39" t="s">
        <v>3423</v>
      </c>
      <c r="AN153" s="21"/>
      <c r="AO153" s="1453">
        <v>1</v>
      </c>
      <c r="AP153" s="45" t="s">
        <v>4144</v>
      </c>
      <c r="AQ153" s="46"/>
      <c r="AR153" s="46"/>
      <c r="AS153" s="47">
        <v>1</v>
      </c>
      <c r="AT153" s="48" t="s">
        <v>628</v>
      </c>
      <c r="AU153" s="1453">
        <v>2</v>
      </c>
      <c r="AV153" s="40" t="s">
        <v>4145</v>
      </c>
      <c r="AW153" s="47"/>
      <c r="AX153" s="47"/>
      <c r="AY153" s="47">
        <v>1</v>
      </c>
      <c r="AZ153" s="49" t="s">
        <v>628</v>
      </c>
      <c r="BA153" s="1655"/>
      <c r="BB153" s="54"/>
      <c r="BC153" s="1655"/>
      <c r="BD153" s="1655"/>
      <c r="BE153" s="1655"/>
      <c r="BF153" s="54"/>
      <c r="BG153" s="1655"/>
      <c r="BH153" s="54"/>
      <c r="BI153" s="1655"/>
      <c r="BJ153" s="1655"/>
      <c r="BK153" s="1655"/>
      <c r="BL153" s="54"/>
      <c r="BM153" s="1655"/>
      <c r="BN153" s="54"/>
      <c r="BO153" s="1655"/>
      <c r="BP153" s="1655"/>
      <c r="BQ153" s="1655"/>
      <c r="BR153" s="54"/>
      <c r="BS153" s="1655"/>
      <c r="BT153" s="54"/>
      <c r="BU153" s="1655"/>
      <c r="BV153" s="1655"/>
      <c r="BW153" s="1655"/>
      <c r="BX153" s="54"/>
      <c r="BY153" s="1655"/>
      <c r="BZ153" s="54"/>
      <c r="CA153" s="1655"/>
      <c r="CB153" s="1655"/>
      <c r="CC153" s="1655"/>
      <c r="CD153" s="54"/>
      <c r="CE153" s="1655"/>
      <c r="CF153" s="54"/>
      <c r="CG153" s="1655"/>
      <c r="CH153" s="1655"/>
      <c r="CI153" s="1655"/>
      <c r="CJ153" s="1655"/>
    </row>
    <row r="154" spans="1:88" x14ac:dyDescent="0.5">
      <c r="A154" s="21">
        <v>20086632</v>
      </c>
      <c r="B154" s="22">
        <v>20080645</v>
      </c>
      <c r="C154" s="55"/>
      <c r="D154" s="56"/>
      <c r="E154" s="910"/>
      <c r="F154" s="57"/>
      <c r="G154" s="58"/>
      <c r="H154" s="59"/>
      <c r="I154" s="60"/>
      <c r="J154" s="269"/>
      <c r="K154" s="59"/>
      <c r="L154" s="22" t="s">
        <v>4128</v>
      </c>
      <c r="M154" s="28" t="s">
        <v>349</v>
      </c>
      <c r="N154" s="22" t="s">
        <v>51</v>
      </c>
      <c r="O154" s="29">
        <v>27000</v>
      </c>
      <c r="P154" s="29">
        <f t="shared" si="251"/>
        <v>1890</v>
      </c>
      <c r="Q154" s="29">
        <f t="shared" si="252"/>
        <v>28890</v>
      </c>
      <c r="R154" s="61"/>
      <c r="S154" s="96"/>
      <c r="T154" s="97"/>
      <c r="U154" s="98"/>
      <c r="V154" s="1225"/>
      <c r="W154" s="1225"/>
      <c r="X154" s="100"/>
      <c r="Y154" s="1225"/>
      <c r="Z154" s="1225"/>
      <c r="AA154" s="1225"/>
      <c r="AB154" s="1225"/>
      <c r="AC154" s="100"/>
      <c r="AD154" s="595"/>
      <c r="AE154" s="40">
        <v>20080215</v>
      </c>
      <c r="AF154" s="1186" t="s">
        <v>3423</v>
      </c>
      <c r="AG154" s="41">
        <v>27000</v>
      </c>
      <c r="AH154" s="63">
        <f t="shared" si="258"/>
        <v>1890</v>
      </c>
      <c r="AI154" s="52">
        <f t="shared" si="259"/>
        <v>28890</v>
      </c>
      <c r="AJ154" s="53">
        <v>44083</v>
      </c>
      <c r="AK154" s="39"/>
      <c r="AL154" s="39"/>
      <c r="AM154" s="39" t="s">
        <v>3423</v>
      </c>
      <c r="AN154" s="21"/>
      <c r="AO154" s="1453">
        <v>1</v>
      </c>
      <c r="AP154" s="45" t="s">
        <v>4146</v>
      </c>
      <c r="AQ154" s="46"/>
      <c r="AR154" s="46"/>
      <c r="AS154" s="47">
        <v>1</v>
      </c>
      <c r="AT154" s="48" t="s">
        <v>628</v>
      </c>
      <c r="AU154" s="1655"/>
      <c r="AV154" s="54"/>
      <c r="AW154" s="1655"/>
      <c r="AX154" s="1655"/>
      <c r="AY154" s="1655"/>
      <c r="AZ154" s="54"/>
      <c r="BA154" s="1655"/>
      <c r="BB154" s="54"/>
      <c r="BC154" s="1655"/>
      <c r="BD154" s="1655"/>
      <c r="BE154" s="1655"/>
      <c r="BF154" s="54"/>
      <c r="BG154" s="1655"/>
      <c r="BH154" s="54"/>
      <c r="BI154" s="1655"/>
      <c r="BJ154" s="1655"/>
      <c r="BK154" s="1655"/>
      <c r="BL154" s="54"/>
      <c r="BM154" s="1655"/>
      <c r="BN154" s="54"/>
      <c r="BO154" s="1655"/>
      <c r="BP154" s="1655"/>
      <c r="BQ154" s="1655"/>
      <c r="BR154" s="54"/>
      <c r="BS154" s="1655"/>
      <c r="BT154" s="54"/>
      <c r="BU154" s="1655"/>
      <c r="BV154" s="1655"/>
      <c r="BW154" s="1655"/>
      <c r="BX154" s="54"/>
      <c r="BY154" s="1655"/>
      <c r="BZ154" s="54"/>
      <c r="CA154" s="1655"/>
      <c r="CB154" s="1655"/>
      <c r="CC154" s="1655"/>
      <c r="CD154" s="54"/>
      <c r="CE154" s="1655"/>
      <c r="CF154" s="54"/>
      <c r="CG154" s="1655"/>
      <c r="CH154" s="1655"/>
      <c r="CI154" s="1655"/>
      <c r="CJ154" s="1655"/>
    </row>
    <row r="155" spans="1:88" s="1475" customFormat="1" ht="22.5" thickBot="1" x14ac:dyDescent="0.55000000000000004">
      <c r="A155" s="1460">
        <v>20086631</v>
      </c>
      <c r="B155" s="1459">
        <v>20080644</v>
      </c>
      <c r="C155" s="1658"/>
      <c r="D155" s="1659"/>
      <c r="E155" s="1660"/>
      <c r="F155" s="1661"/>
      <c r="G155" s="1662"/>
      <c r="H155" s="1663"/>
      <c r="I155" s="1664"/>
      <c r="J155" s="1665"/>
      <c r="K155" s="1663"/>
      <c r="L155" s="1459" t="s">
        <v>4215</v>
      </c>
      <c r="M155" s="1462" t="s">
        <v>4147</v>
      </c>
      <c r="N155" s="1459" t="s">
        <v>51</v>
      </c>
      <c r="O155" s="1463">
        <v>6300</v>
      </c>
      <c r="P155" s="1463">
        <f t="shared" si="251"/>
        <v>441</v>
      </c>
      <c r="Q155" s="1463">
        <f t="shared" si="252"/>
        <v>6741</v>
      </c>
      <c r="R155" s="1666"/>
      <c r="S155" s="1667"/>
      <c r="T155" s="1668"/>
      <c r="U155" s="1669"/>
      <c r="V155" s="1670"/>
      <c r="W155" s="1670"/>
      <c r="X155" s="1671"/>
      <c r="Y155" s="1670"/>
      <c r="Z155" s="1670"/>
      <c r="AA155" s="1670"/>
      <c r="AB155" s="1670"/>
      <c r="AC155" s="1671"/>
      <c r="AD155" s="1672"/>
      <c r="AE155" s="1461">
        <v>20080232</v>
      </c>
      <c r="AF155" s="1464" t="s">
        <v>3423</v>
      </c>
      <c r="AG155" s="1465">
        <v>6300</v>
      </c>
      <c r="AH155" s="1466">
        <f t="shared" si="258"/>
        <v>441</v>
      </c>
      <c r="AI155" s="1467">
        <f t="shared" si="259"/>
        <v>6741</v>
      </c>
      <c r="AJ155" s="1700">
        <v>44098</v>
      </c>
      <c r="AK155" s="1468"/>
      <c r="AL155" s="1468"/>
      <c r="AM155" s="1468" t="s">
        <v>3423</v>
      </c>
      <c r="AN155" s="1460"/>
      <c r="AO155" s="1469">
        <v>1</v>
      </c>
      <c r="AP155" s="1470">
        <v>2006095</v>
      </c>
      <c r="AQ155" s="1471"/>
      <c r="AR155" s="1471"/>
      <c r="AS155" s="1472">
        <v>1</v>
      </c>
      <c r="AT155" s="1473" t="s">
        <v>628</v>
      </c>
      <c r="AU155" s="1469">
        <v>2</v>
      </c>
      <c r="AV155" s="1461">
        <v>2006096</v>
      </c>
      <c r="AW155" s="1472"/>
      <c r="AX155" s="1472"/>
      <c r="AY155" s="1472">
        <v>2</v>
      </c>
      <c r="AZ155" s="1474" t="s">
        <v>628</v>
      </c>
      <c r="BA155" s="1469"/>
      <c r="BB155" s="1673"/>
      <c r="BC155" s="1469"/>
      <c r="BD155" s="1469"/>
      <c r="BE155" s="1469"/>
      <c r="BF155" s="1673"/>
      <c r="BG155" s="1469"/>
      <c r="BH155" s="1673"/>
      <c r="BI155" s="1469"/>
      <c r="BJ155" s="1469"/>
      <c r="BK155" s="1469"/>
      <c r="BL155" s="1673"/>
      <c r="BM155" s="1469"/>
      <c r="BN155" s="1673"/>
      <c r="BO155" s="1469"/>
      <c r="BP155" s="1469"/>
      <c r="BQ155" s="1469"/>
      <c r="BR155" s="1673"/>
      <c r="BS155" s="1469"/>
      <c r="BT155" s="1673"/>
      <c r="BU155" s="1469"/>
      <c r="BV155" s="1469"/>
      <c r="BW155" s="1469"/>
      <c r="BX155" s="1673"/>
      <c r="BY155" s="1469"/>
      <c r="BZ155" s="1673"/>
      <c r="CA155" s="1469"/>
      <c r="CB155" s="1469"/>
      <c r="CC155" s="1469"/>
      <c r="CD155" s="1673"/>
      <c r="CE155" s="1469"/>
      <c r="CF155" s="1673"/>
      <c r="CG155" s="1469"/>
      <c r="CH155" s="1469"/>
      <c r="CI155" s="1469"/>
      <c r="CJ155" s="1469"/>
    </row>
    <row r="156" spans="1:88" ht="22.5" thickTop="1" x14ac:dyDescent="0.5">
      <c r="A156" s="1949">
        <v>20076630</v>
      </c>
      <c r="B156" s="1950">
        <v>20070630</v>
      </c>
      <c r="C156" s="1951" t="s">
        <v>2303</v>
      </c>
      <c r="D156" s="1952" t="s">
        <v>2691</v>
      </c>
      <c r="E156" s="1953">
        <v>44073</v>
      </c>
      <c r="F156" s="1954"/>
      <c r="G156" s="1955"/>
      <c r="H156" s="1956"/>
      <c r="I156" s="1957"/>
      <c r="J156" s="1958"/>
      <c r="K156" s="1946"/>
      <c r="L156" s="1950" t="s">
        <v>4064</v>
      </c>
      <c r="M156" s="1959" t="s">
        <v>4065</v>
      </c>
      <c r="N156" s="1950" t="s">
        <v>1523</v>
      </c>
      <c r="O156" s="1960">
        <v>560747.66</v>
      </c>
      <c r="P156" s="1960">
        <f t="shared" si="251"/>
        <v>39252.336199999998</v>
      </c>
      <c r="Q156" s="1960">
        <f t="shared" si="252"/>
        <v>599999.99620000005</v>
      </c>
      <c r="R156" s="1961">
        <v>32000</v>
      </c>
      <c r="S156" s="1962" t="s">
        <v>4123</v>
      </c>
      <c r="T156" s="1963">
        <f t="shared" si="253"/>
        <v>528747.66</v>
      </c>
      <c r="U156" s="1964">
        <v>5</v>
      </c>
      <c r="V156" s="1965">
        <f t="shared" si="254"/>
        <v>26437.383000000002</v>
      </c>
      <c r="W156" s="1966">
        <v>57.6</v>
      </c>
      <c r="X156" s="1967">
        <f t="shared" si="255"/>
        <v>502310.277</v>
      </c>
      <c r="Y156" s="1968">
        <f t="shared" si="256"/>
        <v>0.30999999999999994</v>
      </c>
      <c r="Z156" s="1968">
        <f>502310.28*0.31/100</f>
        <v>1557.1618679999999</v>
      </c>
      <c r="AA156" s="1969">
        <v>0.5</v>
      </c>
      <c r="AB156" s="1969">
        <f t="shared" si="0"/>
        <v>2511.5513850000002</v>
      </c>
      <c r="AC156" s="1970">
        <v>0.2</v>
      </c>
      <c r="AD156" s="1971">
        <f t="shared" si="257"/>
        <v>1004.6205540000001</v>
      </c>
      <c r="AE156" s="1933">
        <v>20110309</v>
      </c>
      <c r="AF156" s="1934"/>
      <c r="AG156" s="1935">
        <v>56074.77</v>
      </c>
      <c r="AH156" s="1936">
        <f t="shared" si="258"/>
        <v>3925.2338999999997</v>
      </c>
      <c r="AI156" s="1937">
        <f t="shared" si="259"/>
        <v>60000.003899999996</v>
      </c>
      <c r="AJ156" s="1938">
        <v>44159</v>
      </c>
      <c r="AK156" s="1939"/>
      <c r="AL156" s="1939"/>
      <c r="AM156" s="1939" t="s">
        <v>3423</v>
      </c>
      <c r="AN156" s="1940">
        <v>0.1</v>
      </c>
      <c r="AO156" s="1941">
        <v>1</v>
      </c>
      <c r="AP156" s="1942" t="s">
        <v>3545</v>
      </c>
      <c r="AQ156" s="1943"/>
      <c r="AR156" s="1943" t="s">
        <v>3423</v>
      </c>
      <c r="AS156" s="1944">
        <v>2</v>
      </c>
      <c r="AT156" s="1945" t="s">
        <v>634</v>
      </c>
      <c r="AU156" s="1941">
        <v>2</v>
      </c>
      <c r="AV156" s="1946" t="s">
        <v>3548</v>
      </c>
      <c r="AW156" s="1944"/>
      <c r="AX156" s="1944" t="s">
        <v>3423</v>
      </c>
      <c r="AY156" s="1944">
        <v>1</v>
      </c>
      <c r="AZ156" s="1947" t="s">
        <v>634</v>
      </c>
      <c r="BA156" s="1941">
        <v>3</v>
      </c>
      <c r="BB156" s="1946" t="s">
        <v>4066</v>
      </c>
      <c r="BC156" s="1944"/>
      <c r="BD156" s="1944" t="s">
        <v>3423</v>
      </c>
      <c r="BE156" s="1944">
        <v>1</v>
      </c>
      <c r="BF156" s="1947" t="s">
        <v>634</v>
      </c>
      <c r="BG156" s="1941">
        <v>4</v>
      </c>
      <c r="BH156" s="1946" t="s">
        <v>2540</v>
      </c>
      <c r="BI156" s="1944" t="s">
        <v>3423</v>
      </c>
      <c r="BJ156" s="1944"/>
      <c r="BK156" s="1944">
        <v>2</v>
      </c>
      <c r="BL156" s="1947" t="s">
        <v>636</v>
      </c>
      <c r="BM156" s="1941">
        <v>5</v>
      </c>
      <c r="BN156" s="1948"/>
      <c r="BO156" s="1941"/>
      <c r="BP156" s="1941"/>
      <c r="BQ156" s="1941"/>
      <c r="BR156" s="1948"/>
      <c r="BS156" s="1941"/>
      <c r="BT156" s="1948"/>
      <c r="BU156" s="1941"/>
      <c r="BV156" s="1941"/>
      <c r="BW156" s="1941"/>
      <c r="BX156" s="1948"/>
      <c r="BY156" s="1941"/>
      <c r="BZ156" s="1948"/>
      <c r="CA156" s="1941"/>
      <c r="CB156" s="1941"/>
      <c r="CC156" s="1941"/>
      <c r="CD156" s="1948"/>
      <c r="CE156" s="1941"/>
      <c r="CF156" s="1948"/>
      <c r="CG156" s="1941"/>
      <c r="CH156" s="1941"/>
      <c r="CI156" s="1941"/>
      <c r="CJ156" s="1941"/>
    </row>
    <row r="157" spans="1:88" x14ac:dyDescent="0.5">
      <c r="A157" s="180"/>
      <c r="B157" s="181"/>
      <c r="C157" s="1236"/>
      <c r="D157" s="1237"/>
      <c r="E157" s="749"/>
      <c r="F157" s="938"/>
      <c r="G157" s="939"/>
      <c r="H157" s="304"/>
      <c r="I157" s="1125"/>
      <c r="J157" s="961"/>
      <c r="K157" s="200"/>
      <c r="L157" s="181"/>
      <c r="M157" s="188"/>
      <c r="N157" s="181"/>
      <c r="O157" s="189"/>
      <c r="P157" s="189"/>
      <c r="Q157" s="189"/>
      <c r="R157" s="190"/>
      <c r="S157" s="215"/>
      <c r="T157" s="216"/>
      <c r="U157" s="217"/>
      <c r="V157" s="1253"/>
      <c r="W157" s="1238"/>
      <c r="X157" s="1239"/>
      <c r="Y157" s="1240"/>
      <c r="Z157" s="1240"/>
      <c r="AA157" s="1263"/>
      <c r="AB157" s="1263"/>
      <c r="AC157" s="197"/>
      <c r="AD157" s="1241"/>
      <c r="AE157" s="200">
        <v>20110310</v>
      </c>
      <c r="AF157" s="1242" t="s">
        <v>3423</v>
      </c>
      <c r="AG157" s="201">
        <v>504672.89</v>
      </c>
      <c r="AH157" s="237">
        <f t="shared" si="258"/>
        <v>35327.102299999999</v>
      </c>
      <c r="AI157" s="202">
        <f t="shared" si="259"/>
        <v>539999.99230000004</v>
      </c>
      <c r="AJ157" s="203">
        <v>44205</v>
      </c>
      <c r="AK157" s="199"/>
      <c r="AL157" s="199"/>
      <c r="AM157" s="199" t="s">
        <v>3423</v>
      </c>
      <c r="AN157" s="843">
        <v>0.9</v>
      </c>
      <c r="AO157" s="204"/>
      <c r="AP157" s="205"/>
      <c r="AQ157" s="206"/>
      <c r="AR157" s="206"/>
      <c r="AS157" s="207"/>
      <c r="AT157" s="208"/>
      <c r="AU157" s="204"/>
      <c r="AV157" s="200"/>
      <c r="AW157" s="207"/>
      <c r="AX157" s="207"/>
      <c r="AY157" s="207"/>
      <c r="AZ157" s="209"/>
      <c r="BA157" s="204"/>
      <c r="BB157" s="200"/>
      <c r="BC157" s="207"/>
      <c r="BD157" s="207"/>
      <c r="BE157" s="207"/>
      <c r="BF157" s="209"/>
      <c r="BG157" s="204"/>
      <c r="BH157" s="200"/>
      <c r="BI157" s="207"/>
      <c r="BJ157" s="207"/>
      <c r="BK157" s="207"/>
      <c r="BL157" s="209"/>
      <c r="BM157" s="204"/>
      <c r="BN157" s="210"/>
      <c r="BO157" s="204"/>
      <c r="BP157" s="204"/>
      <c r="BQ157" s="204"/>
      <c r="BR157" s="210"/>
      <c r="BS157" s="204"/>
      <c r="BT157" s="210"/>
      <c r="BU157" s="204"/>
      <c r="BV157" s="204"/>
      <c r="BW157" s="204"/>
      <c r="BX157" s="210"/>
      <c r="BY157" s="204"/>
      <c r="BZ157" s="210"/>
      <c r="CA157" s="204"/>
      <c r="CB157" s="204"/>
      <c r="CC157" s="204"/>
      <c r="CD157" s="210"/>
      <c r="CE157" s="204"/>
      <c r="CF157" s="210"/>
      <c r="CG157" s="204"/>
      <c r="CH157" s="204"/>
      <c r="CI157" s="204"/>
      <c r="CJ157" s="204"/>
    </row>
    <row r="158" spans="1:88" x14ac:dyDescent="0.5">
      <c r="A158" s="227">
        <v>20076629</v>
      </c>
      <c r="B158" s="22">
        <v>20070632</v>
      </c>
      <c r="C158" s="1019" t="s">
        <v>2296</v>
      </c>
      <c r="D158" s="1020" t="s">
        <v>2691</v>
      </c>
      <c r="E158" s="884">
        <v>44047</v>
      </c>
      <c r="F158" s="932" t="s">
        <v>3368</v>
      </c>
      <c r="G158" s="933" t="s">
        <v>2280</v>
      </c>
      <c r="H158" s="884">
        <v>44046</v>
      </c>
      <c r="I158" s="1021">
        <v>63187</v>
      </c>
      <c r="J158" s="931" t="s">
        <v>3423</v>
      </c>
      <c r="K158" s="957">
        <v>44047</v>
      </c>
      <c r="L158" s="22" t="s">
        <v>4067</v>
      </c>
      <c r="M158" s="28" t="s">
        <v>4068</v>
      </c>
      <c r="N158" s="22" t="s">
        <v>1523</v>
      </c>
      <c r="O158" s="29">
        <v>46800</v>
      </c>
      <c r="P158" s="29">
        <f t="shared" si="251"/>
        <v>3276</v>
      </c>
      <c r="Q158" s="29">
        <f t="shared" si="252"/>
        <v>50076</v>
      </c>
      <c r="R158" s="61"/>
      <c r="S158" s="31" t="s">
        <v>4125</v>
      </c>
      <c r="T158" s="32">
        <f t="shared" si="253"/>
        <v>46800</v>
      </c>
      <c r="U158" s="33">
        <v>5</v>
      </c>
      <c r="V158" s="1251">
        <f t="shared" si="254"/>
        <v>2340</v>
      </c>
      <c r="W158" s="1231">
        <v>60.48</v>
      </c>
      <c r="X158" s="1184">
        <f t="shared" si="255"/>
        <v>44460</v>
      </c>
      <c r="Y158" s="1223">
        <f t="shared" si="256"/>
        <v>0.2380000000000001</v>
      </c>
      <c r="Z158" s="1223">
        <f>44460*0.24/100</f>
        <v>106.70399999999999</v>
      </c>
      <c r="AA158" s="1228">
        <v>0.5</v>
      </c>
      <c r="AB158" s="1228">
        <f t="shared" si="0"/>
        <v>222.3</v>
      </c>
      <c r="AC158" s="37">
        <v>0.2</v>
      </c>
      <c r="AD158" s="1234">
        <f t="shared" si="257"/>
        <v>88.92</v>
      </c>
      <c r="AE158" s="40">
        <v>20080202</v>
      </c>
      <c r="AF158" s="1186" t="s">
        <v>3423</v>
      </c>
      <c r="AG158" s="41">
        <v>46800</v>
      </c>
      <c r="AH158" s="63">
        <f t="shared" si="258"/>
        <v>3276</v>
      </c>
      <c r="AI158" s="52">
        <f t="shared" si="259"/>
        <v>50076</v>
      </c>
      <c r="AJ158" s="53">
        <v>44076</v>
      </c>
      <c r="AK158" s="39" t="s">
        <v>3423</v>
      </c>
      <c r="AL158" s="39"/>
      <c r="AM158" s="39"/>
      <c r="AN158" s="21" t="s">
        <v>4314</v>
      </c>
      <c r="AO158" s="1453">
        <v>1</v>
      </c>
      <c r="AP158" s="45" t="s">
        <v>650</v>
      </c>
      <c r="AQ158" s="46"/>
      <c r="AR158" s="46" t="s">
        <v>3423</v>
      </c>
      <c r="AS158" s="47">
        <v>3</v>
      </c>
      <c r="AT158" s="48" t="s">
        <v>634</v>
      </c>
      <c r="AU158" s="1453">
        <v>2</v>
      </c>
      <c r="AV158" s="40" t="s">
        <v>661</v>
      </c>
      <c r="AW158" s="47"/>
      <c r="AX158" s="47" t="s">
        <v>3423</v>
      </c>
      <c r="AY158" s="47">
        <v>3</v>
      </c>
      <c r="AZ158" s="49" t="s">
        <v>634</v>
      </c>
      <c r="BA158" s="1453"/>
      <c r="BB158" s="54"/>
      <c r="BC158" s="1453"/>
      <c r="BD158" s="1453"/>
      <c r="BE158" s="1453"/>
      <c r="BF158" s="54"/>
      <c r="BG158" s="1453"/>
      <c r="BH158" s="54"/>
      <c r="BI158" s="1453"/>
      <c r="BJ158" s="1453"/>
      <c r="BK158" s="1453"/>
      <c r="BL158" s="54"/>
      <c r="BM158" s="1453"/>
      <c r="BN158" s="54"/>
      <c r="BO158" s="1453"/>
      <c r="BP158" s="1453"/>
      <c r="BQ158" s="1453"/>
      <c r="BR158" s="54"/>
      <c r="BS158" s="1453"/>
      <c r="BT158" s="54"/>
      <c r="BU158" s="1453"/>
      <c r="BV158" s="1453"/>
      <c r="BW158" s="1453"/>
      <c r="BX158" s="54"/>
      <c r="BY158" s="1453"/>
      <c r="BZ158" s="54"/>
      <c r="CA158" s="1453"/>
      <c r="CB158" s="1453"/>
      <c r="CC158" s="1453"/>
      <c r="CD158" s="54"/>
      <c r="CE158" s="1453"/>
      <c r="CF158" s="54"/>
      <c r="CG158" s="1453"/>
      <c r="CH158" s="1453"/>
      <c r="CI158" s="1453"/>
      <c r="CJ158" s="1453"/>
    </row>
    <row r="159" spans="1:88" s="1213" customFormat="1" ht="43.5" x14ac:dyDescent="0.45">
      <c r="A159" s="429">
        <v>20076628</v>
      </c>
      <c r="B159" s="370">
        <v>20070628</v>
      </c>
      <c r="C159" s="1346" t="s">
        <v>2299</v>
      </c>
      <c r="D159" s="1347" t="s">
        <v>2691</v>
      </c>
      <c r="E159" s="1348" t="s">
        <v>4069</v>
      </c>
      <c r="F159" s="1432" t="s">
        <v>3368</v>
      </c>
      <c r="G159" s="1433" t="s">
        <v>2587</v>
      </c>
      <c r="H159" s="1360">
        <v>44133</v>
      </c>
      <c r="I159" s="1361">
        <v>63254</v>
      </c>
      <c r="J159" s="1434" t="s">
        <v>1205</v>
      </c>
      <c r="K159" s="1435">
        <v>44134</v>
      </c>
      <c r="L159" s="370" t="s">
        <v>4070</v>
      </c>
      <c r="M159" s="370" t="s">
        <v>4071</v>
      </c>
      <c r="N159" s="370" t="s">
        <v>50</v>
      </c>
      <c r="O159" s="1350">
        <v>1400000</v>
      </c>
      <c r="P159" s="1350">
        <f t="shared" si="251"/>
        <v>98000</v>
      </c>
      <c r="Q159" s="1350">
        <f t="shared" si="252"/>
        <v>1498000</v>
      </c>
      <c r="R159" s="1443"/>
      <c r="S159" s="1851"/>
      <c r="T159" s="379">
        <f t="shared" si="253"/>
        <v>1400000</v>
      </c>
      <c r="U159" s="1012"/>
      <c r="V159" s="115">
        <f t="shared" si="254"/>
        <v>0</v>
      </c>
      <c r="W159" s="1012"/>
      <c r="X159" s="1445">
        <f t="shared" si="255"/>
        <v>1400000</v>
      </c>
      <c r="Y159" s="1446">
        <f t="shared" si="256"/>
        <v>1.75</v>
      </c>
      <c r="Z159" s="1446"/>
      <c r="AA159" s="1447"/>
      <c r="AB159" s="1447">
        <f t="shared" si="0"/>
        <v>0</v>
      </c>
      <c r="AC159" s="1448"/>
      <c r="AD159" s="1449">
        <f t="shared" si="257"/>
        <v>0</v>
      </c>
      <c r="AE159" s="394">
        <v>20070201</v>
      </c>
      <c r="AF159" s="1852" t="s">
        <v>1205</v>
      </c>
      <c r="AG159" s="1853">
        <v>420000</v>
      </c>
      <c r="AH159" s="376">
        <f t="shared" si="258"/>
        <v>29400</v>
      </c>
      <c r="AI159" s="1854">
        <f t="shared" si="259"/>
        <v>449400</v>
      </c>
      <c r="AJ159" s="126">
        <v>44043</v>
      </c>
      <c r="AK159" s="368" t="s">
        <v>3423</v>
      </c>
      <c r="AL159" s="368"/>
      <c r="AM159" s="368"/>
      <c r="AN159" s="429" t="s">
        <v>4356</v>
      </c>
      <c r="AO159" s="390">
        <v>1</v>
      </c>
      <c r="AP159" s="1354" t="s">
        <v>4072</v>
      </c>
      <c r="AQ159" s="1355" t="s">
        <v>3423</v>
      </c>
      <c r="AR159" s="1355"/>
      <c r="AS159" s="392">
        <v>5</v>
      </c>
      <c r="AT159" s="1356" t="s">
        <v>636</v>
      </c>
      <c r="AU159" s="390">
        <v>2</v>
      </c>
      <c r="AV159" s="1855" t="s">
        <v>4073</v>
      </c>
      <c r="AW159" s="392"/>
      <c r="AX159" s="392" t="s">
        <v>3423</v>
      </c>
      <c r="AY159" s="392">
        <v>1</v>
      </c>
      <c r="AZ159" s="393" t="s">
        <v>1882</v>
      </c>
      <c r="BA159" s="390"/>
      <c r="BB159" s="1357"/>
      <c r="BC159" s="390"/>
      <c r="BD159" s="390"/>
      <c r="BE159" s="390"/>
      <c r="BF159" s="1357"/>
      <c r="BG159" s="390"/>
      <c r="BH159" s="1357"/>
      <c r="BI159" s="390"/>
      <c r="BJ159" s="390"/>
      <c r="BK159" s="390"/>
      <c r="BL159" s="1357"/>
      <c r="BM159" s="390"/>
      <c r="BN159" s="1357"/>
      <c r="BO159" s="390"/>
      <c r="BP159" s="390"/>
      <c r="BQ159" s="390"/>
      <c r="BR159" s="1357"/>
      <c r="BS159" s="390"/>
      <c r="BT159" s="1357"/>
      <c r="BU159" s="390"/>
      <c r="BV159" s="390"/>
      <c r="BW159" s="390"/>
      <c r="BX159" s="1357"/>
      <c r="BY159" s="390"/>
      <c r="BZ159" s="1357"/>
      <c r="CA159" s="390"/>
      <c r="CB159" s="390"/>
      <c r="CC159" s="390"/>
      <c r="CD159" s="1357"/>
      <c r="CE159" s="390"/>
      <c r="CF159" s="1357"/>
      <c r="CG159" s="390"/>
      <c r="CH159" s="390"/>
      <c r="CI159" s="390"/>
      <c r="CJ159" s="390"/>
    </row>
    <row r="160" spans="1:88" s="1213" customFormat="1" x14ac:dyDescent="0.45">
      <c r="A160" s="580"/>
      <c r="B160" s="241"/>
      <c r="C160" s="1329"/>
      <c r="D160" s="1330"/>
      <c r="E160" s="1331"/>
      <c r="F160" s="1430"/>
      <c r="G160" s="1431"/>
      <c r="H160" s="545">
        <v>44133</v>
      </c>
      <c r="I160" s="1334">
        <v>63255</v>
      </c>
      <c r="J160" s="418"/>
      <c r="K160" s="1336"/>
      <c r="L160" s="241"/>
      <c r="M160" s="1337"/>
      <c r="N160" s="241"/>
      <c r="O160" s="1338"/>
      <c r="P160" s="1338"/>
      <c r="Q160" s="1338"/>
      <c r="R160" s="1436"/>
      <c r="S160" s="1849"/>
      <c r="T160" s="405"/>
      <c r="U160" s="1005"/>
      <c r="V160" s="217"/>
      <c r="W160" s="1005"/>
      <c r="X160" s="1438"/>
      <c r="Y160" s="1439"/>
      <c r="Z160" s="1439"/>
      <c r="AA160" s="1440"/>
      <c r="AB160" s="1440"/>
      <c r="AC160" s="1441"/>
      <c r="AD160" s="1442"/>
      <c r="AE160" s="413"/>
      <c r="AF160" s="1342"/>
      <c r="AG160" s="1343"/>
      <c r="AH160" s="402"/>
      <c r="AI160" s="1344"/>
      <c r="AJ160" s="203"/>
      <c r="AK160" s="412"/>
      <c r="AL160" s="412"/>
      <c r="AM160" s="412"/>
      <c r="AN160" s="580"/>
      <c r="AO160" s="420"/>
      <c r="AP160" s="1345"/>
      <c r="AQ160" s="514"/>
      <c r="AR160" s="514"/>
      <c r="AS160" s="418"/>
      <c r="AT160" s="515"/>
      <c r="AU160" s="420"/>
      <c r="AV160" s="1850"/>
      <c r="AW160" s="418"/>
      <c r="AX160" s="418"/>
      <c r="AY160" s="418"/>
      <c r="AZ160" s="419"/>
      <c r="BA160" s="420"/>
      <c r="BB160" s="581"/>
      <c r="BC160" s="420"/>
      <c r="BD160" s="420"/>
      <c r="BE160" s="420"/>
      <c r="BF160" s="581"/>
      <c r="BG160" s="420"/>
      <c r="BH160" s="581"/>
      <c r="BI160" s="420"/>
      <c r="BJ160" s="420"/>
      <c r="BK160" s="420"/>
      <c r="BL160" s="581"/>
      <c r="BM160" s="420"/>
      <c r="BN160" s="581"/>
      <c r="BO160" s="420"/>
      <c r="BP160" s="420"/>
      <c r="BQ160" s="420"/>
      <c r="BR160" s="581"/>
      <c r="BS160" s="420"/>
      <c r="BT160" s="581"/>
      <c r="BU160" s="420"/>
      <c r="BV160" s="420"/>
      <c r="BW160" s="420"/>
      <c r="BX160" s="581"/>
      <c r="BY160" s="420"/>
      <c r="BZ160" s="581"/>
      <c r="CA160" s="420"/>
      <c r="CB160" s="420"/>
      <c r="CC160" s="420"/>
      <c r="CD160" s="581"/>
      <c r="CE160" s="420"/>
      <c r="CF160" s="581"/>
      <c r="CG160" s="420"/>
      <c r="CH160" s="420"/>
      <c r="CI160" s="420"/>
      <c r="CJ160" s="420"/>
    </row>
    <row r="161" spans="1:88" x14ac:dyDescent="0.5">
      <c r="A161" s="227">
        <v>20076627</v>
      </c>
      <c r="B161" s="22">
        <v>20070629</v>
      </c>
      <c r="C161" s="1019" t="s">
        <v>2301</v>
      </c>
      <c r="D161" s="1020" t="s">
        <v>2691</v>
      </c>
      <c r="E161" s="884">
        <v>44053</v>
      </c>
      <c r="F161" s="932" t="s">
        <v>3368</v>
      </c>
      <c r="G161" s="933" t="s">
        <v>2299</v>
      </c>
      <c r="H161" s="884">
        <v>44053</v>
      </c>
      <c r="I161" s="1021">
        <v>63192</v>
      </c>
      <c r="J161" s="931" t="s">
        <v>3423</v>
      </c>
      <c r="K161" s="957">
        <v>44053</v>
      </c>
      <c r="L161" s="22" t="s">
        <v>15</v>
      </c>
      <c r="M161" s="28" t="s">
        <v>4074</v>
      </c>
      <c r="N161" s="22" t="s">
        <v>51</v>
      </c>
      <c r="O161" s="29">
        <v>29400</v>
      </c>
      <c r="P161" s="29">
        <f t="shared" ref="P161" si="260">O161*7/100</f>
        <v>2058</v>
      </c>
      <c r="Q161" s="29">
        <f t="shared" ref="Q161" si="261">O161+P161</f>
        <v>31458</v>
      </c>
      <c r="R161" s="61"/>
      <c r="S161" s="96"/>
      <c r="T161" s="97"/>
      <c r="U161" s="98"/>
      <c r="V161" s="1225"/>
      <c r="W161" s="1225"/>
      <c r="X161" s="100"/>
      <c r="Y161" s="1225"/>
      <c r="Z161" s="1225"/>
      <c r="AA161" s="1225"/>
      <c r="AB161" s="1225"/>
      <c r="AC161" s="100"/>
      <c r="AD161" s="595"/>
      <c r="AE161" s="40">
        <v>20080225</v>
      </c>
      <c r="AF161" s="1186" t="s">
        <v>3423</v>
      </c>
      <c r="AG161" s="41">
        <v>29400</v>
      </c>
      <c r="AH161" s="63">
        <f t="shared" ref="AH161" si="262">AG161*7/100</f>
        <v>2058</v>
      </c>
      <c r="AI161" s="52">
        <f t="shared" ref="AI161" si="263">AG161+AH161</f>
        <v>31458</v>
      </c>
      <c r="AJ161" s="53">
        <v>44101</v>
      </c>
      <c r="AK161" s="39" t="s">
        <v>3423</v>
      </c>
      <c r="AL161" s="39"/>
      <c r="AM161" s="39"/>
      <c r="AN161" s="21" t="s">
        <v>4311</v>
      </c>
      <c r="AO161" s="1453">
        <v>1</v>
      </c>
      <c r="AP161" s="45" t="s">
        <v>4075</v>
      </c>
      <c r="AQ161" s="46"/>
      <c r="AR161" s="46" t="s">
        <v>3423</v>
      </c>
      <c r="AS161" s="47">
        <v>1</v>
      </c>
      <c r="AT161" s="48" t="s">
        <v>633</v>
      </c>
      <c r="AU161" s="1453"/>
      <c r="AV161" s="54"/>
      <c r="AW161" s="1453"/>
      <c r="AX161" s="1453"/>
      <c r="AY161" s="1453"/>
      <c r="AZ161" s="54"/>
      <c r="BA161" s="1453"/>
      <c r="BB161" s="54"/>
      <c r="BC161" s="1453"/>
      <c r="BD161" s="1453"/>
      <c r="BE161" s="1453"/>
      <c r="BF161" s="54"/>
      <c r="BG161" s="1453"/>
      <c r="BH161" s="54"/>
      <c r="BI161" s="1453"/>
      <c r="BJ161" s="1453"/>
      <c r="BK161" s="1453"/>
      <c r="BL161" s="54"/>
      <c r="BM161" s="1453"/>
      <c r="BN161" s="54"/>
      <c r="BO161" s="1453"/>
      <c r="BP161" s="1453"/>
      <c r="BQ161" s="1453"/>
      <c r="BR161" s="54"/>
      <c r="BS161" s="1453"/>
      <c r="BT161" s="54"/>
      <c r="BU161" s="1453"/>
      <c r="BV161" s="1453"/>
      <c r="BW161" s="1453"/>
      <c r="BX161" s="54"/>
      <c r="BY161" s="1453"/>
      <c r="BZ161" s="54"/>
      <c r="CA161" s="1453"/>
      <c r="CB161" s="1453"/>
      <c r="CC161" s="1453"/>
      <c r="CD161" s="54"/>
      <c r="CE161" s="1453"/>
      <c r="CF161" s="54"/>
      <c r="CG161" s="1453"/>
      <c r="CH161" s="1453"/>
      <c r="CI161" s="1453"/>
      <c r="CJ161" s="1453"/>
    </row>
    <row r="162" spans="1:88" s="95" customFormat="1" x14ac:dyDescent="0.5">
      <c r="A162" s="65">
        <v>20076626</v>
      </c>
      <c r="B162" s="66" t="s">
        <v>4076</v>
      </c>
      <c r="C162" s="327" t="s">
        <v>2274</v>
      </c>
      <c r="D162" s="328" t="s">
        <v>2691</v>
      </c>
      <c r="E162" s="905">
        <v>44104</v>
      </c>
      <c r="F162" s="934"/>
      <c r="G162" s="935"/>
      <c r="H162" s="326"/>
      <c r="I162" s="331"/>
      <c r="J162" s="958"/>
      <c r="K162" s="84"/>
      <c r="L162" s="66" t="s">
        <v>3961</v>
      </c>
      <c r="M162" s="72" t="s">
        <v>4077</v>
      </c>
      <c r="N162" s="66" t="s">
        <v>52</v>
      </c>
      <c r="O162" s="73">
        <v>64800</v>
      </c>
      <c r="P162" s="73">
        <f t="shared" ref="P162:P167" si="264">O162*7/100</f>
        <v>4536</v>
      </c>
      <c r="Q162" s="73">
        <f t="shared" ref="Q162:Q167" si="265">O162+P162</f>
        <v>69336</v>
      </c>
      <c r="R162" s="74">
        <v>7000</v>
      </c>
      <c r="S162" s="75" t="s">
        <v>568</v>
      </c>
      <c r="T162" s="76">
        <f t="shared" ref="T162:T167" si="266">O162-R162</f>
        <v>57800</v>
      </c>
      <c r="U162" s="77">
        <v>5</v>
      </c>
      <c r="V162" s="1370">
        <f t="shared" ref="V162:V167" si="267">T162*U162/100</f>
        <v>2890</v>
      </c>
      <c r="W162" s="1420">
        <v>60.72</v>
      </c>
      <c r="X162" s="1421">
        <f t="shared" ref="X162:X167" si="268">T162-V162</f>
        <v>54910</v>
      </c>
      <c r="Y162" s="1422">
        <f t="shared" ref="Y162:Y167" si="269">SUM((50-W162)/(100)*(2.5)+(0.5))</f>
        <v>0.23200000000000004</v>
      </c>
      <c r="Z162" s="1422">
        <f>54910*0.23/100</f>
        <v>126.29300000000001</v>
      </c>
      <c r="AA162" s="1425">
        <v>0.5</v>
      </c>
      <c r="AB162" s="1425">
        <f t="shared" ref="AB162:AB167" si="270">X162*AA162/100</f>
        <v>274.55</v>
      </c>
      <c r="AC162" s="81">
        <v>0.2</v>
      </c>
      <c r="AD162" s="1423">
        <f t="shared" ref="AD162:AD167" si="271">X162*AC162/100</f>
        <v>109.82</v>
      </c>
      <c r="AE162" s="84"/>
      <c r="AF162" s="1323"/>
      <c r="AG162" s="85"/>
      <c r="AH162" s="590">
        <f t="shared" ref="AH162:AH167" si="272">AG162*7/100</f>
        <v>0</v>
      </c>
      <c r="AI162" s="908">
        <f t="shared" ref="AI162:AI167" si="273">AG162+AH162</f>
        <v>0</v>
      </c>
      <c r="AJ162" s="87"/>
      <c r="AK162" s="83"/>
      <c r="AL162" s="83"/>
      <c r="AM162" s="83"/>
      <c r="AN162" s="65"/>
      <c r="AO162" s="88">
        <v>1</v>
      </c>
      <c r="AP162" s="89" t="s">
        <v>600</v>
      </c>
      <c r="AQ162" s="90"/>
      <c r="AR162" s="90" t="s">
        <v>3423</v>
      </c>
      <c r="AS162" s="91">
        <v>1</v>
      </c>
      <c r="AT162" s="92" t="s">
        <v>636</v>
      </c>
      <c r="AU162" s="88">
        <v>2</v>
      </c>
      <c r="AV162" s="84" t="s">
        <v>599</v>
      </c>
      <c r="AW162" s="91"/>
      <c r="AX162" s="91" t="s">
        <v>3423</v>
      </c>
      <c r="AY162" s="91">
        <v>1</v>
      </c>
      <c r="AZ162" s="93" t="s">
        <v>634</v>
      </c>
      <c r="BA162" s="88"/>
      <c r="BB162" s="94"/>
      <c r="BC162" s="88"/>
      <c r="BD162" s="88"/>
      <c r="BE162" s="88"/>
      <c r="BF162" s="94"/>
      <c r="BG162" s="88"/>
      <c r="BH162" s="94"/>
      <c r="BI162" s="88"/>
      <c r="BJ162" s="88"/>
      <c r="BK162" s="88"/>
      <c r="BL162" s="94"/>
      <c r="BM162" s="88"/>
      <c r="BN162" s="94"/>
      <c r="BO162" s="88"/>
      <c r="BP162" s="88"/>
      <c r="BQ162" s="88"/>
      <c r="BR162" s="94"/>
      <c r="BS162" s="88"/>
      <c r="BT162" s="94"/>
      <c r="BU162" s="88"/>
      <c r="BV162" s="88"/>
      <c r="BW162" s="88"/>
      <c r="BX162" s="94"/>
      <c r="BY162" s="88"/>
      <c r="BZ162" s="94"/>
      <c r="CA162" s="88"/>
      <c r="CB162" s="88"/>
      <c r="CC162" s="88"/>
      <c r="CD162" s="94"/>
      <c r="CE162" s="88"/>
      <c r="CF162" s="94"/>
      <c r="CG162" s="88"/>
      <c r="CH162" s="88"/>
      <c r="CI162" s="88"/>
      <c r="CJ162" s="88"/>
    </row>
    <row r="163" spans="1:88" s="1213" customFormat="1" ht="43.5" x14ac:dyDescent="0.45">
      <c r="A163" s="1187">
        <v>20076625</v>
      </c>
      <c r="B163" s="43" t="s">
        <v>4078</v>
      </c>
      <c r="C163" s="1188" t="s">
        <v>2280</v>
      </c>
      <c r="D163" s="1189" t="s">
        <v>2691</v>
      </c>
      <c r="E163" s="1190" t="s">
        <v>4079</v>
      </c>
      <c r="F163" s="1191"/>
      <c r="G163" s="1192"/>
      <c r="H163" s="1193"/>
      <c r="I163" s="1194"/>
      <c r="J163" s="1195"/>
      <c r="K163" s="1196"/>
      <c r="L163" s="43" t="s">
        <v>3961</v>
      </c>
      <c r="M163" s="1197" t="s">
        <v>4080</v>
      </c>
      <c r="N163" s="43" t="s">
        <v>52</v>
      </c>
      <c r="O163" s="1198">
        <v>409500</v>
      </c>
      <c r="P163" s="1198">
        <f t="shared" si="264"/>
        <v>28665</v>
      </c>
      <c r="Q163" s="1198">
        <f t="shared" si="265"/>
        <v>438165</v>
      </c>
      <c r="R163" s="1455">
        <v>35000</v>
      </c>
      <c r="S163" s="1652" t="s">
        <v>4122</v>
      </c>
      <c r="T163" s="1199">
        <f t="shared" si="266"/>
        <v>374500</v>
      </c>
      <c r="U163" s="33">
        <v>5</v>
      </c>
      <c r="V163" s="33">
        <f t="shared" si="267"/>
        <v>18725</v>
      </c>
      <c r="W163" s="1232">
        <v>60.75</v>
      </c>
      <c r="X163" s="1200">
        <f t="shared" si="268"/>
        <v>355775</v>
      </c>
      <c r="Y163" s="1224">
        <f t="shared" si="269"/>
        <v>0.23125000000000001</v>
      </c>
      <c r="Z163" s="1224">
        <f>355755*0.23/100</f>
        <v>818.23650000000009</v>
      </c>
      <c r="AA163" s="1229">
        <v>0.5</v>
      </c>
      <c r="AB163" s="1229">
        <f t="shared" si="270"/>
        <v>1778.875</v>
      </c>
      <c r="AC163" s="1201">
        <v>0.2</v>
      </c>
      <c r="AD163" s="1235">
        <f t="shared" si="271"/>
        <v>711.55</v>
      </c>
      <c r="AE163" s="1196">
        <v>20080227</v>
      </c>
      <c r="AF163" s="1202" t="s">
        <v>1205</v>
      </c>
      <c r="AG163" s="1203">
        <v>122850</v>
      </c>
      <c r="AH163" s="1204">
        <f t="shared" si="272"/>
        <v>8599.5</v>
      </c>
      <c r="AI163" s="1205">
        <f t="shared" si="273"/>
        <v>131449.5</v>
      </c>
      <c r="AJ163" s="53">
        <v>44057</v>
      </c>
      <c r="AK163" s="1206"/>
      <c r="AL163" s="1206"/>
      <c r="AM163" s="1206" t="s">
        <v>3423</v>
      </c>
      <c r="AN163" s="1187" t="s">
        <v>4161</v>
      </c>
      <c r="AO163" s="1207">
        <v>1</v>
      </c>
      <c r="AP163" s="1208" t="s">
        <v>4081</v>
      </c>
      <c r="AQ163" s="1209"/>
      <c r="AR163" s="1209" t="s">
        <v>3423</v>
      </c>
      <c r="AS163" s="1210">
        <v>4</v>
      </c>
      <c r="AT163" s="1211" t="s">
        <v>634</v>
      </c>
      <c r="AU163" s="1207">
        <v>2</v>
      </c>
      <c r="AV163" s="1196" t="s">
        <v>4082</v>
      </c>
      <c r="AW163" s="1210"/>
      <c r="AX163" s="1210" t="s">
        <v>3423</v>
      </c>
      <c r="AY163" s="1210">
        <v>1</v>
      </c>
      <c r="AZ163" s="1212" t="s">
        <v>636</v>
      </c>
      <c r="BA163" s="1207">
        <v>3</v>
      </c>
      <c r="BB163" s="1196" t="s">
        <v>1151</v>
      </c>
      <c r="BC163" s="1210" t="s">
        <v>3423</v>
      </c>
      <c r="BD163" s="1210"/>
      <c r="BE163" s="1210">
        <v>3</v>
      </c>
      <c r="BF163" s="1212" t="s">
        <v>636</v>
      </c>
      <c r="BG163" s="1207"/>
      <c r="BH163" s="1215"/>
      <c r="BI163" s="1207"/>
      <c r="BJ163" s="1207"/>
      <c r="BK163" s="1207"/>
      <c r="BL163" s="1215"/>
      <c r="BM163" s="1207"/>
      <c r="BN163" s="1215"/>
      <c r="BO163" s="1207"/>
      <c r="BP163" s="1207"/>
      <c r="BQ163" s="1207"/>
      <c r="BR163" s="1215"/>
      <c r="BS163" s="1207"/>
      <c r="BT163" s="1215"/>
      <c r="BU163" s="1207"/>
      <c r="BV163" s="1207"/>
      <c r="BW163" s="1207"/>
      <c r="BX163" s="1215"/>
      <c r="BY163" s="1207"/>
      <c r="BZ163" s="1215"/>
      <c r="CA163" s="1207"/>
      <c r="CB163" s="1207"/>
      <c r="CC163" s="1207"/>
      <c r="CD163" s="1215"/>
      <c r="CE163" s="1207"/>
      <c r="CF163" s="1215"/>
      <c r="CG163" s="1207"/>
      <c r="CH163" s="1207"/>
      <c r="CI163" s="1207"/>
      <c r="CJ163" s="1207"/>
    </row>
    <row r="164" spans="1:88" x14ac:dyDescent="0.5">
      <c r="A164" s="21">
        <v>20076624</v>
      </c>
      <c r="B164" s="831" t="s">
        <v>4084</v>
      </c>
      <c r="C164" s="1019" t="s">
        <v>2284</v>
      </c>
      <c r="D164" s="1020" t="s">
        <v>2691</v>
      </c>
      <c r="E164" s="884">
        <v>44104</v>
      </c>
      <c r="F164" s="932"/>
      <c r="G164" s="933"/>
      <c r="H164" s="831"/>
      <c r="I164" s="1021"/>
      <c r="J164" s="931"/>
      <c r="K164" s="40"/>
      <c r="L164" s="22" t="s">
        <v>3961</v>
      </c>
      <c r="M164" s="28" t="s">
        <v>4083</v>
      </c>
      <c r="N164" s="22" t="s">
        <v>52</v>
      </c>
      <c r="O164" s="29">
        <v>64800</v>
      </c>
      <c r="P164" s="29">
        <f t="shared" si="264"/>
        <v>4536</v>
      </c>
      <c r="Q164" s="29">
        <f t="shared" si="265"/>
        <v>69336</v>
      </c>
      <c r="R164" s="30">
        <v>7000</v>
      </c>
      <c r="S164" s="31" t="s">
        <v>568</v>
      </c>
      <c r="T164" s="32">
        <f t="shared" si="266"/>
        <v>57800</v>
      </c>
      <c r="U164" s="33">
        <v>5</v>
      </c>
      <c r="V164" s="1251">
        <f t="shared" si="267"/>
        <v>2890</v>
      </c>
      <c r="W164" s="1231">
        <v>60.72</v>
      </c>
      <c r="X164" s="1184">
        <f t="shared" si="268"/>
        <v>54910</v>
      </c>
      <c r="Y164" s="1223">
        <f t="shared" si="269"/>
        <v>0.23200000000000004</v>
      </c>
      <c r="Z164" s="1223">
        <f>54910*0.23/100</f>
        <v>126.29300000000001</v>
      </c>
      <c r="AA164" s="1228">
        <v>0.5</v>
      </c>
      <c r="AB164" s="1228">
        <f t="shared" si="270"/>
        <v>274.55</v>
      </c>
      <c r="AC164" s="37">
        <v>0.2</v>
      </c>
      <c r="AD164" s="1234">
        <f t="shared" si="271"/>
        <v>109.82</v>
      </c>
      <c r="AE164" s="40"/>
      <c r="AF164" s="1186"/>
      <c r="AG164" s="41"/>
      <c r="AH164" s="63">
        <f t="shared" si="272"/>
        <v>0</v>
      </c>
      <c r="AI164" s="52">
        <f t="shared" si="273"/>
        <v>0</v>
      </c>
      <c r="AJ164" s="43"/>
      <c r="AK164" s="39"/>
      <c r="AL164" s="39"/>
      <c r="AM164" s="39"/>
      <c r="AN164" s="21"/>
      <c r="AO164" s="1453">
        <v>1</v>
      </c>
      <c r="AP164" s="45" t="s">
        <v>600</v>
      </c>
      <c r="AQ164" s="46"/>
      <c r="AR164" s="46" t="s">
        <v>3423</v>
      </c>
      <c r="AS164" s="47">
        <v>1</v>
      </c>
      <c r="AT164" s="48" t="s">
        <v>636</v>
      </c>
      <c r="AU164" s="1453">
        <v>2</v>
      </c>
      <c r="AV164" s="40" t="s">
        <v>599</v>
      </c>
      <c r="AW164" s="47"/>
      <c r="AX164" s="47" t="s">
        <v>3423</v>
      </c>
      <c r="AY164" s="47">
        <v>1</v>
      </c>
      <c r="AZ164" s="49" t="s">
        <v>634</v>
      </c>
      <c r="BA164" s="1454"/>
      <c r="BB164" s="54"/>
      <c r="BC164" s="1454"/>
      <c r="BD164" s="1454"/>
      <c r="BE164" s="1454"/>
      <c r="BF164" s="54"/>
      <c r="BG164" s="1454"/>
      <c r="BH164" s="54"/>
      <c r="BI164" s="1454"/>
      <c r="BJ164" s="1454"/>
      <c r="BK164" s="1454"/>
      <c r="BL164" s="54"/>
      <c r="BM164" s="1454"/>
      <c r="BN164" s="54"/>
      <c r="BO164" s="1454"/>
      <c r="BP164" s="1454"/>
      <c r="BQ164" s="1454"/>
      <c r="BR164" s="54"/>
      <c r="BS164" s="1454"/>
      <c r="BT164" s="54"/>
      <c r="BU164" s="1454"/>
      <c r="BV164" s="1454"/>
      <c r="BW164" s="1454"/>
      <c r="BX164" s="54"/>
      <c r="BY164" s="1454"/>
      <c r="BZ164" s="54"/>
      <c r="CA164" s="1454"/>
      <c r="CB164" s="1454"/>
      <c r="CC164" s="1454"/>
      <c r="CD164" s="54"/>
      <c r="CE164" s="1454"/>
      <c r="CF164" s="54"/>
      <c r="CG164" s="1454"/>
      <c r="CH164" s="1454"/>
      <c r="CI164" s="1454"/>
      <c r="CJ164" s="1454"/>
    </row>
    <row r="165" spans="1:88" s="95" customFormat="1" x14ac:dyDescent="0.5">
      <c r="A165" s="65">
        <v>20076623</v>
      </c>
      <c r="B165" s="66" t="s">
        <v>4084</v>
      </c>
      <c r="C165" s="327" t="s">
        <v>2268</v>
      </c>
      <c r="D165" s="328" t="s">
        <v>2691</v>
      </c>
      <c r="E165" s="905">
        <v>44104</v>
      </c>
      <c r="F165" s="934"/>
      <c r="G165" s="935"/>
      <c r="H165" s="326"/>
      <c r="I165" s="331"/>
      <c r="J165" s="958"/>
      <c r="K165" s="84"/>
      <c r="L165" s="66" t="s">
        <v>3961</v>
      </c>
      <c r="M165" s="72" t="s">
        <v>4085</v>
      </c>
      <c r="N165" s="66" t="s">
        <v>52</v>
      </c>
      <c r="O165" s="73">
        <v>64800</v>
      </c>
      <c r="P165" s="73">
        <f t="shared" si="264"/>
        <v>4536</v>
      </c>
      <c r="Q165" s="73">
        <f t="shared" si="265"/>
        <v>69336</v>
      </c>
      <c r="R165" s="74">
        <v>7000</v>
      </c>
      <c r="S165" s="75" t="s">
        <v>568</v>
      </c>
      <c r="T165" s="76">
        <f t="shared" si="266"/>
        <v>57800</v>
      </c>
      <c r="U165" s="77">
        <v>5</v>
      </c>
      <c r="V165" s="1370">
        <f t="shared" si="267"/>
        <v>2890</v>
      </c>
      <c r="W165" s="1420">
        <v>60.72</v>
      </c>
      <c r="X165" s="1421">
        <f t="shared" si="268"/>
        <v>54910</v>
      </c>
      <c r="Y165" s="1422">
        <f t="shared" si="269"/>
        <v>0.23200000000000004</v>
      </c>
      <c r="Z165" s="1422">
        <f>54910*0.23/100</f>
        <v>126.29300000000001</v>
      </c>
      <c r="AA165" s="1425">
        <v>0.5</v>
      </c>
      <c r="AB165" s="1425">
        <f t="shared" si="270"/>
        <v>274.55</v>
      </c>
      <c r="AC165" s="81">
        <v>0.2</v>
      </c>
      <c r="AD165" s="1423">
        <f t="shared" si="271"/>
        <v>109.82</v>
      </c>
      <c r="AE165" s="84"/>
      <c r="AF165" s="1323"/>
      <c r="AG165" s="85"/>
      <c r="AH165" s="590">
        <f t="shared" si="272"/>
        <v>0</v>
      </c>
      <c r="AI165" s="908">
        <f t="shared" si="273"/>
        <v>0</v>
      </c>
      <c r="AJ165" s="87"/>
      <c r="AK165" s="83"/>
      <c r="AL165" s="83"/>
      <c r="AM165" s="83"/>
      <c r="AN165" s="65"/>
      <c r="AO165" s="88">
        <v>1</v>
      </c>
      <c r="AP165" s="89" t="s">
        <v>600</v>
      </c>
      <c r="AQ165" s="90"/>
      <c r="AR165" s="90" t="s">
        <v>3423</v>
      </c>
      <c r="AS165" s="91">
        <v>1</v>
      </c>
      <c r="AT165" s="92" t="s">
        <v>636</v>
      </c>
      <c r="AU165" s="88">
        <v>2</v>
      </c>
      <c r="AV165" s="84" t="s">
        <v>599</v>
      </c>
      <c r="AW165" s="91"/>
      <c r="AX165" s="91" t="s">
        <v>3423</v>
      </c>
      <c r="AY165" s="91">
        <v>1</v>
      </c>
      <c r="AZ165" s="93" t="s">
        <v>634</v>
      </c>
      <c r="BA165" s="88"/>
      <c r="BB165" s="94"/>
      <c r="BC165" s="88"/>
      <c r="BD165" s="88"/>
      <c r="BE165" s="88"/>
      <c r="BF165" s="94"/>
      <c r="BG165" s="88"/>
      <c r="BH165" s="94"/>
      <c r="BI165" s="88"/>
      <c r="BJ165" s="88"/>
      <c r="BK165" s="88"/>
      <c r="BL165" s="94"/>
      <c r="BM165" s="88"/>
      <c r="BN165" s="94"/>
      <c r="BO165" s="88"/>
      <c r="BP165" s="88"/>
      <c r="BQ165" s="88"/>
      <c r="BR165" s="94"/>
      <c r="BS165" s="88"/>
      <c r="BT165" s="94"/>
      <c r="BU165" s="88"/>
      <c r="BV165" s="88"/>
      <c r="BW165" s="88"/>
      <c r="BX165" s="94"/>
      <c r="BY165" s="88"/>
      <c r="BZ165" s="94"/>
      <c r="CA165" s="88"/>
      <c r="CB165" s="88"/>
      <c r="CC165" s="88"/>
      <c r="CD165" s="94"/>
      <c r="CE165" s="88"/>
      <c r="CF165" s="94"/>
      <c r="CG165" s="88"/>
      <c r="CH165" s="88"/>
      <c r="CI165" s="88"/>
      <c r="CJ165" s="88"/>
    </row>
    <row r="166" spans="1:88" x14ac:dyDescent="0.5">
      <c r="A166" s="21">
        <v>20076622</v>
      </c>
      <c r="B166" s="22" t="s">
        <v>4086</v>
      </c>
      <c r="C166" s="1019" t="s">
        <v>2270</v>
      </c>
      <c r="D166" s="1020" t="s">
        <v>2691</v>
      </c>
      <c r="E166" s="884">
        <v>44068</v>
      </c>
      <c r="F166" s="932"/>
      <c r="G166" s="933"/>
      <c r="H166" s="831"/>
      <c r="I166" s="1021"/>
      <c r="J166" s="931"/>
      <c r="K166" s="40"/>
      <c r="L166" s="22" t="s">
        <v>2375</v>
      </c>
      <c r="M166" s="28" t="s">
        <v>3948</v>
      </c>
      <c r="N166" s="22" t="s">
        <v>52</v>
      </c>
      <c r="O166" s="29">
        <v>129906.54</v>
      </c>
      <c r="P166" s="29">
        <f t="shared" si="264"/>
        <v>9093.4577999999983</v>
      </c>
      <c r="Q166" s="29">
        <f t="shared" si="265"/>
        <v>138999.99779999998</v>
      </c>
      <c r="R166" s="30">
        <v>7000</v>
      </c>
      <c r="S166" s="31" t="s">
        <v>1619</v>
      </c>
      <c r="T166" s="32">
        <f t="shared" si="266"/>
        <v>122906.54</v>
      </c>
      <c r="U166" s="33">
        <v>3</v>
      </c>
      <c r="V166" s="1251">
        <f t="shared" si="267"/>
        <v>3687.1961999999999</v>
      </c>
      <c r="W166" s="1231">
        <v>60.93</v>
      </c>
      <c r="X166" s="1184">
        <f t="shared" si="268"/>
        <v>119219.34379999999</v>
      </c>
      <c r="Y166" s="1223">
        <f t="shared" si="269"/>
        <v>0.22675000000000001</v>
      </c>
      <c r="Z166" s="1223">
        <f>119219.34*0.23/100</f>
        <v>274.20448199999998</v>
      </c>
      <c r="AA166" s="1228">
        <v>0.5</v>
      </c>
      <c r="AB166" s="1228">
        <f t="shared" si="270"/>
        <v>596.09671899999989</v>
      </c>
      <c r="AC166" s="37">
        <v>0.2</v>
      </c>
      <c r="AD166" s="1234">
        <f t="shared" si="271"/>
        <v>238.43868759999998</v>
      </c>
      <c r="AE166" s="40"/>
      <c r="AF166" s="1186"/>
      <c r="AG166" s="41"/>
      <c r="AH166" s="63">
        <f t="shared" si="272"/>
        <v>0</v>
      </c>
      <c r="AI166" s="52">
        <f t="shared" si="273"/>
        <v>0</v>
      </c>
      <c r="AJ166" s="43"/>
      <c r="AK166" s="39"/>
      <c r="AL166" s="39"/>
      <c r="AM166" s="39"/>
      <c r="AN166" s="21"/>
      <c r="AO166" s="1453">
        <v>1</v>
      </c>
      <c r="AP166" s="45" t="s">
        <v>4087</v>
      </c>
      <c r="AQ166" s="46"/>
      <c r="AR166" s="46" t="s">
        <v>3423</v>
      </c>
      <c r="AS166" s="47">
        <v>1</v>
      </c>
      <c r="AT166" s="48" t="s">
        <v>636</v>
      </c>
      <c r="AU166" s="1454"/>
      <c r="AV166" s="54"/>
      <c r="AW166" s="1454"/>
      <c r="AX166" s="1454"/>
      <c r="AY166" s="1454"/>
      <c r="AZ166" s="54"/>
      <c r="BA166" s="1454"/>
      <c r="BB166" s="54"/>
      <c r="BC166" s="1454"/>
      <c r="BD166" s="1454"/>
      <c r="BE166" s="1454"/>
      <c r="BF166" s="54"/>
      <c r="BG166" s="1454"/>
      <c r="BH166" s="54"/>
      <c r="BI166" s="1454"/>
      <c r="BJ166" s="1454"/>
      <c r="BK166" s="1454"/>
      <c r="BL166" s="54"/>
      <c r="BM166" s="1454"/>
      <c r="BN166" s="54"/>
      <c r="BO166" s="1454"/>
      <c r="BP166" s="1454"/>
      <c r="BQ166" s="1454"/>
      <c r="BR166" s="54"/>
      <c r="BS166" s="1454"/>
      <c r="BT166" s="54"/>
      <c r="BU166" s="1454"/>
      <c r="BV166" s="1454"/>
      <c r="BW166" s="1454"/>
      <c r="BX166" s="54"/>
      <c r="BY166" s="1454"/>
      <c r="BZ166" s="54"/>
      <c r="CA166" s="1454"/>
      <c r="CB166" s="1454"/>
      <c r="CC166" s="1454"/>
      <c r="CD166" s="54"/>
      <c r="CE166" s="1454"/>
      <c r="CF166" s="54"/>
      <c r="CG166" s="1454"/>
      <c r="CH166" s="1454"/>
      <c r="CI166" s="1454"/>
      <c r="CJ166" s="1454"/>
    </row>
    <row r="167" spans="1:88" x14ac:dyDescent="0.5">
      <c r="A167" s="103">
        <v>20076621</v>
      </c>
      <c r="B167" s="104">
        <v>20070586</v>
      </c>
      <c r="C167" s="1243" t="s">
        <v>2261</v>
      </c>
      <c r="D167" s="1244" t="s">
        <v>2691</v>
      </c>
      <c r="E167" s="302">
        <v>44039</v>
      </c>
      <c r="F167" s="946" t="s">
        <v>3368</v>
      </c>
      <c r="G167" s="947" t="s">
        <v>2284</v>
      </c>
      <c r="H167" s="914">
        <v>44042</v>
      </c>
      <c r="I167" s="1315">
        <v>63184</v>
      </c>
      <c r="J167" s="970"/>
      <c r="K167" s="962">
        <v>44043</v>
      </c>
      <c r="L167" s="104" t="s">
        <v>167</v>
      </c>
      <c r="M167" s="104" t="s">
        <v>323</v>
      </c>
      <c r="N167" s="104" t="s">
        <v>1523</v>
      </c>
      <c r="O167" s="111">
        <v>246240</v>
      </c>
      <c r="P167" s="111">
        <f t="shared" si="264"/>
        <v>17236.8</v>
      </c>
      <c r="Q167" s="111">
        <f t="shared" si="265"/>
        <v>263476.8</v>
      </c>
      <c r="R167" s="311">
        <v>66400</v>
      </c>
      <c r="S167" s="113" t="s">
        <v>3414</v>
      </c>
      <c r="T167" s="114">
        <f t="shared" si="266"/>
        <v>179840</v>
      </c>
      <c r="U167" s="115">
        <v>5</v>
      </c>
      <c r="V167" s="1252">
        <f t="shared" si="267"/>
        <v>8992</v>
      </c>
      <c r="W167" s="1245">
        <v>58.12</v>
      </c>
      <c r="X167" s="1246">
        <f t="shared" si="268"/>
        <v>170848</v>
      </c>
      <c r="Y167" s="1247">
        <f t="shared" si="269"/>
        <v>0.29700000000000004</v>
      </c>
      <c r="Z167" s="1247">
        <f>170848*0.3/100</f>
        <v>512.54399999999998</v>
      </c>
      <c r="AA167" s="1265">
        <v>0.5</v>
      </c>
      <c r="AB167" s="1265">
        <f t="shared" si="270"/>
        <v>854.24</v>
      </c>
      <c r="AC167" s="119">
        <v>0.2</v>
      </c>
      <c r="AD167" s="1248">
        <f t="shared" si="271"/>
        <v>341.69599999999997</v>
      </c>
      <c r="AE167" s="123">
        <v>20080233</v>
      </c>
      <c r="AF167" s="1249" t="s">
        <v>3423</v>
      </c>
      <c r="AG167" s="124">
        <v>246240</v>
      </c>
      <c r="AH167" s="260">
        <f t="shared" si="272"/>
        <v>17236.8</v>
      </c>
      <c r="AI167" s="125">
        <f t="shared" si="273"/>
        <v>263476.8</v>
      </c>
      <c r="AJ167" s="126">
        <v>44099</v>
      </c>
      <c r="AK167" s="127"/>
      <c r="AL167" s="127"/>
      <c r="AM167" s="127" t="s">
        <v>3423</v>
      </c>
      <c r="AN167" s="103" t="s">
        <v>4204</v>
      </c>
      <c r="AO167" s="128">
        <v>1</v>
      </c>
      <c r="AP167" s="129" t="s">
        <v>1606</v>
      </c>
      <c r="AQ167" s="130" t="s">
        <v>3423</v>
      </c>
      <c r="AR167" s="130"/>
      <c r="AS167" s="131">
        <v>24</v>
      </c>
      <c r="AT167" s="132" t="s">
        <v>636</v>
      </c>
      <c r="AU167" s="128"/>
      <c r="AV167" s="133"/>
      <c r="AW167" s="128"/>
      <c r="AX167" s="128"/>
      <c r="AY167" s="128"/>
      <c r="AZ167" s="133"/>
      <c r="BA167" s="128"/>
      <c r="BB167" s="133"/>
      <c r="BC167" s="128"/>
      <c r="BD167" s="128"/>
      <c r="BE167" s="128"/>
      <c r="BF167" s="133"/>
      <c r="BG167" s="128"/>
      <c r="BH167" s="133"/>
      <c r="BI167" s="128"/>
      <c r="BJ167" s="128"/>
      <c r="BK167" s="128"/>
      <c r="BL167" s="133"/>
      <c r="BM167" s="128"/>
      <c r="BN167" s="133"/>
      <c r="BO167" s="128"/>
      <c r="BP167" s="128"/>
      <c r="BQ167" s="128"/>
      <c r="BR167" s="133"/>
      <c r="BS167" s="128"/>
      <c r="BT167" s="133"/>
      <c r="BU167" s="128"/>
      <c r="BV167" s="128"/>
      <c r="BW167" s="128"/>
      <c r="BX167" s="133"/>
      <c r="BY167" s="128"/>
      <c r="BZ167" s="133"/>
      <c r="CA167" s="128"/>
      <c r="CB167" s="128"/>
      <c r="CC167" s="128"/>
      <c r="CD167" s="133"/>
      <c r="CE167" s="128"/>
      <c r="CF167" s="133"/>
      <c r="CG167" s="128"/>
      <c r="CH167" s="128"/>
      <c r="CI167" s="128"/>
      <c r="CJ167" s="128"/>
    </row>
    <row r="168" spans="1:88" x14ac:dyDescent="0.5">
      <c r="A168" s="134"/>
      <c r="B168" s="135"/>
      <c r="C168" s="1290"/>
      <c r="D168" s="1291"/>
      <c r="E168" s="906"/>
      <c r="F168" s="948"/>
      <c r="G168" s="953"/>
      <c r="H168" s="309">
        <v>44042</v>
      </c>
      <c r="I168" s="310">
        <v>63185</v>
      </c>
      <c r="J168" s="1082"/>
      <c r="K168" s="974"/>
      <c r="L168" s="135"/>
      <c r="M168" s="141"/>
      <c r="N168" s="135"/>
      <c r="O168" s="142"/>
      <c r="P168" s="142"/>
      <c r="Q168" s="142"/>
      <c r="R168" s="143"/>
      <c r="S168" s="144"/>
      <c r="T168" s="145"/>
      <c r="U168" s="146"/>
      <c r="V168" s="1292"/>
      <c r="W168" s="1293"/>
      <c r="X168" s="1294"/>
      <c r="Y168" s="1295"/>
      <c r="Z168" s="1295"/>
      <c r="AA168" s="1308"/>
      <c r="AB168" s="1308"/>
      <c r="AC168" s="150"/>
      <c r="AD168" s="1297"/>
      <c r="AE168" s="154"/>
      <c r="AF168" s="1298"/>
      <c r="AG168" s="155"/>
      <c r="AH168" s="253"/>
      <c r="AI168" s="156"/>
      <c r="AJ168" s="256"/>
      <c r="AK168" s="152"/>
      <c r="AL168" s="152"/>
      <c r="AM168" s="152"/>
      <c r="AN168" s="134" t="s">
        <v>4205</v>
      </c>
      <c r="AO168" s="158"/>
      <c r="AP168" s="159"/>
      <c r="AQ168" s="160"/>
      <c r="AR168" s="160"/>
      <c r="AS168" s="161"/>
      <c r="AT168" s="162"/>
      <c r="AU168" s="158"/>
      <c r="AV168" s="163"/>
      <c r="AW168" s="158"/>
      <c r="AX168" s="158"/>
      <c r="AY168" s="158"/>
      <c r="AZ168" s="163"/>
      <c r="BA168" s="158"/>
      <c r="BB168" s="163"/>
      <c r="BC168" s="158"/>
      <c r="BD168" s="158"/>
      <c r="BE168" s="158"/>
      <c r="BF168" s="163"/>
      <c r="BG168" s="158"/>
      <c r="BH168" s="163"/>
      <c r="BI168" s="158"/>
      <c r="BJ168" s="158"/>
      <c r="BK168" s="158"/>
      <c r="BL168" s="163"/>
      <c r="BM168" s="158"/>
      <c r="BN168" s="163"/>
      <c r="BO168" s="158"/>
      <c r="BP168" s="158"/>
      <c r="BQ168" s="158"/>
      <c r="BR168" s="163"/>
      <c r="BS168" s="158"/>
      <c r="BT168" s="163"/>
      <c r="BU168" s="158"/>
      <c r="BV168" s="158"/>
      <c r="BW168" s="158"/>
      <c r="BX168" s="163"/>
      <c r="BY168" s="158"/>
      <c r="BZ168" s="163"/>
      <c r="CA168" s="158"/>
      <c r="CB168" s="158"/>
      <c r="CC168" s="158"/>
      <c r="CD168" s="163"/>
      <c r="CE168" s="158"/>
      <c r="CF168" s="163"/>
      <c r="CG168" s="158"/>
      <c r="CH168" s="158"/>
      <c r="CI168" s="158"/>
      <c r="CJ168" s="158"/>
    </row>
    <row r="169" spans="1:88" x14ac:dyDescent="0.5">
      <c r="A169" s="134"/>
      <c r="B169" s="135"/>
      <c r="C169" s="1290"/>
      <c r="D169" s="1291"/>
      <c r="E169" s="906"/>
      <c r="F169" s="940"/>
      <c r="G169" s="949"/>
      <c r="H169" s="1316">
        <v>44042</v>
      </c>
      <c r="I169" s="1317">
        <v>63186</v>
      </c>
      <c r="J169" s="1173"/>
      <c r="K169" s="969"/>
      <c r="L169" s="135"/>
      <c r="M169" s="141"/>
      <c r="N169" s="135"/>
      <c r="O169" s="142"/>
      <c r="P169" s="142"/>
      <c r="Q169" s="142"/>
      <c r="R169" s="143"/>
      <c r="S169" s="144"/>
      <c r="T169" s="145"/>
      <c r="U169" s="146"/>
      <c r="V169" s="1292"/>
      <c r="W169" s="1293"/>
      <c r="X169" s="1294"/>
      <c r="Y169" s="1295"/>
      <c r="Z169" s="1295"/>
      <c r="AA169" s="1308"/>
      <c r="AB169" s="1308"/>
      <c r="AC169" s="150"/>
      <c r="AD169" s="1297"/>
      <c r="AE169" s="154"/>
      <c r="AF169" s="1298"/>
      <c r="AG169" s="155"/>
      <c r="AH169" s="253"/>
      <c r="AI169" s="156"/>
      <c r="AJ169" s="256"/>
      <c r="AK169" s="152"/>
      <c r="AL169" s="152"/>
      <c r="AM169" s="152"/>
      <c r="AN169" s="134"/>
      <c r="AO169" s="158"/>
      <c r="AP169" s="159"/>
      <c r="AQ169" s="160"/>
      <c r="AR169" s="160"/>
      <c r="AS169" s="161"/>
      <c r="AT169" s="162"/>
      <c r="AU169" s="158"/>
      <c r="AV169" s="163"/>
      <c r="AW169" s="158"/>
      <c r="AX169" s="158"/>
      <c r="AY169" s="158"/>
      <c r="AZ169" s="163"/>
      <c r="BA169" s="158"/>
      <c r="BB169" s="163"/>
      <c r="BC169" s="158"/>
      <c r="BD169" s="158"/>
      <c r="BE169" s="158"/>
      <c r="BF169" s="163"/>
      <c r="BG169" s="158"/>
      <c r="BH169" s="163"/>
      <c r="BI169" s="158"/>
      <c r="BJ169" s="158"/>
      <c r="BK169" s="158"/>
      <c r="BL169" s="163"/>
      <c r="BM169" s="158"/>
      <c r="BN169" s="163"/>
      <c r="BO169" s="158"/>
      <c r="BP169" s="158"/>
      <c r="BQ169" s="158"/>
      <c r="BR169" s="163"/>
      <c r="BS169" s="158"/>
      <c r="BT169" s="163"/>
      <c r="BU169" s="158"/>
      <c r="BV169" s="158"/>
      <c r="BW169" s="158"/>
      <c r="BX169" s="163"/>
      <c r="BY169" s="158"/>
      <c r="BZ169" s="163"/>
      <c r="CA169" s="158"/>
      <c r="CB169" s="158"/>
      <c r="CC169" s="158"/>
      <c r="CD169" s="163"/>
      <c r="CE169" s="158"/>
      <c r="CF169" s="163"/>
      <c r="CG169" s="158"/>
      <c r="CH169" s="158"/>
      <c r="CI169" s="158"/>
      <c r="CJ169" s="158"/>
    </row>
    <row r="170" spans="1:88" x14ac:dyDescent="0.5">
      <c r="A170" s="134"/>
      <c r="B170" s="135"/>
      <c r="C170" s="1290"/>
      <c r="D170" s="1291"/>
      <c r="E170" s="906"/>
      <c r="F170" s="948" t="s">
        <v>3368</v>
      </c>
      <c r="G170" s="949" t="s">
        <v>2301</v>
      </c>
      <c r="H170" s="1316">
        <v>44049</v>
      </c>
      <c r="I170" s="1317">
        <v>63188</v>
      </c>
      <c r="J170" s="1173"/>
      <c r="K170" s="969">
        <v>44050</v>
      </c>
      <c r="L170" s="135"/>
      <c r="M170" s="141"/>
      <c r="N170" s="135"/>
      <c r="O170" s="142"/>
      <c r="P170" s="142"/>
      <c r="Q170" s="142"/>
      <c r="R170" s="143"/>
      <c r="S170" s="144"/>
      <c r="T170" s="145"/>
      <c r="U170" s="146"/>
      <c r="V170" s="1292"/>
      <c r="W170" s="1293"/>
      <c r="X170" s="1294"/>
      <c r="Y170" s="1295"/>
      <c r="Z170" s="1295"/>
      <c r="AA170" s="1308"/>
      <c r="AB170" s="1308"/>
      <c r="AC170" s="150"/>
      <c r="AD170" s="1297"/>
      <c r="AE170" s="154"/>
      <c r="AF170" s="1298"/>
      <c r="AG170" s="155"/>
      <c r="AH170" s="253"/>
      <c r="AI170" s="156"/>
      <c r="AJ170" s="256"/>
      <c r="AK170" s="152"/>
      <c r="AL170" s="152"/>
      <c r="AM170" s="152"/>
      <c r="AN170" s="134"/>
      <c r="AO170" s="158"/>
      <c r="AP170" s="159"/>
      <c r="AQ170" s="160"/>
      <c r="AR170" s="160"/>
      <c r="AS170" s="161"/>
      <c r="AT170" s="162"/>
      <c r="AU170" s="158"/>
      <c r="AV170" s="163"/>
      <c r="AW170" s="158"/>
      <c r="AX170" s="158"/>
      <c r="AY170" s="158"/>
      <c r="AZ170" s="163"/>
      <c r="BA170" s="158"/>
      <c r="BB170" s="163"/>
      <c r="BC170" s="158"/>
      <c r="BD170" s="158"/>
      <c r="BE170" s="158"/>
      <c r="BF170" s="163"/>
      <c r="BG170" s="158"/>
      <c r="BH170" s="163"/>
      <c r="BI170" s="158"/>
      <c r="BJ170" s="158"/>
      <c r="BK170" s="158"/>
      <c r="BL170" s="163"/>
      <c r="BM170" s="158"/>
      <c r="BN170" s="163"/>
      <c r="BO170" s="158"/>
      <c r="BP170" s="158"/>
      <c r="BQ170" s="158"/>
      <c r="BR170" s="163"/>
      <c r="BS170" s="158"/>
      <c r="BT170" s="163"/>
      <c r="BU170" s="158"/>
      <c r="BV170" s="158"/>
      <c r="BW170" s="158"/>
      <c r="BX170" s="163"/>
      <c r="BY170" s="158"/>
      <c r="BZ170" s="163"/>
      <c r="CA170" s="158"/>
      <c r="CB170" s="158"/>
      <c r="CC170" s="158"/>
      <c r="CD170" s="163"/>
      <c r="CE170" s="158"/>
      <c r="CF170" s="163"/>
      <c r="CG170" s="158"/>
      <c r="CH170" s="158"/>
      <c r="CI170" s="158"/>
      <c r="CJ170" s="158"/>
    </row>
    <row r="171" spans="1:88" x14ac:dyDescent="0.5">
      <c r="A171" s="134"/>
      <c r="B171" s="135"/>
      <c r="C171" s="1290"/>
      <c r="D171" s="1291"/>
      <c r="E171" s="906"/>
      <c r="F171" s="948"/>
      <c r="G171" s="949"/>
      <c r="H171" s="1316">
        <v>44049</v>
      </c>
      <c r="I171" s="1317">
        <v>63189</v>
      </c>
      <c r="J171" s="1173"/>
      <c r="K171" s="969"/>
      <c r="L171" s="135"/>
      <c r="M171" s="141"/>
      <c r="N171" s="135"/>
      <c r="O171" s="142"/>
      <c r="P171" s="142"/>
      <c r="Q171" s="142"/>
      <c r="R171" s="143"/>
      <c r="S171" s="144"/>
      <c r="T171" s="145"/>
      <c r="U171" s="146"/>
      <c r="V171" s="1292"/>
      <c r="W171" s="1293"/>
      <c r="X171" s="1294"/>
      <c r="Y171" s="1295"/>
      <c r="Z171" s="1295"/>
      <c r="AA171" s="1308"/>
      <c r="AB171" s="1308"/>
      <c r="AC171" s="150"/>
      <c r="AD171" s="1297"/>
      <c r="AE171" s="154"/>
      <c r="AF171" s="1298"/>
      <c r="AG171" s="155"/>
      <c r="AH171" s="253"/>
      <c r="AI171" s="156"/>
      <c r="AJ171" s="256"/>
      <c r="AK171" s="152"/>
      <c r="AL171" s="152"/>
      <c r="AM171" s="152"/>
      <c r="AN171" s="134"/>
      <c r="AO171" s="158"/>
      <c r="AP171" s="159"/>
      <c r="AQ171" s="160"/>
      <c r="AR171" s="160"/>
      <c r="AS171" s="161"/>
      <c r="AT171" s="162"/>
      <c r="AU171" s="158"/>
      <c r="AV171" s="163"/>
      <c r="AW171" s="158"/>
      <c r="AX171" s="158"/>
      <c r="AY171" s="158"/>
      <c r="AZ171" s="163"/>
      <c r="BA171" s="158"/>
      <c r="BB171" s="163"/>
      <c r="BC171" s="158"/>
      <c r="BD171" s="158"/>
      <c r="BE171" s="158"/>
      <c r="BF171" s="163"/>
      <c r="BG171" s="158"/>
      <c r="BH171" s="163"/>
      <c r="BI171" s="158"/>
      <c r="BJ171" s="158"/>
      <c r="BK171" s="158"/>
      <c r="BL171" s="163"/>
      <c r="BM171" s="158"/>
      <c r="BN171" s="163"/>
      <c r="BO171" s="158"/>
      <c r="BP171" s="158"/>
      <c r="BQ171" s="158"/>
      <c r="BR171" s="163"/>
      <c r="BS171" s="158"/>
      <c r="BT171" s="163"/>
      <c r="BU171" s="158"/>
      <c r="BV171" s="158"/>
      <c r="BW171" s="158"/>
      <c r="BX171" s="163"/>
      <c r="BY171" s="158"/>
      <c r="BZ171" s="163"/>
      <c r="CA171" s="158"/>
      <c r="CB171" s="158"/>
      <c r="CC171" s="158"/>
      <c r="CD171" s="163"/>
      <c r="CE171" s="158"/>
      <c r="CF171" s="163"/>
      <c r="CG171" s="158"/>
      <c r="CH171" s="158"/>
      <c r="CI171" s="158"/>
      <c r="CJ171" s="158"/>
    </row>
    <row r="172" spans="1:88" x14ac:dyDescent="0.5">
      <c r="A172" s="134"/>
      <c r="B172" s="135"/>
      <c r="C172" s="1290"/>
      <c r="D172" s="1291"/>
      <c r="E172" s="906"/>
      <c r="F172" s="948" t="s">
        <v>3368</v>
      </c>
      <c r="G172" s="949" t="s">
        <v>2261</v>
      </c>
      <c r="H172" s="1316">
        <v>44056</v>
      </c>
      <c r="I172" s="1317">
        <v>63194</v>
      </c>
      <c r="J172" s="1173" t="s">
        <v>3423</v>
      </c>
      <c r="K172" s="969">
        <v>44057</v>
      </c>
      <c r="L172" s="135"/>
      <c r="M172" s="141"/>
      <c r="N172" s="135"/>
      <c r="O172" s="142"/>
      <c r="P172" s="142"/>
      <c r="Q172" s="142"/>
      <c r="R172" s="143"/>
      <c r="S172" s="144"/>
      <c r="T172" s="145"/>
      <c r="U172" s="146"/>
      <c r="V172" s="1292"/>
      <c r="W172" s="1293"/>
      <c r="X172" s="1294"/>
      <c r="Y172" s="1295"/>
      <c r="Z172" s="1295"/>
      <c r="AA172" s="1308"/>
      <c r="AB172" s="1308"/>
      <c r="AC172" s="150"/>
      <c r="AD172" s="1297"/>
      <c r="AE172" s="154"/>
      <c r="AF172" s="1298"/>
      <c r="AG172" s="155"/>
      <c r="AH172" s="253"/>
      <c r="AI172" s="156"/>
      <c r="AJ172" s="256"/>
      <c r="AK172" s="152"/>
      <c r="AL172" s="152"/>
      <c r="AM172" s="152"/>
      <c r="AN172" s="134"/>
      <c r="AO172" s="158"/>
      <c r="AP172" s="159"/>
      <c r="AQ172" s="160"/>
      <c r="AR172" s="160"/>
      <c r="AS172" s="161"/>
      <c r="AT172" s="162"/>
      <c r="AU172" s="158"/>
      <c r="AV172" s="163"/>
      <c r="AW172" s="158"/>
      <c r="AX172" s="158"/>
      <c r="AY172" s="158"/>
      <c r="AZ172" s="163"/>
      <c r="BA172" s="158"/>
      <c r="BB172" s="163"/>
      <c r="BC172" s="158"/>
      <c r="BD172" s="158"/>
      <c r="BE172" s="158"/>
      <c r="BF172" s="163"/>
      <c r="BG172" s="158"/>
      <c r="BH172" s="163"/>
      <c r="BI172" s="158"/>
      <c r="BJ172" s="158"/>
      <c r="BK172" s="158"/>
      <c r="BL172" s="163"/>
      <c r="BM172" s="158"/>
      <c r="BN172" s="163"/>
      <c r="BO172" s="158"/>
      <c r="BP172" s="158"/>
      <c r="BQ172" s="158"/>
      <c r="BR172" s="163"/>
      <c r="BS172" s="158"/>
      <c r="BT172" s="163"/>
      <c r="BU172" s="158"/>
      <c r="BV172" s="158"/>
      <c r="BW172" s="158"/>
      <c r="BX172" s="163"/>
      <c r="BY172" s="158"/>
      <c r="BZ172" s="163"/>
      <c r="CA172" s="158"/>
      <c r="CB172" s="158"/>
      <c r="CC172" s="158"/>
      <c r="CD172" s="163"/>
      <c r="CE172" s="158"/>
      <c r="CF172" s="163"/>
      <c r="CG172" s="158"/>
      <c r="CH172" s="158"/>
      <c r="CI172" s="158"/>
      <c r="CJ172" s="158"/>
    </row>
    <row r="173" spans="1:88" x14ac:dyDescent="0.5">
      <c r="A173" s="180"/>
      <c r="B173" s="181"/>
      <c r="C173" s="1236"/>
      <c r="D173" s="1237"/>
      <c r="E173" s="749"/>
      <c r="F173" s="938"/>
      <c r="G173" s="939"/>
      <c r="H173" s="749">
        <v>44056</v>
      </c>
      <c r="I173" s="1125">
        <v>63195</v>
      </c>
      <c r="J173" s="961"/>
      <c r="K173" s="966"/>
      <c r="L173" s="181"/>
      <c r="M173" s="188"/>
      <c r="N173" s="181"/>
      <c r="O173" s="189"/>
      <c r="P173" s="189"/>
      <c r="Q173" s="189"/>
      <c r="R173" s="190"/>
      <c r="S173" s="215"/>
      <c r="T173" s="216"/>
      <c r="U173" s="217"/>
      <c r="V173" s="1253"/>
      <c r="W173" s="1238"/>
      <c r="X173" s="1239"/>
      <c r="Y173" s="1240"/>
      <c r="Z173" s="1240"/>
      <c r="AA173" s="1263"/>
      <c r="AB173" s="1263"/>
      <c r="AC173" s="197"/>
      <c r="AD173" s="1241"/>
      <c r="AE173" s="200"/>
      <c r="AF173" s="1242"/>
      <c r="AG173" s="201"/>
      <c r="AH173" s="237"/>
      <c r="AI173" s="202"/>
      <c r="AJ173" s="241"/>
      <c r="AK173" s="199"/>
      <c r="AL173" s="199"/>
      <c r="AM173" s="199"/>
      <c r="AN173" s="180"/>
      <c r="AO173" s="204"/>
      <c r="AP173" s="205"/>
      <c r="AQ173" s="206"/>
      <c r="AR173" s="206"/>
      <c r="AS173" s="207"/>
      <c r="AT173" s="208"/>
      <c r="AU173" s="204"/>
      <c r="AV173" s="210"/>
      <c r="AW173" s="204"/>
      <c r="AX173" s="204"/>
      <c r="AY173" s="204"/>
      <c r="AZ173" s="210"/>
      <c r="BA173" s="204"/>
      <c r="BB173" s="210"/>
      <c r="BC173" s="204"/>
      <c r="BD173" s="204"/>
      <c r="BE173" s="204"/>
      <c r="BF173" s="210"/>
      <c r="BG173" s="204"/>
      <c r="BH173" s="210"/>
      <c r="BI173" s="204"/>
      <c r="BJ173" s="204"/>
      <c r="BK173" s="204"/>
      <c r="BL173" s="210"/>
      <c r="BM173" s="204"/>
      <c r="BN173" s="210"/>
      <c r="BO173" s="204"/>
      <c r="BP173" s="204"/>
      <c r="BQ173" s="204"/>
      <c r="BR173" s="210"/>
      <c r="BS173" s="204"/>
      <c r="BT173" s="210"/>
      <c r="BU173" s="204"/>
      <c r="BV173" s="204"/>
      <c r="BW173" s="204"/>
      <c r="BX173" s="210"/>
      <c r="BY173" s="204"/>
      <c r="BZ173" s="210"/>
      <c r="CA173" s="204"/>
      <c r="CB173" s="204"/>
      <c r="CC173" s="204"/>
      <c r="CD173" s="210"/>
      <c r="CE173" s="204"/>
      <c r="CF173" s="210"/>
      <c r="CG173" s="204"/>
      <c r="CH173" s="204"/>
      <c r="CI173" s="204"/>
      <c r="CJ173" s="204"/>
    </row>
    <row r="174" spans="1:88" x14ac:dyDescent="0.5">
      <c r="A174" s="21">
        <v>20076620</v>
      </c>
      <c r="B174" s="22">
        <v>20070584</v>
      </c>
      <c r="C174" s="55"/>
      <c r="D174" s="56"/>
      <c r="E174" s="910"/>
      <c r="F174" s="57"/>
      <c r="G174" s="58"/>
      <c r="H174" s="59"/>
      <c r="I174" s="60"/>
      <c r="J174" s="269"/>
      <c r="K174" s="59"/>
      <c r="L174" s="22" t="s">
        <v>3722</v>
      </c>
      <c r="M174" s="28" t="s">
        <v>4088</v>
      </c>
      <c r="N174" s="22" t="s">
        <v>51</v>
      </c>
      <c r="O174" s="29">
        <v>25000</v>
      </c>
      <c r="P174" s="29">
        <f t="shared" si="251"/>
        <v>1750</v>
      </c>
      <c r="Q174" s="29">
        <f t="shared" si="252"/>
        <v>26750</v>
      </c>
      <c r="R174" s="61"/>
      <c r="S174" s="96"/>
      <c r="T174" s="97"/>
      <c r="U174" s="98"/>
      <c r="V174" s="1225"/>
      <c r="W174" s="1225"/>
      <c r="X174" s="100"/>
      <c r="Y174" s="1225"/>
      <c r="Z174" s="1225"/>
      <c r="AA174" s="1225"/>
      <c r="AB174" s="1225"/>
      <c r="AC174" s="100"/>
      <c r="AD174" s="595"/>
      <c r="AE174" s="40">
        <v>20080203</v>
      </c>
      <c r="AF174" s="1186" t="s">
        <v>3423</v>
      </c>
      <c r="AG174" s="41">
        <v>25000</v>
      </c>
      <c r="AH174" s="63">
        <f t="shared" si="258"/>
        <v>1750</v>
      </c>
      <c r="AI174" s="52">
        <f t="shared" si="259"/>
        <v>26750</v>
      </c>
      <c r="AJ174" s="53">
        <v>44078</v>
      </c>
      <c r="AK174" s="39"/>
      <c r="AL174" s="39"/>
      <c r="AM174" s="39" t="s">
        <v>3423</v>
      </c>
      <c r="AN174" s="21"/>
      <c r="AO174" s="1453">
        <v>1</v>
      </c>
      <c r="AP174" s="45" t="s">
        <v>4089</v>
      </c>
      <c r="AQ174" s="46"/>
      <c r="AR174" s="46"/>
      <c r="AS174" s="47">
        <v>1</v>
      </c>
      <c r="AT174" s="102"/>
      <c r="AU174" s="1454"/>
      <c r="AV174" s="54"/>
      <c r="AW174" s="1454"/>
      <c r="AX174" s="1454"/>
      <c r="AY174" s="1454"/>
      <c r="AZ174" s="54"/>
      <c r="BA174" s="1454"/>
      <c r="BB174" s="54"/>
      <c r="BC174" s="1454"/>
      <c r="BD174" s="1454"/>
      <c r="BE174" s="1454"/>
      <c r="BF174" s="54"/>
      <c r="BG174" s="1454"/>
      <c r="BH174" s="54"/>
      <c r="BI174" s="1454"/>
      <c r="BJ174" s="1454"/>
      <c r="BK174" s="1454"/>
      <c r="BL174" s="54"/>
      <c r="BM174" s="1454"/>
      <c r="BN174" s="54"/>
      <c r="BO174" s="1454"/>
      <c r="BP174" s="1454"/>
      <c r="BQ174" s="1454"/>
      <c r="BR174" s="54"/>
      <c r="BS174" s="1454"/>
      <c r="BT174" s="54"/>
      <c r="BU174" s="1454"/>
      <c r="BV174" s="1454"/>
      <c r="BW174" s="1454"/>
      <c r="BX174" s="54"/>
      <c r="BY174" s="1454"/>
      <c r="BZ174" s="54"/>
      <c r="CA174" s="1454"/>
      <c r="CB174" s="1454"/>
      <c r="CC174" s="1454"/>
      <c r="CD174" s="54"/>
      <c r="CE174" s="1454"/>
      <c r="CF174" s="54"/>
      <c r="CG174" s="1454"/>
      <c r="CH174" s="1454"/>
      <c r="CI174" s="1454"/>
      <c r="CJ174" s="1454"/>
    </row>
    <row r="175" spans="1:88" x14ac:dyDescent="0.5">
      <c r="A175" s="21">
        <v>20076619</v>
      </c>
      <c r="B175" s="22">
        <v>20070583</v>
      </c>
      <c r="C175" s="55"/>
      <c r="D175" s="56"/>
      <c r="E175" s="910"/>
      <c r="F175" s="57"/>
      <c r="G175" s="58"/>
      <c r="H175" s="59"/>
      <c r="I175" s="60"/>
      <c r="J175" s="269"/>
      <c r="K175" s="59"/>
      <c r="L175" s="22" t="s">
        <v>3722</v>
      </c>
      <c r="M175" s="28" t="s">
        <v>4090</v>
      </c>
      <c r="N175" s="22" t="s">
        <v>51</v>
      </c>
      <c r="O175" s="29">
        <v>65500</v>
      </c>
      <c r="P175" s="29">
        <f t="shared" si="251"/>
        <v>4585</v>
      </c>
      <c r="Q175" s="29">
        <f t="shared" si="252"/>
        <v>70085</v>
      </c>
      <c r="R175" s="61"/>
      <c r="S175" s="96"/>
      <c r="T175" s="97"/>
      <c r="U175" s="98"/>
      <c r="V175" s="1225"/>
      <c r="W175" s="1225"/>
      <c r="X175" s="100"/>
      <c r="Y175" s="1225"/>
      <c r="Z175" s="1225"/>
      <c r="AA175" s="1225"/>
      <c r="AB175" s="1225"/>
      <c r="AC175" s="100"/>
      <c r="AD175" s="595"/>
      <c r="AE175" s="40">
        <v>20080204</v>
      </c>
      <c r="AF175" s="1186" t="s">
        <v>3423</v>
      </c>
      <c r="AG175" s="41">
        <v>65500</v>
      </c>
      <c r="AH175" s="63">
        <f t="shared" si="258"/>
        <v>4585</v>
      </c>
      <c r="AI175" s="52">
        <f t="shared" si="259"/>
        <v>70085</v>
      </c>
      <c r="AJ175" s="53">
        <v>44078</v>
      </c>
      <c r="AK175" s="39"/>
      <c r="AL175" s="39"/>
      <c r="AM175" s="39" t="s">
        <v>3423</v>
      </c>
      <c r="AN175" s="21"/>
      <c r="AO175" s="1453">
        <v>1</v>
      </c>
      <c r="AP175" s="45" t="s">
        <v>4091</v>
      </c>
      <c r="AQ175" s="46"/>
      <c r="AR175" s="46"/>
      <c r="AS175" s="47">
        <v>1</v>
      </c>
      <c r="AT175" s="102"/>
      <c r="AU175" s="1454"/>
      <c r="AV175" s="54"/>
      <c r="AW175" s="1454"/>
      <c r="AX175" s="1454"/>
      <c r="AY175" s="1454"/>
      <c r="AZ175" s="54"/>
      <c r="BA175" s="1454"/>
      <c r="BB175" s="54"/>
      <c r="BC175" s="1454"/>
      <c r="BD175" s="1454"/>
      <c r="BE175" s="1454"/>
      <c r="BF175" s="54"/>
      <c r="BG175" s="1454"/>
      <c r="BH175" s="54"/>
      <c r="BI175" s="1454"/>
      <c r="BJ175" s="1454"/>
      <c r="BK175" s="1454"/>
      <c r="BL175" s="54"/>
      <c r="BM175" s="1454"/>
      <c r="BN175" s="54"/>
      <c r="BO175" s="1454"/>
      <c r="BP175" s="1454"/>
      <c r="BQ175" s="1454"/>
      <c r="BR175" s="54"/>
      <c r="BS175" s="1454"/>
      <c r="BT175" s="54"/>
      <c r="BU175" s="1454"/>
      <c r="BV175" s="1454"/>
      <c r="BW175" s="1454"/>
      <c r="BX175" s="54"/>
      <c r="BY175" s="1454"/>
      <c r="BZ175" s="54"/>
      <c r="CA175" s="1454"/>
      <c r="CB175" s="1454"/>
      <c r="CC175" s="1454"/>
      <c r="CD175" s="54"/>
      <c r="CE175" s="1454"/>
      <c r="CF175" s="54"/>
      <c r="CG175" s="1454"/>
      <c r="CH175" s="1454"/>
      <c r="CI175" s="1454"/>
      <c r="CJ175" s="1454"/>
    </row>
    <row r="176" spans="1:88" x14ac:dyDescent="0.5">
      <c r="A176" s="21">
        <v>20076618</v>
      </c>
      <c r="B176" s="22">
        <v>20070558</v>
      </c>
      <c r="C176" s="55"/>
      <c r="D176" s="56"/>
      <c r="E176" s="910"/>
      <c r="F176" s="57"/>
      <c r="G176" s="58"/>
      <c r="H176" s="59"/>
      <c r="I176" s="60"/>
      <c r="J176" s="269"/>
      <c r="K176" s="59"/>
      <c r="L176" s="22" t="s">
        <v>3953</v>
      </c>
      <c r="M176" s="28" t="s">
        <v>3954</v>
      </c>
      <c r="N176" s="22" t="s">
        <v>50</v>
      </c>
      <c r="O176" s="29">
        <v>10500</v>
      </c>
      <c r="P176" s="29">
        <f t="shared" ref="P176:P181" si="274">O176*7/100</f>
        <v>735</v>
      </c>
      <c r="Q176" s="29">
        <f t="shared" ref="Q176:Q181" si="275">O176+P176</f>
        <v>11235</v>
      </c>
      <c r="R176" s="61"/>
      <c r="S176" s="96"/>
      <c r="T176" s="97"/>
      <c r="U176" s="98"/>
      <c r="V176" s="1225"/>
      <c r="W176" s="1225"/>
      <c r="X176" s="100"/>
      <c r="Y176" s="1225"/>
      <c r="Z176" s="1225"/>
      <c r="AA176" s="1225"/>
      <c r="AB176" s="1225"/>
      <c r="AC176" s="100"/>
      <c r="AD176" s="595"/>
      <c r="AE176" s="40"/>
      <c r="AF176" s="1186"/>
      <c r="AG176" s="41"/>
      <c r="AH176" s="63">
        <f t="shared" ref="AH176:AH182" si="276">AG176*7/100</f>
        <v>0</v>
      </c>
      <c r="AI176" s="52">
        <f t="shared" ref="AI176:AI182" si="277">AG176+AH176</f>
        <v>0</v>
      </c>
      <c r="AJ176" s="43"/>
      <c r="AK176" s="39"/>
      <c r="AL176" s="39"/>
      <c r="AM176" s="39"/>
      <c r="AN176" s="21"/>
      <c r="AO176" s="1426">
        <v>1</v>
      </c>
      <c r="AP176" s="45" t="s">
        <v>3955</v>
      </c>
      <c r="AQ176" s="46"/>
      <c r="AR176" s="46"/>
      <c r="AS176" s="47">
        <v>1</v>
      </c>
      <c r="AT176" s="102"/>
      <c r="AU176" s="1429"/>
      <c r="AV176" s="54"/>
      <c r="AW176" s="1429"/>
      <c r="AX176" s="1429"/>
      <c r="AY176" s="1429"/>
      <c r="AZ176" s="54"/>
      <c r="BA176" s="1429"/>
      <c r="BB176" s="54"/>
      <c r="BC176" s="1429"/>
      <c r="BD176" s="1429"/>
      <c r="BE176" s="1429"/>
      <c r="BF176" s="54"/>
      <c r="BG176" s="1429"/>
      <c r="BH176" s="54"/>
      <c r="BI176" s="1429"/>
      <c r="BJ176" s="1429"/>
      <c r="BK176" s="1429"/>
      <c r="BL176" s="54"/>
      <c r="BM176" s="1429"/>
      <c r="BN176" s="54"/>
      <c r="BO176" s="1429"/>
      <c r="BP176" s="1429"/>
      <c r="BQ176" s="1429"/>
      <c r="BR176" s="54"/>
      <c r="BS176" s="1429"/>
      <c r="BT176" s="54"/>
      <c r="BU176" s="1429"/>
      <c r="BV176" s="1429"/>
      <c r="BW176" s="1429"/>
      <c r="BX176" s="54"/>
      <c r="BY176" s="1429"/>
      <c r="BZ176" s="54"/>
      <c r="CA176" s="1429"/>
      <c r="CB176" s="1429"/>
      <c r="CC176" s="1429"/>
      <c r="CD176" s="54"/>
      <c r="CE176" s="1429"/>
      <c r="CF176" s="54"/>
      <c r="CG176" s="1429"/>
      <c r="CH176" s="1429"/>
      <c r="CI176" s="1429"/>
      <c r="CJ176" s="1429"/>
    </row>
    <row r="177" spans="1:88" x14ac:dyDescent="0.5">
      <c r="A177" s="259">
        <v>20076617</v>
      </c>
      <c r="B177" s="104">
        <v>20070557</v>
      </c>
      <c r="C177" s="1243" t="s">
        <v>2254</v>
      </c>
      <c r="D177" s="1244" t="s">
        <v>2691</v>
      </c>
      <c r="E177" s="302">
        <v>44053</v>
      </c>
      <c r="F177" s="936" t="s">
        <v>3368</v>
      </c>
      <c r="G177" s="937" t="s">
        <v>2381</v>
      </c>
      <c r="H177" s="302">
        <v>44067</v>
      </c>
      <c r="I177" s="1124">
        <v>63205</v>
      </c>
      <c r="J177" s="960" t="s">
        <v>3423</v>
      </c>
      <c r="K177" s="965">
        <v>44068</v>
      </c>
      <c r="L177" s="104" t="s">
        <v>3956</v>
      </c>
      <c r="M177" s="104" t="s">
        <v>3957</v>
      </c>
      <c r="N177" s="104" t="s">
        <v>1523</v>
      </c>
      <c r="O177" s="111">
        <v>281000</v>
      </c>
      <c r="P177" s="111">
        <f t="shared" si="274"/>
        <v>19670</v>
      </c>
      <c r="Q177" s="111">
        <f t="shared" si="275"/>
        <v>300670</v>
      </c>
      <c r="R177" s="311">
        <v>16000</v>
      </c>
      <c r="S177" s="113" t="s">
        <v>4124</v>
      </c>
      <c r="T177" s="114">
        <f t="shared" ref="T177:T181" si="278">O177-R177</f>
        <v>265000</v>
      </c>
      <c r="U177" s="115">
        <v>5</v>
      </c>
      <c r="V177" s="1252">
        <f t="shared" ref="V177:V181" si="279">T177*U177/100</f>
        <v>13250</v>
      </c>
      <c r="W177" s="1245">
        <v>54.63</v>
      </c>
      <c r="X177" s="1246">
        <f t="shared" ref="X177:X181" si="280">T177-V177</f>
        <v>251750</v>
      </c>
      <c r="Y177" s="1247">
        <f t="shared" ref="Y177:Y181" si="281">SUM((50-W177)/(100)*(2.5)+(0.5))</f>
        <v>0.38424999999999992</v>
      </c>
      <c r="Z177" s="1247">
        <f>251750*0.38/100</f>
        <v>956.65</v>
      </c>
      <c r="AA177" s="1265">
        <v>0.5</v>
      </c>
      <c r="AB177" s="1265">
        <f t="shared" ref="AB177:AB181" si="282">X177*AA177/100</f>
        <v>1258.75</v>
      </c>
      <c r="AC177" s="119">
        <v>0.2</v>
      </c>
      <c r="AD177" s="1248">
        <f t="shared" ref="AD177:AD181" si="283">X177*AC177/100</f>
        <v>503.5</v>
      </c>
      <c r="AE177" s="229">
        <v>20080209</v>
      </c>
      <c r="AF177" s="1313"/>
      <c r="AG177" s="230">
        <v>84300</v>
      </c>
      <c r="AH177" s="233">
        <f t="shared" si="276"/>
        <v>5901</v>
      </c>
      <c r="AI177" s="220">
        <f t="shared" si="277"/>
        <v>90201</v>
      </c>
      <c r="AJ177" s="221">
        <v>44053</v>
      </c>
      <c r="AK177" s="121" t="s">
        <v>3423</v>
      </c>
      <c r="AL177" s="121"/>
      <c r="AM177" s="121"/>
      <c r="AN177" s="222" t="s">
        <v>4348</v>
      </c>
      <c r="AO177" s="128">
        <v>1</v>
      </c>
      <c r="AP177" s="129" t="s">
        <v>654</v>
      </c>
      <c r="AQ177" s="130"/>
      <c r="AR177" s="130" t="s">
        <v>3423</v>
      </c>
      <c r="AS177" s="131">
        <v>1</v>
      </c>
      <c r="AT177" s="132" t="s">
        <v>634</v>
      </c>
      <c r="AU177" s="128"/>
      <c r="AV177" s="133"/>
      <c r="AW177" s="128"/>
      <c r="AX177" s="128"/>
      <c r="AY177" s="128"/>
      <c r="AZ177" s="133"/>
      <c r="BA177" s="128"/>
      <c r="BB177" s="133"/>
      <c r="BC177" s="128"/>
      <c r="BD177" s="128"/>
      <c r="BE177" s="128"/>
      <c r="BF177" s="133"/>
      <c r="BG177" s="128"/>
      <c r="BH177" s="133"/>
      <c r="BI177" s="128"/>
      <c r="BJ177" s="128"/>
      <c r="BK177" s="128"/>
      <c r="BL177" s="133"/>
      <c r="BM177" s="128"/>
      <c r="BN177" s="133"/>
      <c r="BO177" s="128"/>
      <c r="BP177" s="128"/>
      <c r="BQ177" s="128"/>
      <c r="BR177" s="133"/>
      <c r="BS177" s="128"/>
      <c r="BT177" s="133"/>
      <c r="BU177" s="128"/>
      <c r="BV177" s="128"/>
      <c r="BW177" s="128"/>
      <c r="BX177" s="133"/>
      <c r="BY177" s="128"/>
      <c r="BZ177" s="133"/>
      <c r="CA177" s="128"/>
      <c r="CB177" s="128"/>
      <c r="CC177" s="128"/>
      <c r="CD177" s="133"/>
      <c r="CE177" s="128"/>
      <c r="CF177" s="133"/>
      <c r="CG177" s="128"/>
      <c r="CH177" s="128"/>
      <c r="CI177" s="128"/>
      <c r="CJ177" s="128"/>
    </row>
    <row r="178" spans="1:88" x14ac:dyDescent="0.5">
      <c r="A178" s="262"/>
      <c r="B178" s="135"/>
      <c r="C178" s="1290"/>
      <c r="D178" s="1291"/>
      <c r="E178" s="906"/>
      <c r="F178" s="940"/>
      <c r="G178" s="941"/>
      <c r="H178" s="1307"/>
      <c r="I178" s="1138"/>
      <c r="J178" s="963"/>
      <c r="K178" s="154"/>
      <c r="L178" s="135"/>
      <c r="M178" s="141"/>
      <c r="N178" s="135"/>
      <c r="O178" s="142"/>
      <c r="P178" s="142"/>
      <c r="Q178" s="142"/>
      <c r="R178" s="143"/>
      <c r="S178" s="144"/>
      <c r="T178" s="145"/>
      <c r="U178" s="146"/>
      <c r="V178" s="1292"/>
      <c r="W178" s="1293"/>
      <c r="X178" s="1294"/>
      <c r="Y178" s="1295"/>
      <c r="Z178" s="1295"/>
      <c r="AA178" s="1308"/>
      <c r="AB178" s="1308"/>
      <c r="AC178" s="150"/>
      <c r="AD178" s="1297"/>
      <c r="AE178" s="154">
        <v>20080226</v>
      </c>
      <c r="AF178" s="1298" t="s">
        <v>3423</v>
      </c>
      <c r="AG178" s="155">
        <v>196700</v>
      </c>
      <c r="AH178" s="253">
        <f t="shared" si="276"/>
        <v>13769</v>
      </c>
      <c r="AI178" s="156">
        <f t="shared" si="277"/>
        <v>210469</v>
      </c>
      <c r="AJ178" s="157">
        <v>44057</v>
      </c>
      <c r="AK178" s="152" t="s">
        <v>3423</v>
      </c>
      <c r="AL178" s="152"/>
      <c r="AM178" s="152"/>
      <c r="AN178" s="134" t="s">
        <v>4336</v>
      </c>
      <c r="AO178" s="158"/>
      <c r="AP178" s="159"/>
      <c r="AQ178" s="160"/>
      <c r="AR178" s="160"/>
      <c r="AS178" s="161"/>
      <c r="AT178" s="162"/>
      <c r="AU178" s="158"/>
      <c r="AV178" s="163"/>
      <c r="AW178" s="158"/>
      <c r="AX178" s="158"/>
      <c r="AY178" s="158"/>
      <c r="AZ178" s="163"/>
      <c r="BA178" s="158"/>
      <c r="BB178" s="163"/>
      <c r="BC178" s="158"/>
      <c r="BD178" s="158"/>
      <c r="BE178" s="158"/>
      <c r="BF178" s="163"/>
      <c r="BG178" s="158"/>
      <c r="BH178" s="163"/>
      <c r="BI178" s="158"/>
      <c r="BJ178" s="158"/>
      <c r="BK178" s="158"/>
      <c r="BL178" s="163"/>
      <c r="BM178" s="158"/>
      <c r="BN178" s="163"/>
      <c r="BO178" s="158"/>
      <c r="BP178" s="158"/>
      <c r="BQ178" s="158"/>
      <c r="BR178" s="163"/>
      <c r="BS178" s="158"/>
      <c r="BT178" s="163"/>
      <c r="BU178" s="158"/>
      <c r="BV178" s="158"/>
      <c r="BW178" s="158"/>
      <c r="BX178" s="163"/>
      <c r="BY178" s="158"/>
      <c r="BZ178" s="163"/>
      <c r="CA178" s="158"/>
      <c r="CB178" s="158"/>
      <c r="CC178" s="158"/>
      <c r="CD178" s="163"/>
      <c r="CE178" s="158"/>
      <c r="CF178" s="163"/>
      <c r="CG178" s="158"/>
      <c r="CH178" s="158"/>
      <c r="CI178" s="158"/>
      <c r="CJ178" s="158"/>
    </row>
    <row r="179" spans="1:88" x14ac:dyDescent="0.5">
      <c r="A179" s="103">
        <v>20076616</v>
      </c>
      <c r="B179" s="104">
        <v>20070555</v>
      </c>
      <c r="C179" s="1243" t="s">
        <v>2247</v>
      </c>
      <c r="D179" s="1244" t="s">
        <v>2691</v>
      </c>
      <c r="E179" s="302">
        <v>44073</v>
      </c>
      <c r="F179" s="936" t="s">
        <v>3368</v>
      </c>
      <c r="G179" s="937" t="s">
        <v>2377</v>
      </c>
      <c r="H179" s="302">
        <v>44076</v>
      </c>
      <c r="I179" s="1124">
        <v>63216</v>
      </c>
      <c r="J179" s="960" t="s">
        <v>3423</v>
      </c>
      <c r="K179" s="965">
        <v>44077</v>
      </c>
      <c r="L179" s="104" t="s">
        <v>3958</v>
      </c>
      <c r="M179" s="110" t="s">
        <v>3959</v>
      </c>
      <c r="N179" s="104" t="s">
        <v>1523</v>
      </c>
      <c r="O179" s="111">
        <v>277500</v>
      </c>
      <c r="P179" s="111">
        <f t="shared" si="274"/>
        <v>19425</v>
      </c>
      <c r="Q179" s="111">
        <f t="shared" si="275"/>
        <v>296925</v>
      </c>
      <c r="R179" s="212"/>
      <c r="S179" s="264" t="s">
        <v>2397</v>
      </c>
      <c r="T179" s="265">
        <f t="shared" si="278"/>
        <v>277500</v>
      </c>
      <c r="U179" s="266" t="s">
        <v>1994</v>
      </c>
      <c r="V179" s="1653">
        <v>27500</v>
      </c>
      <c r="W179" s="1245">
        <v>57.2</v>
      </c>
      <c r="X179" s="1246">
        <f>T179-V179-V180</f>
        <v>237500</v>
      </c>
      <c r="Y179" s="1247">
        <f t="shared" si="281"/>
        <v>0.31999999999999995</v>
      </c>
      <c r="Z179" s="1247">
        <f>237500*0.32/100</f>
        <v>760</v>
      </c>
      <c r="AA179" s="1265">
        <v>0.5</v>
      </c>
      <c r="AB179" s="1265">
        <f t="shared" si="282"/>
        <v>1187.5</v>
      </c>
      <c r="AC179" s="119">
        <v>0.2</v>
      </c>
      <c r="AD179" s="1248">
        <f t="shared" si="283"/>
        <v>475</v>
      </c>
      <c r="AE179" s="229">
        <v>20080220</v>
      </c>
      <c r="AF179" s="1313"/>
      <c r="AG179" s="230">
        <v>83250</v>
      </c>
      <c r="AH179" s="233">
        <f t="shared" si="276"/>
        <v>5827.5</v>
      </c>
      <c r="AI179" s="220">
        <f t="shared" si="277"/>
        <v>89077.5</v>
      </c>
      <c r="AJ179" s="221">
        <v>44056</v>
      </c>
      <c r="AK179" s="121"/>
      <c r="AL179" s="121"/>
      <c r="AM179" s="121" t="s">
        <v>3423</v>
      </c>
      <c r="AN179" s="222" t="s">
        <v>4306</v>
      </c>
      <c r="AO179" s="128">
        <v>1</v>
      </c>
      <c r="AP179" s="129" t="s">
        <v>654</v>
      </c>
      <c r="AQ179" s="130"/>
      <c r="AR179" s="130" t="s">
        <v>3423</v>
      </c>
      <c r="AS179" s="131">
        <v>1</v>
      </c>
      <c r="AT179" s="132" t="s">
        <v>634</v>
      </c>
      <c r="AU179" s="128"/>
      <c r="AV179" s="133"/>
      <c r="AW179" s="128"/>
      <c r="AX179" s="128"/>
      <c r="AY179" s="128"/>
      <c r="AZ179" s="133"/>
      <c r="BA179" s="128"/>
      <c r="BB179" s="133"/>
      <c r="BC179" s="128"/>
      <c r="BD179" s="128"/>
      <c r="BE179" s="128"/>
      <c r="BF179" s="133"/>
      <c r="BG179" s="128"/>
      <c r="BH179" s="133"/>
      <c r="BI179" s="128"/>
      <c r="BJ179" s="128"/>
      <c r="BK179" s="128"/>
      <c r="BL179" s="133"/>
      <c r="BM179" s="128"/>
      <c r="BN179" s="133"/>
      <c r="BO179" s="128"/>
      <c r="BP179" s="128"/>
      <c r="BQ179" s="128"/>
      <c r="BR179" s="133"/>
      <c r="BS179" s="128"/>
      <c r="BT179" s="133"/>
      <c r="BU179" s="128"/>
      <c r="BV179" s="128"/>
      <c r="BW179" s="128"/>
      <c r="BX179" s="133"/>
      <c r="BY179" s="128"/>
      <c r="BZ179" s="133"/>
      <c r="CA179" s="128"/>
      <c r="CB179" s="128"/>
      <c r="CC179" s="128"/>
      <c r="CD179" s="133"/>
      <c r="CE179" s="128"/>
      <c r="CF179" s="133"/>
      <c r="CG179" s="128"/>
      <c r="CH179" s="128"/>
      <c r="CI179" s="128"/>
      <c r="CJ179" s="128"/>
    </row>
    <row r="180" spans="1:88" x14ac:dyDescent="0.5">
      <c r="A180" s="180"/>
      <c r="B180" s="181"/>
      <c r="C180" s="1236"/>
      <c r="D180" s="1237"/>
      <c r="E180" s="749"/>
      <c r="F180" s="938"/>
      <c r="G180" s="939"/>
      <c r="H180" s="304"/>
      <c r="I180" s="1125"/>
      <c r="J180" s="961"/>
      <c r="K180" s="200"/>
      <c r="L180" s="181"/>
      <c r="M180" s="188"/>
      <c r="N180" s="181"/>
      <c r="O180" s="189"/>
      <c r="P180" s="189"/>
      <c r="Q180" s="189"/>
      <c r="R180" s="214"/>
      <c r="S180" s="215" t="s">
        <v>4124</v>
      </c>
      <c r="T180" s="216"/>
      <c r="U180" s="217"/>
      <c r="V180" s="1253">
        <v>12500</v>
      </c>
      <c r="W180" s="1238"/>
      <c r="X180" s="1239"/>
      <c r="Y180" s="1240"/>
      <c r="Z180" s="1240"/>
      <c r="AA180" s="1263"/>
      <c r="AB180" s="1263"/>
      <c r="AC180" s="197"/>
      <c r="AD180" s="1241"/>
      <c r="AE180" s="200">
        <v>20080221</v>
      </c>
      <c r="AF180" s="1242" t="s">
        <v>3423</v>
      </c>
      <c r="AG180" s="201">
        <v>194250</v>
      </c>
      <c r="AH180" s="237">
        <f t="shared" si="276"/>
        <v>13597.5</v>
      </c>
      <c r="AI180" s="202">
        <f t="shared" si="277"/>
        <v>207847.5</v>
      </c>
      <c r="AJ180" s="203">
        <v>44056</v>
      </c>
      <c r="AK180" s="199"/>
      <c r="AL180" s="199"/>
      <c r="AM180" s="199" t="s">
        <v>3423</v>
      </c>
      <c r="AN180" s="180" t="s">
        <v>4306</v>
      </c>
      <c r="AO180" s="204"/>
      <c r="AP180" s="205"/>
      <c r="AQ180" s="206"/>
      <c r="AR180" s="206"/>
      <c r="AS180" s="207"/>
      <c r="AT180" s="208"/>
      <c r="AU180" s="204"/>
      <c r="AV180" s="210"/>
      <c r="AW180" s="204"/>
      <c r="AX180" s="204"/>
      <c r="AY180" s="204"/>
      <c r="AZ180" s="210"/>
      <c r="BA180" s="204"/>
      <c r="BB180" s="210"/>
      <c r="BC180" s="204"/>
      <c r="BD180" s="204"/>
      <c r="BE180" s="204"/>
      <c r="BF180" s="210"/>
      <c r="BG180" s="204"/>
      <c r="BH180" s="210"/>
      <c r="BI180" s="204"/>
      <c r="BJ180" s="204"/>
      <c r="BK180" s="204"/>
      <c r="BL180" s="210"/>
      <c r="BM180" s="204"/>
      <c r="BN180" s="210"/>
      <c r="BO180" s="204"/>
      <c r="BP180" s="204"/>
      <c r="BQ180" s="204"/>
      <c r="BR180" s="210"/>
      <c r="BS180" s="204"/>
      <c r="BT180" s="210"/>
      <c r="BU180" s="204"/>
      <c r="BV180" s="204"/>
      <c r="BW180" s="204"/>
      <c r="BX180" s="210"/>
      <c r="BY180" s="204"/>
      <c r="BZ180" s="210"/>
      <c r="CA180" s="204"/>
      <c r="CB180" s="204"/>
      <c r="CC180" s="204"/>
      <c r="CD180" s="210"/>
      <c r="CE180" s="204"/>
      <c r="CF180" s="210"/>
      <c r="CG180" s="204"/>
      <c r="CH180" s="204"/>
      <c r="CI180" s="204"/>
      <c r="CJ180" s="204"/>
    </row>
    <row r="181" spans="1:88" x14ac:dyDescent="0.5">
      <c r="A181" s="259">
        <v>20076615</v>
      </c>
      <c r="B181" s="104" t="s">
        <v>3960</v>
      </c>
      <c r="C181" s="1243" t="s">
        <v>2159</v>
      </c>
      <c r="D181" s="1244" t="s">
        <v>2691</v>
      </c>
      <c r="E181" s="302">
        <v>44033</v>
      </c>
      <c r="F181" s="936" t="s">
        <v>3368</v>
      </c>
      <c r="G181" s="937" t="s">
        <v>2383</v>
      </c>
      <c r="H181" s="302">
        <v>44070</v>
      </c>
      <c r="I181" s="1124">
        <v>63210</v>
      </c>
      <c r="J181" s="960" t="s">
        <v>3423</v>
      </c>
      <c r="K181" s="965">
        <v>44071</v>
      </c>
      <c r="L181" s="104" t="s">
        <v>3961</v>
      </c>
      <c r="M181" s="104" t="s">
        <v>3962</v>
      </c>
      <c r="N181" s="104" t="s">
        <v>52</v>
      </c>
      <c r="O181" s="111">
        <v>207000</v>
      </c>
      <c r="P181" s="111">
        <f t="shared" si="274"/>
        <v>14490</v>
      </c>
      <c r="Q181" s="111">
        <f t="shared" si="275"/>
        <v>221490</v>
      </c>
      <c r="R181" s="311">
        <v>28000</v>
      </c>
      <c r="S181" s="113" t="s">
        <v>568</v>
      </c>
      <c r="T181" s="114">
        <f t="shared" si="278"/>
        <v>179000</v>
      </c>
      <c r="U181" s="115">
        <v>5</v>
      </c>
      <c r="V181" s="1252">
        <f t="shared" si="279"/>
        <v>8950</v>
      </c>
      <c r="W181" s="1245">
        <v>61.04</v>
      </c>
      <c r="X181" s="1246">
        <f t="shared" si="280"/>
        <v>170050</v>
      </c>
      <c r="Y181" s="1247">
        <f t="shared" si="281"/>
        <v>0.22399999999999998</v>
      </c>
      <c r="Z181" s="1247">
        <f>170050*0.22/100</f>
        <v>374.11</v>
      </c>
      <c r="AA181" s="1265">
        <v>0.5</v>
      </c>
      <c r="AB181" s="1265">
        <f t="shared" si="282"/>
        <v>850.25</v>
      </c>
      <c r="AC181" s="119">
        <v>0.2</v>
      </c>
      <c r="AD181" s="1248">
        <f t="shared" si="283"/>
        <v>340.1</v>
      </c>
      <c r="AE181" s="229">
        <v>20070187</v>
      </c>
      <c r="AF181" s="1313"/>
      <c r="AG181" s="230">
        <v>62100</v>
      </c>
      <c r="AH181" s="233">
        <f t="shared" si="276"/>
        <v>4347</v>
      </c>
      <c r="AI181" s="220">
        <f t="shared" si="277"/>
        <v>66447</v>
      </c>
      <c r="AJ181" s="221">
        <v>44015</v>
      </c>
      <c r="AK181" s="121" t="s">
        <v>3423</v>
      </c>
      <c r="AL181" s="121"/>
      <c r="AM181" s="121"/>
      <c r="AN181" s="222" t="s">
        <v>4104</v>
      </c>
      <c r="AO181" s="128">
        <v>1</v>
      </c>
      <c r="AP181" s="129" t="s">
        <v>3000</v>
      </c>
      <c r="AQ181" s="130"/>
      <c r="AR181" s="130" t="s">
        <v>3423</v>
      </c>
      <c r="AS181" s="131">
        <v>1</v>
      </c>
      <c r="AT181" s="132" t="s">
        <v>636</v>
      </c>
      <c r="AU181" s="128">
        <v>2</v>
      </c>
      <c r="AV181" s="123" t="s">
        <v>592</v>
      </c>
      <c r="AW181" s="131"/>
      <c r="AX181" s="131" t="s">
        <v>3423</v>
      </c>
      <c r="AY181" s="131">
        <v>1</v>
      </c>
      <c r="AZ181" s="169" t="s">
        <v>634</v>
      </c>
      <c r="BA181" s="128">
        <v>3</v>
      </c>
      <c r="BB181" s="123" t="s">
        <v>877</v>
      </c>
      <c r="BC181" s="131"/>
      <c r="BD181" s="131" t="s">
        <v>3423</v>
      </c>
      <c r="BE181" s="131">
        <v>1</v>
      </c>
      <c r="BF181" s="169" t="s">
        <v>634</v>
      </c>
      <c r="BG181" s="128"/>
      <c r="BH181" s="133"/>
      <c r="BI181" s="128"/>
      <c r="BJ181" s="128"/>
      <c r="BK181" s="128"/>
      <c r="BL181" s="133"/>
      <c r="BM181" s="128"/>
      <c r="BN181" s="133"/>
      <c r="BO181" s="128"/>
      <c r="BP181" s="128"/>
      <c r="BQ181" s="128"/>
      <c r="BR181" s="133"/>
      <c r="BS181" s="128"/>
      <c r="BT181" s="133"/>
      <c r="BU181" s="128"/>
      <c r="BV181" s="128"/>
      <c r="BW181" s="128"/>
      <c r="BX181" s="133"/>
      <c r="BY181" s="128"/>
      <c r="BZ181" s="133"/>
      <c r="CA181" s="128"/>
      <c r="CB181" s="128"/>
      <c r="CC181" s="128"/>
      <c r="CD181" s="133"/>
      <c r="CE181" s="128"/>
      <c r="CF181" s="133"/>
      <c r="CG181" s="128"/>
      <c r="CH181" s="128"/>
      <c r="CI181" s="128"/>
      <c r="CJ181" s="128"/>
    </row>
    <row r="182" spans="1:88" x14ac:dyDescent="0.5">
      <c r="A182" s="262"/>
      <c r="B182" s="135"/>
      <c r="C182" s="1290"/>
      <c r="D182" s="1291"/>
      <c r="E182" s="906"/>
      <c r="F182" s="940"/>
      <c r="G182" s="941"/>
      <c r="H182" s="906">
        <v>44070</v>
      </c>
      <c r="I182" s="1138">
        <v>63211</v>
      </c>
      <c r="J182" s="963"/>
      <c r="K182" s="154"/>
      <c r="L182" s="135"/>
      <c r="M182" s="135"/>
      <c r="N182" s="135"/>
      <c r="O182" s="142"/>
      <c r="P182" s="142"/>
      <c r="Q182" s="142"/>
      <c r="R182" s="143"/>
      <c r="S182" s="144"/>
      <c r="T182" s="145"/>
      <c r="U182" s="146"/>
      <c r="V182" s="1292"/>
      <c r="W182" s="1293"/>
      <c r="X182" s="1294"/>
      <c r="Y182" s="1295"/>
      <c r="Z182" s="1295"/>
      <c r="AA182" s="1308"/>
      <c r="AB182" s="1308"/>
      <c r="AC182" s="150"/>
      <c r="AD182" s="1297"/>
      <c r="AE182" s="154">
        <v>20080218</v>
      </c>
      <c r="AF182" s="1298" t="s">
        <v>3423</v>
      </c>
      <c r="AG182" s="155">
        <v>144900</v>
      </c>
      <c r="AH182" s="253">
        <f t="shared" si="276"/>
        <v>10143</v>
      </c>
      <c r="AI182" s="156">
        <f t="shared" si="277"/>
        <v>155043</v>
      </c>
      <c r="AJ182" s="157">
        <v>44056</v>
      </c>
      <c r="AK182" s="152" t="s">
        <v>3423</v>
      </c>
      <c r="AL182" s="152"/>
      <c r="AM182" s="152"/>
      <c r="AN182" s="134" t="s">
        <v>4335</v>
      </c>
      <c r="AO182" s="158"/>
      <c r="AP182" s="159"/>
      <c r="AQ182" s="160"/>
      <c r="AR182" s="160"/>
      <c r="AS182" s="161"/>
      <c r="AT182" s="162"/>
      <c r="AU182" s="158"/>
      <c r="AV182" s="154"/>
      <c r="AW182" s="161"/>
      <c r="AX182" s="161"/>
      <c r="AY182" s="161"/>
      <c r="AZ182" s="177"/>
      <c r="BA182" s="158"/>
      <c r="BB182" s="154"/>
      <c r="BC182" s="161"/>
      <c r="BD182" s="161"/>
      <c r="BE182" s="161"/>
      <c r="BF182" s="177"/>
      <c r="BG182" s="158"/>
      <c r="BH182" s="163"/>
      <c r="BI182" s="158"/>
      <c r="BJ182" s="158"/>
      <c r="BK182" s="158"/>
      <c r="BL182" s="163"/>
      <c r="BM182" s="158"/>
      <c r="BN182" s="163"/>
      <c r="BO182" s="158"/>
      <c r="BP182" s="158"/>
      <c r="BQ182" s="158"/>
      <c r="BR182" s="163"/>
      <c r="BS182" s="158"/>
      <c r="BT182" s="163"/>
      <c r="BU182" s="158"/>
      <c r="BV182" s="158"/>
      <c r="BW182" s="158"/>
      <c r="BX182" s="163"/>
      <c r="BY182" s="158"/>
      <c r="BZ182" s="163"/>
      <c r="CA182" s="158"/>
      <c r="CB182" s="158"/>
      <c r="CC182" s="158"/>
      <c r="CD182" s="163"/>
      <c r="CE182" s="158"/>
      <c r="CF182" s="163"/>
      <c r="CG182" s="158"/>
      <c r="CH182" s="158"/>
      <c r="CI182" s="158"/>
      <c r="CJ182" s="158"/>
    </row>
    <row r="183" spans="1:88" x14ac:dyDescent="0.5">
      <c r="A183" s="268"/>
      <c r="B183" s="181"/>
      <c r="C183" s="1236"/>
      <c r="D183" s="1237"/>
      <c r="E183" s="749"/>
      <c r="F183" s="938"/>
      <c r="G183" s="939"/>
      <c r="H183" s="749">
        <v>44070</v>
      </c>
      <c r="I183" s="1125">
        <v>63212</v>
      </c>
      <c r="J183" s="961"/>
      <c r="K183" s="200"/>
      <c r="L183" s="181"/>
      <c r="M183" s="188"/>
      <c r="N183" s="181"/>
      <c r="O183" s="189"/>
      <c r="P183" s="189"/>
      <c r="Q183" s="189"/>
      <c r="R183" s="190"/>
      <c r="S183" s="215"/>
      <c r="T183" s="216"/>
      <c r="U183" s="217"/>
      <c r="V183" s="1253"/>
      <c r="W183" s="1238"/>
      <c r="X183" s="1239"/>
      <c r="Y183" s="1240"/>
      <c r="Z183" s="1240"/>
      <c r="AA183" s="1263"/>
      <c r="AB183" s="1263"/>
      <c r="AC183" s="197"/>
      <c r="AD183" s="1241"/>
      <c r="AE183" s="200"/>
      <c r="AF183" s="1242"/>
      <c r="AG183" s="201"/>
      <c r="AH183" s="237"/>
      <c r="AI183" s="202"/>
      <c r="AJ183" s="203"/>
      <c r="AK183" s="199"/>
      <c r="AL183" s="199"/>
      <c r="AM183" s="199"/>
      <c r="AN183" s="180"/>
      <c r="AO183" s="204"/>
      <c r="AP183" s="205"/>
      <c r="AQ183" s="206"/>
      <c r="AR183" s="206"/>
      <c r="AS183" s="207"/>
      <c r="AT183" s="208"/>
      <c r="AU183" s="204"/>
      <c r="AV183" s="200"/>
      <c r="AW183" s="207"/>
      <c r="AX183" s="207"/>
      <c r="AY183" s="207"/>
      <c r="AZ183" s="209"/>
      <c r="BA183" s="204"/>
      <c r="BB183" s="200"/>
      <c r="BC183" s="207"/>
      <c r="BD183" s="207"/>
      <c r="BE183" s="207"/>
      <c r="BF183" s="209"/>
      <c r="BG183" s="204"/>
      <c r="BH183" s="210"/>
      <c r="BI183" s="204"/>
      <c r="BJ183" s="204"/>
      <c r="BK183" s="204"/>
      <c r="BL183" s="210"/>
      <c r="BM183" s="204"/>
      <c r="BN183" s="210"/>
      <c r="BO183" s="204"/>
      <c r="BP183" s="204"/>
      <c r="BQ183" s="204"/>
      <c r="BR183" s="210"/>
      <c r="BS183" s="204"/>
      <c r="BT183" s="210"/>
      <c r="BU183" s="204"/>
      <c r="BV183" s="204"/>
      <c r="BW183" s="204"/>
      <c r="BX183" s="210"/>
      <c r="BY183" s="204"/>
      <c r="BZ183" s="210"/>
      <c r="CA183" s="204"/>
      <c r="CB183" s="204"/>
      <c r="CC183" s="204"/>
      <c r="CD183" s="210"/>
      <c r="CE183" s="204"/>
      <c r="CF183" s="210"/>
      <c r="CG183" s="204"/>
      <c r="CH183" s="204"/>
      <c r="CI183" s="204"/>
      <c r="CJ183" s="204"/>
    </row>
    <row r="184" spans="1:88" x14ac:dyDescent="0.5">
      <c r="A184" s="227">
        <v>20076614</v>
      </c>
      <c r="B184" s="22">
        <v>20060519</v>
      </c>
      <c r="C184" s="55"/>
      <c r="D184" s="56"/>
      <c r="E184" s="910"/>
      <c r="F184" s="57"/>
      <c r="G184" s="58"/>
      <c r="H184" s="59"/>
      <c r="I184" s="60"/>
      <c r="J184" s="269"/>
      <c r="K184" s="59"/>
      <c r="L184" s="22" t="s">
        <v>3859</v>
      </c>
      <c r="M184" s="28" t="s">
        <v>3963</v>
      </c>
      <c r="N184" s="22" t="s">
        <v>3646</v>
      </c>
      <c r="O184" s="29">
        <v>8800</v>
      </c>
      <c r="P184" s="29">
        <f t="shared" si="251"/>
        <v>616</v>
      </c>
      <c r="Q184" s="29">
        <f t="shared" si="252"/>
        <v>9416</v>
      </c>
      <c r="R184" s="61"/>
      <c r="S184" s="96"/>
      <c r="T184" s="97"/>
      <c r="U184" s="98"/>
      <c r="V184" s="1225"/>
      <c r="W184" s="1225"/>
      <c r="X184" s="100"/>
      <c r="Y184" s="1225"/>
      <c r="Z184" s="1225"/>
      <c r="AA184" s="1225"/>
      <c r="AB184" s="1225"/>
      <c r="AC184" s="100"/>
      <c r="AD184" s="595"/>
      <c r="AE184" s="40">
        <v>20070199</v>
      </c>
      <c r="AF184" s="1186" t="s">
        <v>3423</v>
      </c>
      <c r="AG184" s="41">
        <v>8800</v>
      </c>
      <c r="AH184" s="63">
        <f t="shared" si="258"/>
        <v>616</v>
      </c>
      <c r="AI184" s="52">
        <f t="shared" si="259"/>
        <v>9416</v>
      </c>
      <c r="AJ184" s="53">
        <v>44035</v>
      </c>
      <c r="AK184" s="39" t="s">
        <v>3423</v>
      </c>
      <c r="AL184" s="39"/>
      <c r="AM184" s="39"/>
      <c r="AN184" s="21" t="s">
        <v>4310</v>
      </c>
      <c r="AO184" s="1426">
        <v>1</v>
      </c>
      <c r="AP184" s="45" t="s">
        <v>404</v>
      </c>
      <c r="AQ184" s="46"/>
      <c r="AR184" s="46"/>
      <c r="AS184" s="47">
        <v>1</v>
      </c>
      <c r="AT184" s="102"/>
      <c r="AU184" s="1429"/>
      <c r="AV184" s="54"/>
      <c r="AW184" s="1429"/>
      <c r="AX184" s="1429"/>
      <c r="AY184" s="1429"/>
      <c r="AZ184" s="54"/>
      <c r="BA184" s="1429"/>
      <c r="BB184" s="54"/>
      <c r="BC184" s="1429"/>
      <c r="BD184" s="1429"/>
      <c r="BE184" s="1429"/>
      <c r="BF184" s="54"/>
      <c r="BG184" s="1429"/>
      <c r="BH184" s="54"/>
      <c r="BI184" s="1429"/>
      <c r="BJ184" s="1429"/>
      <c r="BK184" s="1429"/>
      <c r="BL184" s="54"/>
      <c r="BM184" s="1429"/>
      <c r="BN184" s="54"/>
      <c r="BO184" s="1429"/>
      <c r="BP184" s="1429"/>
      <c r="BQ184" s="1429"/>
      <c r="BR184" s="54"/>
      <c r="BS184" s="1429"/>
      <c r="BT184" s="54"/>
      <c r="BU184" s="1429"/>
      <c r="BV184" s="1429"/>
      <c r="BW184" s="1429"/>
      <c r="BX184" s="54"/>
      <c r="BY184" s="1429"/>
      <c r="BZ184" s="54"/>
      <c r="CA184" s="1429"/>
      <c r="CB184" s="1429"/>
      <c r="CC184" s="1429"/>
      <c r="CD184" s="54"/>
      <c r="CE184" s="1429"/>
      <c r="CF184" s="54"/>
      <c r="CG184" s="1429"/>
      <c r="CH184" s="1429"/>
      <c r="CI184" s="1429"/>
      <c r="CJ184" s="1429"/>
    </row>
    <row r="185" spans="1:88" s="1508" customFormat="1" ht="22.5" thickBot="1" x14ac:dyDescent="0.55000000000000004">
      <c r="A185" s="1811">
        <v>20076613</v>
      </c>
      <c r="B185" s="1477">
        <v>20070550</v>
      </c>
      <c r="C185" s="1478" t="s">
        <v>2144</v>
      </c>
      <c r="D185" s="1479" t="s">
        <v>2691</v>
      </c>
      <c r="E185" s="1480">
        <v>44031</v>
      </c>
      <c r="F185" s="1481" t="s">
        <v>3368</v>
      </c>
      <c r="G185" s="1482" t="s">
        <v>2268</v>
      </c>
      <c r="H185" s="1480">
        <v>44035</v>
      </c>
      <c r="I185" s="1483">
        <v>63183</v>
      </c>
      <c r="J185" s="1484" t="s">
        <v>3423</v>
      </c>
      <c r="K185" s="1485">
        <v>44035</v>
      </c>
      <c r="L185" s="1477" t="s">
        <v>15</v>
      </c>
      <c r="M185" s="1486" t="s">
        <v>3964</v>
      </c>
      <c r="N185" s="1477" t="s">
        <v>51</v>
      </c>
      <c r="O185" s="1487">
        <v>45500</v>
      </c>
      <c r="P185" s="1487">
        <f t="shared" ref="P185:P187" si="284">O185*7/100</f>
        <v>3185</v>
      </c>
      <c r="Q185" s="1487">
        <f t="shared" ref="Q185:Q187" si="285">O185+P185</f>
        <v>48685</v>
      </c>
      <c r="R185" s="1488"/>
      <c r="S185" s="1489"/>
      <c r="T185" s="1490"/>
      <c r="U185" s="1491"/>
      <c r="V185" s="1492"/>
      <c r="W185" s="1492"/>
      <c r="X185" s="1493"/>
      <c r="Y185" s="1492"/>
      <c r="Z185" s="1492"/>
      <c r="AA185" s="1492"/>
      <c r="AB185" s="1492"/>
      <c r="AC185" s="1493"/>
      <c r="AD185" s="1494"/>
      <c r="AE185" s="1495">
        <v>20070200</v>
      </c>
      <c r="AF185" s="1496" t="s">
        <v>3423</v>
      </c>
      <c r="AG185" s="1497">
        <v>45500</v>
      </c>
      <c r="AH185" s="1498">
        <f t="shared" ref="AH185:AH187" si="286">AG185*7/100</f>
        <v>3185</v>
      </c>
      <c r="AI185" s="1499">
        <f t="shared" ref="AI185:AI187" si="287">AG185+AH185</f>
        <v>48685</v>
      </c>
      <c r="AJ185" s="1500">
        <v>44086</v>
      </c>
      <c r="AK185" s="1501" t="s">
        <v>3423</v>
      </c>
      <c r="AL185" s="1501"/>
      <c r="AM185" s="1501"/>
      <c r="AN185" s="1476" t="s">
        <v>4326</v>
      </c>
      <c r="AO185" s="1502">
        <v>1</v>
      </c>
      <c r="AP185" s="1503" t="s">
        <v>3601</v>
      </c>
      <c r="AQ185" s="1504" t="s">
        <v>3423</v>
      </c>
      <c r="AR185" s="1504"/>
      <c r="AS185" s="1505">
        <v>1</v>
      </c>
      <c r="AT185" s="1506" t="s">
        <v>634</v>
      </c>
      <c r="AU185" s="1502"/>
      <c r="AV185" s="1507"/>
      <c r="AW185" s="1502"/>
      <c r="AX185" s="1502"/>
      <c r="AY185" s="1502"/>
      <c r="AZ185" s="1507"/>
      <c r="BA185" s="1502"/>
      <c r="BB185" s="1507"/>
      <c r="BC185" s="1502"/>
      <c r="BD185" s="1502"/>
      <c r="BE185" s="1502"/>
      <c r="BF185" s="1507"/>
      <c r="BG185" s="1502"/>
      <c r="BH185" s="1507"/>
      <c r="BI185" s="1502"/>
      <c r="BJ185" s="1502"/>
      <c r="BK185" s="1502"/>
      <c r="BL185" s="1507"/>
      <c r="BM185" s="1502"/>
      <c r="BN185" s="1507"/>
      <c r="BO185" s="1502"/>
      <c r="BP185" s="1502"/>
      <c r="BQ185" s="1502"/>
      <c r="BR185" s="1507"/>
      <c r="BS185" s="1502"/>
      <c r="BT185" s="1507"/>
      <c r="BU185" s="1502"/>
      <c r="BV185" s="1502"/>
      <c r="BW185" s="1502"/>
      <c r="BX185" s="1507"/>
      <c r="BY185" s="1502"/>
      <c r="BZ185" s="1507"/>
      <c r="CA185" s="1502"/>
      <c r="CB185" s="1502"/>
      <c r="CC185" s="1502"/>
      <c r="CD185" s="1507"/>
      <c r="CE185" s="1502"/>
      <c r="CF185" s="1507"/>
      <c r="CG185" s="1502"/>
      <c r="CH185" s="1502"/>
      <c r="CI185" s="1502"/>
      <c r="CJ185" s="1502"/>
    </row>
    <row r="186" spans="1:88" ht="22.5" thickTop="1" x14ac:dyDescent="0.5">
      <c r="A186" s="180">
        <v>20066612</v>
      </c>
      <c r="B186" s="181" t="s">
        <v>3944</v>
      </c>
      <c r="C186" s="1236" t="s">
        <v>2145</v>
      </c>
      <c r="D186" s="1237" t="s">
        <v>2691</v>
      </c>
      <c r="E186" s="749">
        <v>44058</v>
      </c>
      <c r="F186" s="938"/>
      <c r="G186" s="939"/>
      <c r="H186" s="304"/>
      <c r="I186" s="1125"/>
      <c r="J186" s="961"/>
      <c r="K186" s="200"/>
      <c r="L186" s="181" t="s">
        <v>3945</v>
      </c>
      <c r="M186" s="188" t="s">
        <v>3946</v>
      </c>
      <c r="N186" s="181" t="s">
        <v>52</v>
      </c>
      <c r="O186" s="189">
        <v>530000</v>
      </c>
      <c r="P186" s="189">
        <f t="shared" si="284"/>
        <v>37100</v>
      </c>
      <c r="Q186" s="189">
        <f t="shared" si="285"/>
        <v>567100</v>
      </c>
      <c r="R186" s="190">
        <v>39000</v>
      </c>
      <c r="S186" s="215" t="s">
        <v>1619</v>
      </c>
      <c r="T186" s="216">
        <f t="shared" ref="T186:T187" si="288">O186-R186</f>
        <v>491000</v>
      </c>
      <c r="U186" s="217">
        <v>5</v>
      </c>
      <c r="V186" s="1253">
        <f t="shared" ref="V186:V187" si="289">T186*U186/100</f>
        <v>24550</v>
      </c>
      <c r="W186" s="1238">
        <v>59.01</v>
      </c>
      <c r="X186" s="1239">
        <f t="shared" ref="X186:X187" si="290">T186-V186</f>
        <v>466450</v>
      </c>
      <c r="Y186" s="1240">
        <f t="shared" ref="Y186:Y187" si="291">SUM((50-W186)/(100)*(2.5)+(0.5))</f>
        <v>0.27475000000000005</v>
      </c>
      <c r="Z186" s="1240">
        <f>466450*0.27/100</f>
        <v>1259.4150000000002</v>
      </c>
      <c r="AA186" s="1263">
        <v>0.5</v>
      </c>
      <c r="AB186" s="1263">
        <f t="shared" ref="AB186:AB187" si="292">X186*AA186/100</f>
        <v>2332.25</v>
      </c>
      <c r="AC186" s="197">
        <v>0.2</v>
      </c>
      <c r="AD186" s="1241">
        <f t="shared" ref="AD186:AD187" si="293">X186*AC186/100</f>
        <v>932.9</v>
      </c>
      <c r="AE186" s="200"/>
      <c r="AF186" s="1242"/>
      <c r="AG186" s="201"/>
      <c r="AH186" s="237">
        <f t="shared" si="286"/>
        <v>0</v>
      </c>
      <c r="AI186" s="202">
        <f t="shared" si="287"/>
        <v>0</v>
      </c>
      <c r="AJ186" s="241"/>
      <c r="AK186" s="199"/>
      <c r="AL186" s="199"/>
      <c r="AM186" s="199"/>
      <c r="AN186" s="180"/>
      <c r="AO186" s="204">
        <v>1</v>
      </c>
      <c r="AP186" s="205" t="s">
        <v>804</v>
      </c>
      <c r="AQ186" s="206"/>
      <c r="AR186" s="206" t="s">
        <v>3423</v>
      </c>
      <c r="AS186" s="207">
        <v>1</v>
      </c>
      <c r="AT186" s="208" t="s">
        <v>634</v>
      </c>
      <c r="AU186" s="204">
        <v>2</v>
      </c>
      <c r="AV186" s="200" t="s">
        <v>3947</v>
      </c>
      <c r="AW186" s="207"/>
      <c r="AX186" s="207" t="s">
        <v>3423</v>
      </c>
      <c r="AY186" s="207">
        <v>1</v>
      </c>
      <c r="AZ186" s="209" t="s">
        <v>634</v>
      </c>
      <c r="BA186" s="204">
        <v>3</v>
      </c>
      <c r="BB186" s="200" t="s">
        <v>815</v>
      </c>
      <c r="BC186" s="207"/>
      <c r="BD186" s="207" t="s">
        <v>3423</v>
      </c>
      <c r="BE186" s="207">
        <v>2</v>
      </c>
      <c r="BF186" s="209" t="s">
        <v>636</v>
      </c>
      <c r="BG186" s="204"/>
      <c r="BH186" s="210"/>
      <c r="BI186" s="204"/>
      <c r="BJ186" s="204"/>
      <c r="BK186" s="204"/>
      <c r="BL186" s="210"/>
      <c r="BM186" s="204"/>
      <c r="BN186" s="210"/>
      <c r="BO186" s="204"/>
      <c r="BP186" s="204"/>
      <c r="BQ186" s="204"/>
      <c r="BR186" s="210"/>
      <c r="BS186" s="204"/>
      <c r="BT186" s="210"/>
      <c r="BU186" s="204"/>
      <c r="BV186" s="204"/>
      <c r="BW186" s="204"/>
      <c r="BX186" s="210"/>
      <c r="BY186" s="204"/>
      <c r="BZ186" s="210"/>
      <c r="CA186" s="204"/>
      <c r="CB186" s="204"/>
      <c r="CC186" s="204"/>
      <c r="CD186" s="210"/>
      <c r="CE186" s="204"/>
      <c r="CF186" s="210"/>
      <c r="CG186" s="204"/>
      <c r="CH186" s="204"/>
      <c r="CI186" s="204"/>
      <c r="CJ186" s="204"/>
    </row>
    <row r="187" spans="1:88" s="608" customFormat="1" x14ac:dyDescent="0.5">
      <c r="A187" s="65">
        <v>20066611</v>
      </c>
      <c r="B187" s="66">
        <v>20060460</v>
      </c>
      <c r="C187" s="327" t="s">
        <v>2148</v>
      </c>
      <c r="D187" s="328" t="s">
        <v>2691</v>
      </c>
      <c r="E187" s="905">
        <v>44042</v>
      </c>
      <c r="F187" s="934"/>
      <c r="G187" s="935"/>
      <c r="H187" s="326"/>
      <c r="I187" s="331"/>
      <c r="J187" s="958"/>
      <c r="K187" s="84"/>
      <c r="L187" s="66" t="s">
        <v>2375</v>
      </c>
      <c r="M187" s="72" t="s">
        <v>3948</v>
      </c>
      <c r="N187" s="66" t="s">
        <v>52</v>
      </c>
      <c r="O187" s="73">
        <v>126168.22</v>
      </c>
      <c r="P187" s="73">
        <f t="shared" si="284"/>
        <v>8831.7754000000004</v>
      </c>
      <c r="Q187" s="73">
        <f t="shared" si="285"/>
        <v>134999.99540000001</v>
      </c>
      <c r="R187" s="599">
        <v>14000</v>
      </c>
      <c r="S187" s="600"/>
      <c r="T187" s="601">
        <f t="shared" si="288"/>
        <v>112168.22</v>
      </c>
      <c r="U187" s="77"/>
      <c r="V187" s="1370">
        <f t="shared" si="289"/>
        <v>0</v>
      </c>
      <c r="W187" s="1420"/>
      <c r="X187" s="1421">
        <f t="shared" si="290"/>
        <v>112168.22</v>
      </c>
      <c r="Y187" s="1422">
        <f t="shared" si="291"/>
        <v>1.75</v>
      </c>
      <c r="Z187" s="1422"/>
      <c r="AA187" s="1425"/>
      <c r="AB187" s="1425">
        <f t="shared" si="292"/>
        <v>0</v>
      </c>
      <c r="AC187" s="81"/>
      <c r="AD187" s="1456">
        <f t="shared" si="293"/>
        <v>0</v>
      </c>
      <c r="AE187" s="84"/>
      <c r="AF187" s="1323"/>
      <c r="AG187" s="85"/>
      <c r="AH187" s="598">
        <f t="shared" si="286"/>
        <v>0</v>
      </c>
      <c r="AI187" s="1457">
        <f t="shared" si="287"/>
        <v>0</v>
      </c>
      <c r="AJ187" s="87"/>
      <c r="AK187" s="83"/>
      <c r="AL187" s="83"/>
      <c r="AM187" s="83"/>
      <c r="AN187" s="65"/>
      <c r="AO187" s="88">
        <v>1</v>
      </c>
      <c r="AP187" s="89" t="s">
        <v>3000</v>
      </c>
      <c r="AQ187" s="90"/>
      <c r="AR187" s="90" t="s">
        <v>3423</v>
      </c>
      <c r="AS187" s="91">
        <v>1</v>
      </c>
      <c r="AT187" s="92" t="s">
        <v>636</v>
      </c>
      <c r="AU187" s="88"/>
      <c r="AV187" s="94"/>
      <c r="AW187" s="88"/>
      <c r="AX187" s="88"/>
      <c r="AY187" s="88"/>
      <c r="AZ187" s="94"/>
      <c r="BA187" s="88"/>
      <c r="BB187" s="94"/>
      <c r="BC187" s="88"/>
      <c r="BD187" s="88"/>
      <c r="BE187" s="88"/>
      <c r="BF187" s="94"/>
      <c r="BG187" s="88"/>
      <c r="BH187" s="94"/>
      <c r="BI187" s="88"/>
      <c r="BJ187" s="88"/>
      <c r="BK187" s="88"/>
      <c r="BL187" s="94"/>
      <c r="BM187" s="88"/>
      <c r="BN187" s="94"/>
      <c r="BO187" s="88"/>
      <c r="BP187" s="88"/>
      <c r="BQ187" s="88"/>
      <c r="BR187" s="94"/>
      <c r="BS187" s="88"/>
      <c r="BT187" s="94"/>
      <c r="BU187" s="88"/>
      <c r="BV187" s="88"/>
      <c r="BW187" s="88"/>
      <c r="BX187" s="94"/>
      <c r="BY187" s="88"/>
      <c r="BZ187" s="94"/>
      <c r="CA187" s="88"/>
      <c r="CB187" s="88"/>
      <c r="CC187" s="88"/>
      <c r="CD187" s="94"/>
      <c r="CE187" s="88"/>
      <c r="CF187" s="94"/>
      <c r="CG187" s="88"/>
      <c r="CH187" s="88"/>
      <c r="CI187" s="88"/>
      <c r="CJ187" s="88"/>
    </row>
    <row r="188" spans="1:88" s="1213" customFormat="1" ht="43.5" x14ac:dyDescent="0.45">
      <c r="A188" s="369">
        <v>20066610</v>
      </c>
      <c r="B188" s="370">
        <v>20060547</v>
      </c>
      <c r="C188" s="1346" t="s">
        <v>2151</v>
      </c>
      <c r="D188" s="1347" t="s">
        <v>2691</v>
      </c>
      <c r="E188" s="1348" t="s">
        <v>3949</v>
      </c>
      <c r="F188" s="1432" t="s">
        <v>3368</v>
      </c>
      <c r="G188" s="1433" t="s">
        <v>2144</v>
      </c>
      <c r="H188" s="1360">
        <v>44021</v>
      </c>
      <c r="I188" s="1361">
        <v>63176</v>
      </c>
      <c r="J188" s="1434"/>
      <c r="K188" s="1435">
        <v>44022</v>
      </c>
      <c r="L188" s="370" t="s">
        <v>3950</v>
      </c>
      <c r="M188" s="370" t="s">
        <v>3951</v>
      </c>
      <c r="N188" s="370" t="s">
        <v>50</v>
      </c>
      <c r="O188" s="1350">
        <v>980000</v>
      </c>
      <c r="P188" s="1350">
        <f t="shared" si="251"/>
        <v>68600</v>
      </c>
      <c r="Q188" s="1350">
        <f t="shared" si="252"/>
        <v>1048600</v>
      </c>
      <c r="R188" s="1443">
        <v>75000</v>
      </c>
      <c r="S188" s="378"/>
      <c r="T188" s="379">
        <f t="shared" si="253"/>
        <v>905000</v>
      </c>
      <c r="U188" s="115"/>
      <c r="V188" s="115">
        <f t="shared" si="254"/>
        <v>0</v>
      </c>
      <c r="W188" s="1444"/>
      <c r="X188" s="1445">
        <f t="shared" si="255"/>
        <v>905000</v>
      </c>
      <c r="Y188" s="1446">
        <f t="shared" si="256"/>
        <v>1.75</v>
      </c>
      <c r="Z188" s="1446"/>
      <c r="AA188" s="1447"/>
      <c r="AB188" s="1447">
        <f t="shared" si="0"/>
        <v>0</v>
      </c>
      <c r="AC188" s="1448"/>
      <c r="AD188" s="1449">
        <f t="shared" si="257"/>
        <v>0</v>
      </c>
      <c r="AE188" s="386">
        <v>20070186</v>
      </c>
      <c r="AF188" s="1450"/>
      <c r="AG188" s="1451">
        <v>294000</v>
      </c>
      <c r="AH188" s="387">
        <f t="shared" si="258"/>
        <v>20580</v>
      </c>
      <c r="AI188" s="1452">
        <f t="shared" si="259"/>
        <v>314580</v>
      </c>
      <c r="AJ188" s="221">
        <v>44013</v>
      </c>
      <c r="AK188" s="654" t="s">
        <v>3423</v>
      </c>
      <c r="AL188" s="654"/>
      <c r="AM188" s="654"/>
      <c r="AN188" s="656" t="s">
        <v>4116</v>
      </c>
      <c r="AO188" s="390">
        <v>1</v>
      </c>
      <c r="AP188" s="1354" t="s">
        <v>652</v>
      </c>
      <c r="AQ188" s="1355"/>
      <c r="AR188" s="1355" t="s">
        <v>3423</v>
      </c>
      <c r="AS188" s="392">
        <v>4</v>
      </c>
      <c r="AT188" s="1356" t="s">
        <v>634</v>
      </c>
      <c r="AU188" s="390">
        <v>2</v>
      </c>
      <c r="AV188" s="394" t="s">
        <v>651</v>
      </c>
      <c r="AW188" s="392"/>
      <c r="AX188" s="392" t="s">
        <v>3423</v>
      </c>
      <c r="AY188" s="392">
        <v>4</v>
      </c>
      <c r="AZ188" s="393" t="s">
        <v>636</v>
      </c>
      <c r="BA188" s="390"/>
      <c r="BB188" s="1357"/>
      <c r="BC188" s="390"/>
      <c r="BD188" s="390"/>
      <c r="BE188" s="390"/>
      <c r="BF188" s="1357"/>
      <c r="BG188" s="390"/>
      <c r="BH188" s="1357"/>
      <c r="BI188" s="390"/>
      <c r="BJ188" s="390"/>
      <c r="BK188" s="390"/>
      <c r="BL188" s="1357"/>
      <c r="BM188" s="390"/>
      <c r="BN188" s="1357"/>
      <c r="BO188" s="390"/>
      <c r="BP188" s="390"/>
      <c r="BQ188" s="390"/>
      <c r="BR188" s="1357"/>
      <c r="BS188" s="390"/>
      <c r="BT188" s="1357"/>
      <c r="BU188" s="390"/>
      <c r="BV188" s="390"/>
      <c r="BW188" s="390"/>
      <c r="BX188" s="1357"/>
      <c r="BY188" s="390"/>
      <c r="BZ188" s="1357"/>
      <c r="CA188" s="390"/>
      <c r="CB188" s="390"/>
      <c r="CC188" s="390"/>
      <c r="CD188" s="1357"/>
      <c r="CE188" s="390"/>
      <c r="CF188" s="1357"/>
      <c r="CG188" s="390"/>
      <c r="CH188" s="390"/>
      <c r="CI188" s="390"/>
      <c r="CJ188" s="390"/>
    </row>
    <row r="189" spans="1:88" s="1213" customFormat="1" x14ac:dyDescent="0.45">
      <c r="A189" s="481"/>
      <c r="B189" s="256"/>
      <c r="C189" s="1674"/>
      <c r="D189" s="1675"/>
      <c r="E189" s="1676"/>
      <c r="F189" s="1689"/>
      <c r="G189" s="1690"/>
      <c r="H189" s="1691">
        <v>44021</v>
      </c>
      <c r="I189" s="1692">
        <v>63177</v>
      </c>
      <c r="J189" s="1693"/>
      <c r="K189" s="1694"/>
      <c r="L189" s="256"/>
      <c r="M189" s="256"/>
      <c r="N189" s="256"/>
      <c r="O189" s="1677"/>
      <c r="P189" s="1677"/>
      <c r="Q189" s="1677"/>
      <c r="R189" s="872"/>
      <c r="S189" s="438"/>
      <c r="T189" s="439"/>
      <c r="U189" s="146"/>
      <c r="V189" s="146"/>
      <c r="W189" s="1678"/>
      <c r="X189" s="1679"/>
      <c r="Y189" s="1680"/>
      <c r="Z189" s="1680"/>
      <c r="AA189" s="1681"/>
      <c r="AB189" s="1681"/>
      <c r="AC189" s="1682"/>
      <c r="AD189" s="1683"/>
      <c r="AE189" s="448">
        <v>20080217</v>
      </c>
      <c r="AF189" s="1684" t="s">
        <v>3423</v>
      </c>
      <c r="AG189" s="1685">
        <v>686000</v>
      </c>
      <c r="AH189" s="436">
        <f t="shared" si="258"/>
        <v>48020</v>
      </c>
      <c r="AI189" s="1686">
        <f t="shared" si="259"/>
        <v>734020</v>
      </c>
      <c r="AJ189" s="157">
        <v>44086</v>
      </c>
      <c r="AK189" s="446" t="s">
        <v>3423</v>
      </c>
      <c r="AL189" s="446"/>
      <c r="AM189" s="446"/>
      <c r="AN189" s="577" t="s">
        <v>4339</v>
      </c>
      <c r="AO189" s="453"/>
      <c r="AP189" s="1687"/>
      <c r="AQ189" s="874"/>
      <c r="AR189" s="874"/>
      <c r="AS189" s="454"/>
      <c r="AT189" s="1688"/>
      <c r="AU189" s="453"/>
      <c r="AV189" s="448"/>
      <c r="AW189" s="454"/>
      <c r="AX189" s="454"/>
      <c r="AY189" s="454"/>
      <c r="AZ189" s="457"/>
      <c r="BA189" s="453"/>
      <c r="BB189" s="578"/>
      <c r="BC189" s="453"/>
      <c r="BD189" s="453"/>
      <c r="BE189" s="453"/>
      <c r="BF189" s="578"/>
      <c r="BG189" s="453"/>
      <c r="BH189" s="578"/>
      <c r="BI189" s="453"/>
      <c r="BJ189" s="453"/>
      <c r="BK189" s="453"/>
      <c r="BL189" s="578"/>
      <c r="BM189" s="453"/>
      <c r="BN189" s="578"/>
      <c r="BO189" s="453"/>
      <c r="BP189" s="453"/>
      <c r="BQ189" s="453"/>
      <c r="BR189" s="578"/>
      <c r="BS189" s="453"/>
      <c r="BT189" s="578"/>
      <c r="BU189" s="453"/>
      <c r="BV189" s="453"/>
      <c r="BW189" s="453"/>
      <c r="BX189" s="578"/>
      <c r="BY189" s="453"/>
      <c r="BZ189" s="578"/>
      <c r="CA189" s="453"/>
      <c r="CB189" s="453"/>
      <c r="CC189" s="453"/>
      <c r="CD189" s="578"/>
      <c r="CE189" s="453"/>
      <c r="CF189" s="578"/>
      <c r="CG189" s="453"/>
      <c r="CH189" s="453"/>
      <c r="CI189" s="453"/>
      <c r="CJ189" s="453"/>
    </row>
    <row r="190" spans="1:88" s="1213" customFormat="1" x14ac:dyDescent="0.45">
      <c r="A190" s="396"/>
      <c r="B190" s="241"/>
      <c r="C190" s="1329"/>
      <c r="D190" s="1330"/>
      <c r="E190" s="1331"/>
      <c r="F190" s="1430" t="s">
        <v>3368</v>
      </c>
      <c r="G190" s="1431" t="s">
        <v>2314</v>
      </c>
      <c r="H190" s="545">
        <v>44057</v>
      </c>
      <c r="I190" s="1334">
        <v>63198</v>
      </c>
      <c r="J190" s="1335" t="s">
        <v>3423</v>
      </c>
      <c r="K190" s="1336">
        <v>44059</v>
      </c>
      <c r="L190" s="241"/>
      <c r="M190" s="1337"/>
      <c r="N190" s="241"/>
      <c r="O190" s="1338"/>
      <c r="P190" s="1338"/>
      <c r="Q190" s="1338"/>
      <c r="R190" s="1436"/>
      <c r="S190" s="404"/>
      <c r="T190" s="405"/>
      <c r="U190" s="217"/>
      <c r="V190" s="217"/>
      <c r="W190" s="1437"/>
      <c r="X190" s="1438"/>
      <c r="Y190" s="1439"/>
      <c r="Z190" s="1439"/>
      <c r="AA190" s="1440"/>
      <c r="AB190" s="1440"/>
      <c r="AC190" s="1441"/>
      <c r="AD190" s="1442"/>
      <c r="AE190" s="413"/>
      <c r="AF190" s="1342"/>
      <c r="AG190" s="1343"/>
      <c r="AH190" s="402"/>
      <c r="AI190" s="1344"/>
      <c r="AJ190" s="203"/>
      <c r="AK190" s="412"/>
      <c r="AL190" s="412"/>
      <c r="AM190" s="412"/>
      <c r="AN190" s="580"/>
      <c r="AO190" s="420"/>
      <c r="AP190" s="1345"/>
      <c r="AQ190" s="514"/>
      <c r="AR190" s="514"/>
      <c r="AS190" s="418"/>
      <c r="AT190" s="515"/>
      <c r="AU190" s="420"/>
      <c r="AV190" s="413"/>
      <c r="AW190" s="418"/>
      <c r="AX190" s="418"/>
      <c r="AY190" s="418"/>
      <c r="AZ190" s="419"/>
      <c r="BA190" s="420"/>
      <c r="BB190" s="581"/>
      <c r="BC190" s="420"/>
      <c r="BD190" s="420"/>
      <c r="BE190" s="420"/>
      <c r="BF190" s="581"/>
      <c r="BG190" s="420"/>
      <c r="BH190" s="581"/>
      <c r="BI190" s="420"/>
      <c r="BJ190" s="420"/>
      <c r="BK190" s="420"/>
      <c r="BL190" s="581"/>
      <c r="BM190" s="420"/>
      <c r="BN190" s="581"/>
      <c r="BO190" s="420"/>
      <c r="BP190" s="420"/>
      <c r="BQ190" s="420"/>
      <c r="BR190" s="581"/>
      <c r="BS190" s="420"/>
      <c r="BT190" s="581"/>
      <c r="BU190" s="420"/>
      <c r="BV190" s="420"/>
      <c r="BW190" s="420"/>
      <c r="BX190" s="581"/>
      <c r="BY190" s="420"/>
      <c r="BZ190" s="581"/>
      <c r="CA190" s="420"/>
      <c r="CB190" s="420"/>
      <c r="CC190" s="420"/>
      <c r="CD190" s="581"/>
      <c r="CE190" s="420"/>
      <c r="CF190" s="581"/>
      <c r="CG190" s="420"/>
      <c r="CH190" s="420"/>
      <c r="CI190" s="420"/>
      <c r="CJ190" s="420"/>
    </row>
    <row r="191" spans="1:88" x14ac:dyDescent="0.5">
      <c r="A191" s="21">
        <v>20066609</v>
      </c>
      <c r="B191" s="22">
        <v>20060541</v>
      </c>
      <c r="C191" s="1019" t="s">
        <v>2154</v>
      </c>
      <c r="D191" s="1020" t="s">
        <v>2691</v>
      </c>
      <c r="E191" s="884">
        <v>44020</v>
      </c>
      <c r="F191" s="932" t="s">
        <v>3368</v>
      </c>
      <c r="G191" s="933" t="s">
        <v>2148</v>
      </c>
      <c r="H191" s="884">
        <v>44021</v>
      </c>
      <c r="I191" s="1021">
        <v>63175</v>
      </c>
      <c r="J191" s="931" t="s">
        <v>3423</v>
      </c>
      <c r="K191" s="957">
        <v>44023</v>
      </c>
      <c r="L191" s="22" t="s">
        <v>60</v>
      </c>
      <c r="M191" s="28" t="s">
        <v>3941</v>
      </c>
      <c r="N191" s="22" t="s">
        <v>52</v>
      </c>
      <c r="O191" s="29">
        <v>279000</v>
      </c>
      <c r="P191" s="29">
        <f t="shared" si="251"/>
        <v>19530</v>
      </c>
      <c r="Q191" s="29">
        <f t="shared" si="252"/>
        <v>298530</v>
      </c>
      <c r="R191" s="61"/>
      <c r="S191" s="96" t="s">
        <v>4126</v>
      </c>
      <c r="T191" s="32">
        <f t="shared" si="253"/>
        <v>279000</v>
      </c>
      <c r="U191" s="98"/>
      <c r="V191" s="1225">
        <f t="shared" si="254"/>
        <v>0</v>
      </c>
      <c r="W191" s="1231">
        <v>55.93</v>
      </c>
      <c r="X191" s="1184">
        <f>T191-10000</f>
        <v>269000</v>
      </c>
      <c r="Y191" s="1223">
        <f t="shared" si="256"/>
        <v>0.35175000000000001</v>
      </c>
      <c r="Z191" s="1223">
        <f>269000*0.35/100</f>
        <v>941.5</v>
      </c>
      <c r="AA191" s="1228">
        <v>0.5</v>
      </c>
      <c r="AB191" s="1228">
        <f t="shared" si="0"/>
        <v>1345</v>
      </c>
      <c r="AC191" s="37">
        <v>0.2</v>
      </c>
      <c r="AD191" s="1234">
        <f t="shared" si="257"/>
        <v>538</v>
      </c>
      <c r="AE191" s="40">
        <v>20070197</v>
      </c>
      <c r="AF191" s="1186" t="s">
        <v>3423</v>
      </c>
      <c r="AG191" s="41">
        <v>279000</v>
      </c>
      <c r="AH191" s="63">
        <f t="shared" si="258"/>
        <v>19530</v>
      </c>
      <c r="AI191" s="52">
        <f t="shared" si="259"/>
        <v>298530</v>
      </c>
      <c r="AJ191" s="53">
        <v>44080</v>
      </c>
      <c r="AK191" s="39"/>
      <c r="AL191" s="39"/>
      <c r="AM191" s="39" t="s">
        <v>3423</v>
      </c>
      <c r="AN191" s="21"/>
      <c r="AO191" s="1415">
        <v>1</v>
      </c>
      <c r="AP191" s="45" t="s">
        <v>3572</v>
      </c>
      <c r="AQ191" s="46"/>
      <c r="AR191" s="46" t="s">
        <v>3423</v>
      </c>
      <c r="AS191" s="47">
        <v>1</v>
      </c>
      <c r="AT191" s="48" t="s">
        <v>636</v>
      </c>
      <c r="AU191" s="1418"/>
      <c r="AV191" s="54"/>
      <c r="AW191" s="1418"/>
      <c r="AX191" s="1418"/>
      <c r="AY191" s="1418"/>
      <c r="AZ191" s="54"/>
      <c r="BA191" s="1418"/>
      <c r="BB191" s="54"/>
      <c r="BC191" s="1418"/>
      <c r="BD191" s="1418"/>
      <c r="BE191" s="1418"/>
      <c r="BF191" s="54"/>
      <c r="BG191" s="1418"/>
      <c r="BH191" s="54"/>
      <c r="BI191" s="1418"/>
      <c r="BJ191" s="1418"/>
      <c r="BK191" s="1418"/>
      <c r="BL191" s="54"/>
      <c r="BM191" s="1418"/>
      <c r="BN191" s="54"/>
      <c r="BO191" s="1418"/>
      <c r="BP191" s="1418"/>
      <c r="BQ191" s="1418"/>
      <c r="BR191" s="54"/>
      <c r="BS191" s="1418"/>
      <c r="BT191" s="54"/>
      <c r="BU191" s="1418"/>
      <c r="BV191" s="1418"/>
      <c r="BW191" s="1418"/>
      <c r="BX191" s="54"/>
      <c r="BY191" s="1418"/>
      <c r="BZ191" s="54"/>
      <c r="CA191" s="1418"/>
      <c r="CB191" s="1418"/>
      <c r="CC191" s="1418"/>
      <c r="CD191" s="54"/>
      <c r="CE191" s="1418"/>
      <c r="CF191" s="54"/>
      <c r="CG191" s="1418"/>
      <c r="CH191" s="1418"/>
      <c r="CI191" s="1418"/>
      <c r="CJ191" s="1418"/>
    </row>
    <row r="192" spans="1:88" x14ac:dyDescent="0.5">
      <c r="A192" s="21">
        <v>20066608</v>
      </c>
      <c r="B192" s="22">
        <v>20060526</v>
      </c>
      <c r="C192" s="1019" t="s">
        <v>2157</v>
      </c>
      <c r="D192" s="1020" t="s">
        <v>2691</v>
      </c>
      <c r="E192" s="884">
        <v>44063</v>
      </c>
      <c r="F192" s="932"/>
      <c r="G192" s="933"/>
      <c r="H192" s="831"/>
      <c r="I192" s="1021"/>
      <c r="J192" s="931"/>
      <c r="K192" s="40"/>
      <c r="L192" s="22" t="s">
        <v>3544</v>
      </c>
      <c r="M192" s="28" t="s">
        <v>3942</v>
      </c>
      <c r="N192" s="22" t="s">
        <v>1523</v>
      </c>
      <c r="O192" s="29">
        <v>244000</v>
      </c>
      <c r="P192" s="29">
        <f t="shared" ref="P192:P197" si="294">O192*7/100</f>
        <v>17080</v>
      </c>
      <c r="Q192" s="29">
        <f t="shared" ref="Q192:Q197" si="295">O192+P192</f>
        <v>261080</v>
      </c>
      <c r="R192" s="61"/>
      <c r="S192" s="31" t="s">
        <v>4123</v>
      </c>
      <c r="T192" s="32">
        <f t="shared" ref="T192:T193" si="296">O192-R192</f>
        <v>244000</v>
      </c>
      <c r="U192" s="33">
        <v>5</v>
      </c>
      <c r="V192" s="1251">
        <f t="shared" ref="V192:V193" si="297">T192*U192/100</f>
        <v>12200</v>
      </c>
      <c r="W192" s="1231">
        <v>61.72</v>
      </c>
      <c r="X192" s="1184">
        <f t="shared" ref="X192:X193" si="298">T192-V192</f>
        <v>231800</v>
      </c>
      <c r="Y192" s="1223">
        <f t="shared" ref="Y192:Y197" si="299">SUM((50-W192)/(100)*(2.5)+(0.5))</f>
        <v>0.20700000000000002</v>
      </c>
      <c r="Z192" s="1223">
        <f>231800*0.21/100</f>
        <v>486.78</v>
      </c>
      <c r="AA192" s="1228">
        <v>0.5</v>
      </c>
      <c r="AB192" s="1228">
        <f t="shared" ref="AB192:AB197" si="300">X192*AA192/100</f>
        <v>1159</v>
      </c>
      <c r="AC192" s="37">
        <v>0.2</v>
      </c>
      <c r="AD192" s="1234">
        <f t="shared" ref="AD192:AD197" si="301">X192*AC192/100</f>
        <v>463.6</v>
      </c>
      <c r="AE192" s="40"/>
      <c r="AF192" s="1186"/>
      <c r="AG192" s="41"/>
      <c r="AH192" s="63">
        <f t="shared" ref="AH192:AH198" si="302">AG192*7/100</f>
        <v>0</v>
      </c>
      <c r="AI192" s="52">
        <f t="shared" ref="AI192:AI198" si="303">AG192+AH192</f>
        <v>0</v>
      </c>
      <c r="AJ192" s="43"/>
      <c r="AK192" s="39"/>
      <c r="AL192" s="39"/>
      <c r="AM192" s="39"/>
      <c r="AN192" s="21"/>
      <c r="AO192" s="1412">
        <v>1</v>
      </c>
      <c r="AP192" s="45" t="s">
        <v>3545</v>
      </c>
      <c r="AQ192" s="46"/>
      <c r="AR192" s="46" t="s">
        <v>3423</v>
      </c>
      <c r="AS192" s="47">
        <v>2</v>
      </c>
      <c r="AT192" s="48" t="s">
        <v>634</v>
      </c>
      <c r="AU192" s="1412">
        <v>2</v>
      </c>
      <c r="AV192" s="40" t="s">
        <v>2540</v>
      </c>
      <c r="AW192" s="47"/>
      <c r="AX192" s="47" t="s">
        <v>3423</v>
      </c>
      <c r="AY192" s="47">
        <v>2</v>
      </c>
      <c r="AZ192" s="49" t="s">
        <v>636</v>
      </c>
      <c r="BA192" s="1419"/>
      <c r="BB192" s="54"/>
      <c r="BC192" s="1419"/>
      <c r="BD192" s="1419"/>
      <c r="BE192" s="1419"/>
      <c r="BF192" s="54"/>
      <c r="BG192" s="1419"/>
      <c r="BH192" s="54"/>
      <c r="BI192" s="1419"/>
      <c r="BJ192" s="1419"/>
      <c r="BK192" s="1419"/>
      <c r="BL192" s="54"/>
      <c r="BM192" s="1419"/>
      <c r="BN192" s="54"/>
      <c r="BO192" s="1419"/>
      <c r="BP192" s="1419"/>
      <c r="BQ192" s="1419"/>
      <c r="BR192" s="54"/>
      <c r="BS192" s="1419"/>
      <c r="BT192" s="54"/>
      <c r="BU192" s="1419"/>
      <c r="BV192" s="1419"/>
      <c r="BW192" s="1419"/>
      <c r="BX192" s="54"/>
      <c r="BY192" s="1419"/>
      <c r="BZ192" s="54"/>
      <c r="CA192" s="1419"/>
      <c r="CB192" s="1419"/>
      <c r="CC192" s="1419"/>
      <c r="CD192" s="54"/>
      <c r="CE192" s="1419"/>
      <c r="CF192" s="54"/>
      <c r="CG192" s="1419"/>
      <c r="CH192" s="1419"/>
      <c r="CI192" s="1419"/>
      <c r="CJ192" s="1419"/>
    </row>
    <row r="193" spans="1:88" x14ac:dyDescent="0.5">
      <c r="A193" s="103">
        <v>20066607</v>
      </c>
      <c r="B193" s="104">
        <v>20060525</v>
      </c>
      <c r="C193" s="1243" t="s">
        <v>2118</v>
      </c>
      <c r="D193" s="1244" t="s">
        <v>2691</v>
      </c>
      <c r="E193" s="302">
        <v>44022</v>
      </c>
      <c r="F193" s="936" t="s">
        <v>3368</v>
      </c>
      <c r="G193" s="937" t="s">
        <v>2310</v>
      </c>
      <c r="H193" s="914">
        <v>44062</v>
      </c>
      <c r="I193" s="1315">
        <v>63199</v>
      </c>
      <c r="J193" s="960" t="s">
        <v>3423</v>
      </c>
      <c r="K193" s="965">
        <v>44063</v>
      </c>
      <c r="L193" s="104" t="s">
        <v>3544</v>
      </c>
      <c r="M193" s="110" t="s">
        <v>3681</v>
      </c>
      <c r="N193" s="104" t="s">
        <v>1523</v>
      </c>
      <c r="O193" s="111">
        <v>147383.18</v>
      </c>
      <c r="P193" s="111">
        <f t="shared" si="294"/>
        <v>10316.8226</v>
      </c>
      <c r="Q193" s="111">
        <f t="shared" si="295"/>
        <v>157700.00260000001</v>
      </c>
      <c r="R193" s="212"/>
      <c r="S193" s="113" t="s">
        <v>4123</v>
      </c>
      <c r="T193" s="114">
        <f t="shared" si="296"/>
        <v>147383.18</v>
      </c>
      <c r="U193" s="115">
        <v>5</v>
      </c>
      <c r="V193" s="1252">
        <f t="shared" si="297"/>
        <v>7369.1589999999987</v>
      </c>
      <c r="W193" s="1245">
        <v>56.6</v>
      </c>
      <c r="X193" s="1246">
        <f t="shared" si="298"/>
        <v>140014.02100000001</v>
      </c>
      <c r="Y193" s="1247">
        <f t="shared" si="299"/>
        <v>0.33499999999999996</v>
      </c>
      <c r="Z193" s="1247">
        <f>140014.02*0.34/100</f>
        <v>476.04766799999999</v>
      </c>
      <c r="AA193" s="1265">
        <v>0.5</v>
      </c>
      <c r="AB193" s="1265">
        <f t="shared" si="300"/>
        <v>700.07010500000001</v>
      </c>
      <c r="AC193" s="119">
        <v>0.2</v>
      </c>
      <c r="AD193" s="1248">
        <f t="shared" si="301"/>
        <v>280.02804200000003</v>
      </c>
      <c r="AE193" s="229">
        <v>20080222</v>
      </c>
      <c r="AF193" s="1313"/>
      <c r="AG193" s="230">
        <v>44214.95</v>
      </c>
      <c r="AH193" s="233">
        <f t="shared" si="302"/>
        <v>3095.0464999999995</v>
      </c>
      <c r="AI193" s="220">
        <f t="shared" si="303"/>
        <v>47309.996499999994</v>
      </c>
      <c r="AJ193" s="221">
        <v>44056</v>
      </c>
      <c r="AK193" s="121"/>
      <c r="AL193" s="121"/>
      <c r="AM193" s="121" t="s">
        <v>3423</v>
      </c>
      <c r="AN193" s="222" t="s">
        <v>4179</v>
      </c>
      <c r="AO193" s="128">
        <v>1</v>
      </c>
      <c r="AP193" s="129" t="s">
        <v>3682</v>
      </c>
      <c r="AQ193" s="130"/>
      <c r="AR193" s="130" t="s">
        <v>3423</v>
      </c>
      <c r="AS193" s="131">
        <v>1</v>
      </c>
      <c r="AT193" s="132" t="s">
        <v>634</v>
      </c>
      <c r="AU193" s="128">
        <v>2</v>
      </c>
      <c r="AV193" s="123" t="s">
        <v>3733</v>
      </c>
      <c r="AW193" s="131"/>
      <c r="AX193" s="131" t="s">
        <v>3423</v>
      </c>
      <c r="AY193" s="131">
        <v>1</v>
      </c>
      <c r="AZ193" s="169" t="s">
        <v>636</v>
      </c>
      <c r="BA193" s="128"/>
      <c r="BB193" s="133"/>
      <c r="BC193" s="128"/>
      <c r="BD193" s="128"/>
      <c r="BE193" s="128"/>
      <c r="BF193" s="133"/>
      <c r="BG193" s="128"/>
      <c r="BH193" s="133"/>
      <c r="BI193" s="128"/>
      <c r="BJ193" s="128"/>
      <c r="BK193" s="128"/>
      <c r="BL193" s="133"/>
      <c r="BM193" s="128"/>
      <c r="BN193" s="133"/>
      <c r="BO193" s="128"/>
      <c r="BP193" s="128"/>
      <c r="BQ193" s="128"/>
      <c r="BR193" s="133"/>
      <c r="BS193" s="128"/>
      <c r="BT193" s="133"/>
      <c r="BU193" s="128"/>
      <c r="BV193" s="128"/>
      <c r="BW193" s="128"/>
      <c r="BX193" s="133"/>
      <c r="BY193" s="128"/>
      <c r="BZ193" s="133"/>
      <c r="CA193" s="128"/>
      <c r="CB193" s="128"/>
      <c r="CC193" s="128"/>
      <c r="CD193" s="133"/>
      <c r="CE193" s="128"/>
      <c r="CF193" s="133"/>
      <c r="CG193" s="128"/>
      <c r="CH193" s="128"/>
      <c r="CI193" s="128"/>
      <c r="CJ193" s="128"/>
    </row>
    <row r="194" spans="1:88" x14ac:dyDescent="0.5">
      <c r="A194" s="134"/>
      <c r="B194" s="135"/>
      <c r="C194" s="1290"/>
      <c r="D194" s="1291"/>
      <c r="E194" s="906"/>
      <c r="F194" s="940"/>
      <c r="G194" s="941"/>
      <c r="H194" s="906">
        <v>44062</v>
      </c>
      <c r="I194" s="1138">
        <v>63200</v>
      </c>
      <c r="J194" s="963"/>
      <c r="K194" s="154"/>
      <c r="L194" s="135"/>
      <c r="M194" s="141"/>
      <c r="N194" s="135"/>
      <c r="O194" s="142"/>
      <c r="P194" s="142"/>
      <c r="Q194" s="142"/>
      <c r="R194" s="213"/>
      <c r="S194" s="144"/>
      <c r="T194" s="145"/>
      <c r="U194" s="146"/>
      <c r="V194" s="1292"/>
      <c r="W194" s="1293"/>
      <c r="X194" s="1294"/>
      <c r="Y194" s="1295"/>
      <c r="Z194" s="1295"/>
      <c r="AA194" s="1308"/>
      <c r="AB194" s="1308"/>
      <c r="AC194" s="150"/>
      <c r="AD194" s="1297"/>
      <c r="AE194" s="154">
        <v>20080223</v>
      </c>
      <c r="AF194" s="1298" t="s">
        <v>3423</v>
      </c>
      <c r="AG194" s="155">
        <v>103168.23</v>
      </c>
      <c r="AH194" s="253">
        <f t="shared" si="302"/>
        <v>7221.7761</v>
      </c>
      <c r="AI194" s="156">
        <f t="shared" si="303"/>
        <v>110390.0061</v>
      </c>
      <c r="AJ194" s="157">
        <v>44056</v>
      </c>
      <c r="AK194" s="152"/>
      <c r="AL194" s="152"/>
      <c r="AM194" s="152" t="s">
        <v>3423</v>
      </c>
      <c r="AN194" s="134" t="s">
        <v>4179</v>
      </c>
      <c r="AO194" s="158"/>
      <c r="AP194" s="159"/>
      <c r="AQ194" s="160"/>
      <c r="AR194" s="160"/>
      <c r="AS194" s="161"/>
      <c r="AT194" s="162"/>
      <c r="AU194" s="158"/>
      <c r="AV194" s="154"/>
      <c r="AW194" s="161"/>
      <c r="AX194" s="161"/>
      <c r="AY194" s="161"/>
      <c r="AZ194" s="177"/>
      <c r="BA194" s="158"/>
      <c r="BB194" s="163"/>
      <c r="BC194" s="158"/>
      <c r="BD194" s="158"/>
      <c r="BE194" s="158"/>
      <c r="BF194" s="163"/>
      <c r="BG194" s="158"/>
      <c r="BH194" s="163"/>
      <c r="BI194" s="158"/>
      <c r="BJ194" s="158"/>
      <c r="BK194" s="158"/>
      <c r="BL194" s="163"/>
      <c r="BM194" s="158"/>
      <c r="BN194" s="163"/>
      <c r="BO194" s="158"/>
      <c r="BP194" s="158"/>
      <c r="BQ194" s="158"/>
      <c r="BR194" s="163"/>
      <c r="BS194" s="158"/>
      <c r="BT194" s="163"/>
      <c r="BU194" s="158"/>
      <c r="BV194" s="158"/>
      <c r="BW194" s="158"/>
      <c r="BX194" s="163"/>
      <c r="BY194" s="158"/>
      <c r="BZ194" s="163"/>
      <c r="CA194" s="158"/>
      <c r="CB194" s="158"/>
      <c r="CC194" s="158"/>
      <c r="CD194" s="163"/>
      <c r="CE194" s="158"/>
      <c r="CF194" s="163"/>
      <c r="CG194" s="158"/>
      <c r="CH194" s="158"/>
      <c r="CI194" s="158"/>
      <c r="CJ194" s="158"/>
    </row>
    <row r="195" spans="1:88" x14ac:dyDescent="0.5">
      <c r="A195" s="259">
        <v>20066606</v>
      </c>
      <c r="B195" s="104">
        <v>20060523</v>
      </c>
      <c r="C195" s="1243" t="s">
        <v>2124</v>
      </c>
      <c r="D195" s="1244" t="s">
        <v>2691</v>
      </c>
      <c r="E195" s="302">
        <v>44014</v>
      </c>
      <c r="F195" s="936" t="s">
        <v>3368</v>
      </c>
      <c r="G195" s="937" t="s">
        <v>2157</v>
      </c>
      <c r="H195" s="302">
        <v>44014</v>
      </c>
      <c r="I195" s="1124">
        <v>63169</v>
      </c>
      <c r="J195" s="960" t="s">
        <v>3423</v>
      </c>
      <c r="K195" s="965">
        <v>44015</v>
      </c>
      <c r="L195" s="104" t="s">
        <v>3925</v>
      </c>
      <c r="M195" s="104" t="s">
        <v>3927</v>
      </c>
      <c r="N195" s="104" t="s">
        <v>3653</v>
      </c>
      <c r="O195" s="111">
        <v>36000</v>
      </c>
      <c r="P195" s="111">
        <f t="shared" si="294"/>
        <v>2520</v>
      </c>
      <c r="Q195" s="111">
        <f t="shared" si="295"/>
        <v>38520</v>
      </c>
      <c r="R195" s="311">
        <v>7000</v>
      </c>
      <c r="S195" s="165"/>
      <c r="T195" s="166"/>
      <c r="U195" s="167"/>
      <c r="V195" s="1302"/>
      <c r="W195" s="1245">
        <v>61.33</v>
      </c>
      <c r="X195" s="1246">
        <f>O195-R195</f>
        <v>29000</v>
      </c>
      <c r="Y195" s="1247">
        <f t="shared" si="299"/>
        <v>0.21675000000000005</v>
      </c>
      <c r="Z195" s="1247">
        <f>29000*0.22/100</f>
        <v>63.8</v>
      </c>
      <c r="AA195" s="1302"/>
      <c r="AB195" s="1302">
        <f t="shared" si="300"/>
        <v>0</v>
      </c>
      <c r="AC195" s="119">
        <v>0.2</v>
      </c>
      <c r="AD195" s="1248">
        <f t="shared" si="301"/>
        <v>58</v>
      </c>
      <c r="AE195" s="229" t="s">
        <v>3926</v>
      </c>
      <c r="AF195" s="1313"/>
      <c r="AG195" s="230">
        <v>10800</v>
      </c>
      <c r="AH195" s="233">
        <f t="shared" si="302"/>
        <v>756</v>
      </c>
      <c r="AI195" s="220">
        <f t="shared" si="303"/>
        <v>11556</v>
      </c>
      <c r="AJ195" s="221">
        <v>44006</v>
      </c>
      <c r="AK195" s="121" t="s">
        <v>3423</v>
      </c>
      <c r="AL195" s="121"/>
      <c r="AM195" s="121"/>
      <c r="AN195" s="222" t="s">
        <v>3989</v>
      </c>
      <c r="AO195" s="128">
        <v>1</v>
      </c>
      <c r="AP195" s="129" t="s">
        <v>3929</v>
      </c>
      <c r="AQ195" s="130"/>
      <c r="AR195" s="130" t="s">
        <v>3423</v>
      </c>
      <c r="AS195" s="131">
        <v>1</v>
      </c>
      <c r="AT195" s="132" t="s">
        <v>634</v>
      </c>
      <c r="AU195" s="128"/>
      <c r="AV195" s="133"/>
      <c r="AW195" s="128"/>
      <c r="AX195" s="128"/>
      <c r="AY195" s="128"/>
      <c r="AZ195" s="133"/>
      <c r="BA195" s="128"/>
      <c r="BB195" s="133"/>
      <c r="BC195" s="128"/>
      <c r="BD195" s="128"/>
      <c r="BE195" s="128"/>
      <c r="BF195" s="133"/>
      <c r="BG195" s="128"/>
      <c r="BH195" s="133"/>
      <c r="BI195" s="128"/>
      <c r="BJ195" s="128"/>
      <c r="BK195" s="128"/>
      <c r="BL195" s="133"/>
      <c r="BM195" s="128"/>
      <c r="BN195" s="133"/>
      <c r="BO195" s="128"/>
      <c r="BP195" s="128"/>
      <c r="BQ195" s="128"/>
      <c r="BR195" s="133"/>
      <c r="BS195" s="128"/>
      <c r="BT195" s="133"/>
      <c r="BU195" s="128"/>
      <c r="BV195" s="128"/>
      <c r="BW195" s="128"/>
      <c r="BX195" s="133"/>
      <c r="BY195" s="128"/>
      <c r="BZ195" s="133"/>
      <c r="CA195" s="128"/>
      <c r="CB195" s="128"/>
      <c r="CC195" s="128"/>
      <c r="CD195" s="133"/>
      <c r="CE195" s="128"/>
      <c r="CF195" s="133"/>
      <c r="CG195" s="128"/>
      <c r="CH195" s="128"/>
      <c r="CI195" s="128"/>
      <c r="CJ195" s="128"/>
    </row>
    <row r="196" spans="1:88" x14ac:dyDescent="0.5">
      <c r="A196" s="268"/>
      <c r="B196" s="181"/>
      <c r="C196" s="1236"/>
      <c r="D196" s="1237"/>
      <c r="E196" s="749"/>
      <c r="F196" s="938"/>
      <c r="G196" s="939"/>
      <c r="H196" s="304"/>
      <c r="I196" s="1125"/>
      <c r="J196" s="961"/>
      <c r="K196" s="200"/>
      <c r="L196" s="181"/>
      <c r="M196" s="188"/>
      <c r="N196" s="181"/>
      <c r="O196" s="189"/>
      <c r="P196" s="189"/>
      <c r="Q196" s="189"/>
      <c r="R196" s="190"/>
      <c r="S196" s="191"/>
      <c r="T196" s="192"/>
      <c r="U196" s="193"/>
      <c r="V196" s="1254"/>
      <c r="W196" s="1238"/>
      <c r="X196" s="1239"/>
      <c r="Y196" s="1240"/>
      <c r="Z196" s="1240"/>
      <c r="AA196" s="1254"/>
      <c r="AB196" s="1254"/>
      <c r="AC196" s="197"/>
      <c r="AD196" s="1241"/>
      <c r="AE196" s="200">
        <v>20060183</v>
      </c>
      <c r="AF196" s="1242" t="s">
        <v>3423</v>
      </c>
      <c r="AG196" s="201">
        <v>25200</v>
      </c>
      <c r="AH196" s="237">
        <f t="shared" si="302"/>
        <v>1764</v>
      </c>
      <c r="AI196" s="202">
        <f t="shared" si="303"/>
        <v>26964</v>
      </c>
      <c r="AJ196" s="203">
        <v>44012</v>
      </c>
      <c r="AK196" s="199" t="s">
        <v>3423</v>
      </c>
      <c r="AL196" s="199"/>
      <c r="AM196" s="199"/>
      <c r="AN196" s="180" t="s">
        <v>4117</v>
      </c>
      <c r="AO196" s="204"/>
      <c r="AP196" s="205"/>
      <c r="AQ196" s="206"/>
      <c r="AR196" s="206"/>
      <c r="AS196" s="207"/>
      <c r="AT196" s="208"/>
      <c r="AU196" s="204"/>
      <c r="AV196" s="210"/>
      <c r="AW196" s="204"/>
      <c r="AX196" s="204"/>
      <c r="AY196" s="204"/>
      <c r="AZ196" s="210"/>
      <c r="BA196" s="204"/>
      <c r="BB196" s="210"/>
      <c r="BC196" s="204"/>
      <c r="BD196" s="204"/>
      <c r="BE196" s="204"/>
      <c r="BF196" s="210"/>
      <c r="BG196" s="204"/>
      <c r="BH196" s="210"/>
      <c r="BI196" s="204"/>
      <c r="BJ196" s="204"/>
      <c r="BK196" s="204"/>
      <c r="BL196" s="210"/>
      <c r="BM196" s="204"/>
      <c r="BN196" s="210"/>
      <c r="BO196" s="204"/>
      <c r="BP196" s="204"/>
      <c r="BQ196" s="204"/>
      <c r="BR196" s="210"/>
      <c r="BS196" s="204"/>
      <c r="BT196" s="210"/>
      <c r="BU196" s="204"/>
      <c r="BV196" s="204"/>
      <c r="BW196" s="204"/>
      <c r="BX196" s="210"/>
      <c r="BY196" s="204"/>
      <c r="BZ196" s="210"/>
      <c r="CA196" s="204"/>
      <c r="CB196" s="204"/>
      <c r="CC196" s="204"/>
      <c r="CD196" s="210"/>
      <c r="CE196" s="204"/>
      <c r="CF196" s="210"/>
      <c r="CG196" s="204"/>
      <c r="CH196" s="204"/>
      <c r="CI196" s="204"/>
      <c r="CJ196" s="204"/>
    </row>
    <row r="197" spans="1:88" x14ac:dyDescent="0.5">
      <c r="A197" s="259">
        <v>20066605</v>
      </c>
      <c r="B197" s="104">
        <v>20060522</v>
      </c>
      <c r="C197" s="1243" t="s">
        <v>2128</v>
      </c>
      <c r="D197" s="1244" t="s">
        <v>2691</v>
      </c>
      <c r="E197" s="302">
        <v>44014</v>
      </c>
      <c r="F197" s="936" t="s">
        <v>3368</v>
      </c>
      <c r="G197" s="937" t="s">
        <v>2118</v>
      </c>
      <c r="H197" s="302">
        <v>44014</v>
      </c>
      <c r="I197" s="1124">
        <v>63168</v>
      </c>
      <c r="J197" s="960" t="s">
        <v>3423</v>
      </c>
      <c r="K197" s="965">
        <v>44015</v>
      </c>
      <c r="L197" s="104" t="s">
        <v>3925</v>
      </c>
      <c r="M197" s="110" t="s">
        <v>3928</v>
      </c>
      <c r="N197" s="104" t="s">
        <v>3653</v>
      </c>
      <c r="O197" s="111">
        <v>9800</v>
      </c>
      <c r="P197" s="111">
        <f t="shared" si="294"/>
        <v>686</v>
      </c>
      <c r="Q197" s="111">
        <f t="shared" si="295"/>
        <v>10486</v>
      </c>
      <c r="R197" s="212"/>
      <c r="S197" s="165"/>
      <c r="T197" s="166"/>
      <c r="U197" s="167"/>
      <c r="V197" s="1302"/>
      <c r="W197" s="1245">
        <v>62.3</v>
      </c>
      <c r="X197" s="1246">
        <f>O197</f>
        <v>9800</v>
      </c>
      <c r="Y197" s="1247">
        <f t="shared" si="299"/>
        <v>0.19250000000000006</v>
      </c>
      <c r="Z197" s="1247">
        <f>9800*0.19/100</f>
        <v>18.62</v>
      </c>
      <c r="AA197" s="1302"/>
      <c r="AB197" s="1302">
        <f t="shared" si="300"/>
        <v>0</v>
      </c>
      <c r="AC197" s="119">
        <v>0.2</v>
      </c>
      <c r="AD197" s="1248">
        <f t="shared" si="301"/>
        <v>19.600000000000001</v>
      </c>
      <c r="AE197" s="229">
        <v>20060173</v>
      </c>
      <c r="AF197" s="1313"/>
      <c r="AG197" s="230">
        <v>2940</v>
      </c>
      <c r="AH197" s="233">
        <f t="shared" si="302"/>
        <v>205.8</v>
      </c>
      <c r="AI197" s="220">
        <f t="shared" si="303"/>
        <v>3145.8</v>
      </c>
      <c r="AJ197" s="221">
        <v>44006</v>
      </c>
      <c r="AK197" s="121" t="s">
        <v>3423</v>
      </c>
      <c r="AL197" s="121"/>
      <c r="AM197" s="121"/>
      <c r="AN197" s="222" t="s">
        <v>3989</v>
      </c>
      <c r="AO197" s="128">
        <v>1</v>
      </c>
      <c r="AP197" s="129" t="s">
        <v>890</v>
      </c>
      <c r="AQ197" s="130"/>
      <c r="AR197" s="130" t="s">
        <v>3423</v>
      </c>
      <c r="AS197" s="131">
        <v>1</v>
      </c>
      <c r="AT197" s="132" t="s">
        <v>634</v>
      </c>
      <c r="AU197" s="128"/>
      <c r="AV197" s="133"/>
      <c r="AW197" s="128"/>
      <c r="AX197" s="128"/>
      <c r="AY197" s="128"/>
      <c r="AZ197" s="133"/>
      <c r="BA197" s="128"/>
      <c r="BB197" s="133"/>
      <c r="BC197" s="128"/>
      <c r="BD197" s="128"/>
      <c r="BE197" s="128"/>
      <c r="BF197" s="133"/>
      <c r="BG197" s="128"/>
      <c r="BH197" s="133"/>
      <c r="BI197" s="128"/>
      <c r="BJ197" s="128"/>
      <c r="BK197" s="128"/>
      <c r="BL197" s="133"/>
      <c r="BM197" s="128"/>
      <c r="BN197" s="133"/>
      <c r="BO197" s="128"/>
      <c r="BP197" s="128"/>
      <c r="BQ197" s="128"/>
      <c r="BR197" s="133"/>
      <c r="BS197" s="128"/>
      <c r="BT197" s="133"/>
      <c r="BU197" s="128"/>
      <c r="BV197" s="128"/>
      <c r="BW197" s="128"/>
      <c r="BX197" s="133"/>
      <c r="BY197" s="128"/>
      <c r="BZ197" s="133"/>
      <c r="CA197" s="128"/>
      <c r="CB197" s="128"/>
      <c r="CC197" s="128"/>
      <c r="CD197" s="133"/>
      <c r="CE197" s="128"/>
      <c r="CF197" s="133"/>
      <c r="CG197" s="128"/>
      <c r="CH197" s="128"/>
      <c r="CI197" s="128"/>
      <c r="CJ197" s="128"/>
    </row>
    <row r="198" spans="1:88" x14ac:dyDescent="0.5">
      <c r="A198" s="268"/>
      <c r="B198" s="181"/>
      <c r="C198" s="1236"/>
      <c r="D198" s="1237"/>
      <c r="E198" s="749"/>
      <c r="F198" s="938"/>
      <c r="G198" s="939"/>
      <c r="H198" s="304"/>
      <c r="I198" s="1125"/>
      <c r="J198" s="961"/>
      <c r="K198" s="200"/>
      <c r="L198" s="181"/>
      <c r="M198" s="188"/>
      <c r="N198" s="181"/>
      <c r="O198" s="189"/>
      <c r="P198" s="189"/>
      <c r="Q198" s="189"/>
      <c r="R198" s="214"/>
      <c r="S198" s="191"/>
      <c r="T198" s="192"/>
      <c r="U198" s="193"/>
      <c r="V198" s="1254"/>
      <c r="W198" s="1238"/>
      <c r="X198" s="1239"/>
      <c r="Y198" s="1240"/>
      <c r="Z198" s="1240"/>
      <c r="AA198" s="1254"/>
      <c r="AB198" s="1254"/>
      <c r="AC198" s="197"/>
      <c r="AD198" s="1241"/>
      <c r="AE198" s="200">
        <v>20060184</v>
      </c>
      <c r="AF198" s="1242" t="s">
        <v>3423</v>
      </c>
      <c r="AG198" s="201">
        <v>6860</v>
      </c>
      <c r="AH198" s="237">
        <f t="shared" si="302"/>
        <v>480.2</v>
      </c>
      <c r="AI198" s="202">
        <f t="shared" si="303"/>
        <v>7340.2</v>
      </c>
      <c r="AJ198" s="203">
        <v>44012</v>
      </c>
      <c r="AK198" s="199" t="s">
        <v>3423</v>
      </c>
      <c r="AL198" s="199"/>
      <c r="AM198" s="199"/>
      <c r="AN198" s="180" t="s">
        <v>4118</v>
      </c>
      <c r="AO198" s="204"/>
      <c r="AP198" s="205"/>
      <c r="AQ198" s="206"/>
      <c r="AR198" s="206"/>
      <c r="AS198" s="207"/>
      <c r="AT198" s="208"/>
      <c r="AU198" s="204"/>
      <c r="AV198" s="210"/>
      <c r="AW198" s="204"/>
      <c r="AX198" s="204"/>
      <c r="AY198" s="204"/>
      <c r="AZ198" s="210"/>
      <c r="BA198" s="204"/>
      <c r="BB198" s="210"/>
      <c r="BC198" s="204"/>
      <c r="BD198" s="204"/>
      <c r="BE198" s="204"/>
      <c r="BF198" s="210"/>
      <c r="BG198" s="204"/>
      <c r="BH198" s="210"/>
      <c r="BI198" s="204"/>
      <c r="BJ198" s="204"/>
      <c r="BK198" s="204"/>
      <c r="BL198" s="210"/>
      <c r="BM198" s="204"/>
      <c r="BN198" s="210"/>
      <c r="BO198" s="204"/>
      <c r="BP198" s="204"/>
      <c r="BQ198" s="204"/>
      <c r="BR198" s="210"/>
      <c r="BS198" s="204"/>
      <c r="BT198" s="210"/>
      <c r="BU198" s="204"/>
      <c r="BV198" s="204"/>
      <c r="BW198" s="204"/>
      <c r="BX198" s="210"/>
      <c r="BY198" s="204"/>
      <c r="BZ198" s="210"/>
      <c r="CA198" s="204"/>
      <c r="CB198" s="204"/>
      <c r="CC198" s="204"/>
      <c r="CD198" s="210"/>
      <c r="CE198" s="204"/>
      <c r="CF198" s="210"/>
      <c r="CG198" s="204"/>
      <c r="CH198" s="204"/>
      <c r="CI198" s="204"/>
      <c r="CJ198" s="204"/>
    </row>
    <row r="199" spans="1:88" x14ac:dyDescent="0.5">
      <c r="A199" s="227">
        <v>20066604</v>
      </c>
      <c r="B199" s="22">
        <v>20060521</v>
      </c>
      <c r="C199" s="1019" t="s">
        <v>2130</v>
      </c>
      <c r="D199" s="1020" t="s">
        <v>2691</v>
      </c>
      <c r="E199" s="884">
        <v>44011</v>
      </c>
      <c r="F199" s="932" t="s">
        <v>3368</v>
      </c>
      <c r="G199" s="933" t="s">
        <v>2139</v>
      </c>
      <c r="H199" s="884">
        <v>44011</v>
      </c>
      <c r="I199" s="1021">
        <v>63159</v>
      </c>
      <c r="J199" s="931" t="s">
        <v>3423</v>
      </c>
      <c r="K199" s="957">
        <v>44011</v>
      </c>
      <c r="L199" s="22" t="s">
        <v>3370</v>
      </c>
      <c r="M199" s="28" t="s">
        <v>3911</v>
      </c>
      <c r="N199" s="22" t="s">
        <v>51</v>
      </c>
      <c r="O199" s="29">
        <v>16400</v>
      </c>
      <c r="P199" s="29">
        <f t="shared" ref="P199:P203" si="304">O199*7/100</f>
        <v>1148</v>
      </c>
      <c r="Q199" s="29">
        <f t="shared" ref="Q199:Q203" si="305">O199+P199</f>
        <v>17548</v>
      </c>
      <c r="R199" s="61"/>
      <c r="S199" s="96"/>
      <c r="T199" s="97"/>
      <c r="U199" s="98"/>
      <c r="V199" s="1225"/>
      <c r="W199" s="1225"/>
      <c r="X199" s="100"/>
      <c r="Y199" s="1225"/>
      <c r="Z199" s="1225"/>
      <c r="AA199" s="1225"/>
      <c r="AB199" s="1225"/>
      <c r="AC199" s="100"/>
      <c r="AD199" s="595"/>
      <c r="AE199" s="40">
        <v>20060185</v>
      </c>
      <c r="AF199" s="1186" t="s">
        <v>3423</v>
      </c>
      <c r="AG199" s="41">
        <v>16400</v>
      </c>
      <c r="AH199" s="63">
        <f t="shared" ref="AH199:AH203" si="306">AG199*7/100</f>
        <v>1148</v>
      </c>
      <c r="AI199" s="52">
        <f t="shared" ref="AI199:AI203" si="307">AG199+AH199</f>
        <v>17548</v>
      </c>
      <c r="AJ199" s="53">
        <v>44042</v>
      </c>
      <c r="AK199" s="39" t="s">
        <v>3423</v>
      </c>
      <c r="AL199" s="39"/>
      <c r="AM199" s="39"/>
      <c r="AN199" s="21" t="s">
        <v>4340</v>
      </c>
      <c r="AO199" s="1412">
        <v>1</v>
      </c>
      <c r="AP199" s="45" t="s">
        <v>3912</v>
      </c>
      <c r="AQ199" s="46"/>
      <c r="AR199" s="46" t="s">
        <v>3423</v>
      </c>
      <c r="AS199" s="47">
        <v>2</v>
      </c>
      <c r="AT199" s="48" t="s">
        <v>633</v>
      </c>
      <c r="AU199" s="1412">
        <v>2</v>
      </c>
      <c r="AV199" s="40" t="s">
        <v>1966</v>
      </c>
      <c r="AW199" s="47"/>
      <c r="AX199" s="47" t="s">
        <v>3423</v>
      </c>
      <c r="AY199" s="47">
        <v>1</v>
      </c>
      <c r="AZ199" s="49" t="s">
        <v>633</v>
      </c>
      <c r="BA199" s="1412"/>
      <c r="BB199" s="54"/>
      <c r="BC199" s="1412"/>
      <c r="BD199" s="1412"/>
      <c r="BE199" s="1412"/>
      <c r="BF199" s="54"/>
      <c r="BG199" s="1412"/>
      <c r="BH199" s="54"/>
      <c r="BI199" s="1412"/>
      <c r="BJ199" s="1412"/>
      <c r="BK199" s="1412"/>
      <c r="BL199" s="54"/>
      <c r="BM199" s="1412"/>
      <c r="BN199" s="54"/>
      <c r="BO199" s="1412"/>
      <c r="BP199" s="1412"/>
      <c r="BQ199" s="1412"/>
      <c r="BR199" s="54"/>
      <c r="BS199" s="1412"/>
      <c r="BT199" s="54"/>
      <c r="BU199" s="1412"/>
      <c r="BV199" s="1412"/>
      <c r="BW199" s="1412"/>
      <c r="BX199" s="54"/>
      <c r="BY199" s="1412"/>
      <c r="BZ199" s="54"/>
      <c r="CA199" s="1412"/>
      <c r="CB199" s="1412"/>
      <c r="CC199" s="1412"/>
      <c r="CD199" s="54"/>
      <c r="CE199" s="1412"/>
      <c r="CF199" s="54"/>
      <c r="CG199" s="1412"/>
      <c r="CH199" s="1412"/>
      <c r="CI199" s="1412"/>
      <c r="CJ199" s="1412"/>
    </row>
    <row r="200" spans="1:88" x14ac:dyDescent="0.5">
      <c r="A200" s="227">
        <v>20066603</v>
      </c>
      <c r="B200" s="22">
        <v>20060518</v>
      </c>
      <c r="C200" s="1019" t="s">
        <v>2133</v>
      </c>
      <c r="D200" s="1020" t="s">
        <v>2691</v>
      </c>
      <c r="E200" s="884">
        <v>44012</v>
      </c>
      <c r="F200" s="932" t="s">
        <v>3368</v>
      </c>
      <c r="G200" s="933" t="s">
        <v>2133</v>
      </c>
      <c r="H200" s="884">
        <v>44013</v>
      </c>
      <c r="I200" s="1021">
        <v>63164</v>
      </c>
      <c r="J200" s="931" t="s">
        <v>3423</v>
      </c>
      <c r="K200" s="957">
        <v>44014</v>
      </c>
      <c r="L200" s="22" t="s">
        <v>106</v>
      </c>
      <c r="M200" s="28" t="s">
        <v>3913</v>
      </c>
      <c r="N200" s="22" t="s">
        <v>52</v>
      </c>
      <c r="O200" s="29">
        <v>48000</v>
      </c>
      <c r="P200" s="29">
        <f t="shared" si="304"/>
        <v>3360</v>
      </c>
      <c r="Q200" s="29">
        <f t="shared" si="305"/>
        <v>51360</v>
      </c>
      <c r="R200" s="30">
        <v>4200</v>
      </c>
      <c r="S200" s="31" t="s">
        <v>568</v>
      </c>
      <c r="T200" s="32">
        <f t="shared" ref="T200" si="308">O200-R200</f>
        <v>43800</v>
      </c>
      <c r="U200" s="33">
        <v>5</v>
      </c>
      <c r="V200" s="1251">
        <f t="shared" ref="V200" si="309">T200*U200/100</f>
        <v>2190</v>
      </c>
      <c r="W200" s="1231">
        <v>60.37</v>
      </c>
      <c r="X200" s="1184">
        <f t="shared" ref="X200" si="310">T200-V200</f>
        <v>41610</v>
      </c>
      <c r="Y200" s="1223">
        <f t="shared" ref="Y200" si="311">SUM((50-W200)/(100)*(2.5)+(0.5))</f>
        <v>0.24075000000000008</v>
      </c>
      <c r="Z200" s="1223">
        <f>41610*0.24/100</f>
        <v>99.86399999999999</v>
      </c>
      <c r="AA200" s="1228">
        <v>0.5</v>
      </c>
      <c r="AB200" s="1228">
        <f t="shared" si="0"/>
        <v>208.05</v>
      </c>
      <c r="AC200" s="37">
        <v>0.2</v>
      </c>
      <c r="AD200" s="1234">
        <f t="shared" ref="AD200" si="312">X200*AC200/100</f>
        <v>83.22</v>
      </c>
      <c r="AE200" s="40">
        <v>20060177</v>
      </c>
      <c r="AF200" s="1186" t="s">
        <v>3423</v>
      </c>
      <c r="AG200" s="41">
        <v>48000</v>
      </c>
      <c r="AH200" s="63">
        <f t="shared" si="306"/>
        <v>3360</v>
      </c>
      <c r="AI200" s="52">
        <f t="shared" si="307"/>
        <v>51360</v>
      </c>
      <c r="AJ200" s="53">
        <v>44008</v>
      </c>
      <c r="AK200" s="39" t="s">
        <v>3423</v>
      </c>
      <c r="AL200" s="39"/>
      <c r="AM200" s="39"/>
      <c r="AN200" s="21" t="s">
        <v>4120</v>
      </c>
      <c r="AO200" s="1412">
        <v>1</v>
      </c>
      <c r="AP200" s="45" t="s">
        <v>712</v>
      </c>
      <c r="AQ200" s="46" t="s">
        <v>3423</v>
      </c>
      <c r="AR200" s="46"/>
      <c r="AS200" s="47">
        <v>6</v>
      </c>
      <c r="AT200" s="48" t="s">
        <v>636</v>
      </c>
      <c r="AU200" s="1412"/>
      <c r="AV200" s="54"/>
      <c r="AW200" s="1412"/>
      <c r="AX200" s="1412"/>
      <c r="AY200" s="1412"/>
      <c r="AZ200" s="54"/>
      <c r="BA200" s="1412"/>
      <c r="BB200" s="54"/>
      <c r="BC200" s="1412"/>
      <c r="BD200" s="1412"/>
      <c r="BE200" s="1412"/>
      <c r="BF200" s="54"/>
      <c r="BG200" s="1412"/>
      <c r="BH200" s="54"/>
      <c r="BI200" s="1412"/>
      <c r="BJ200" s="1412"/>
      <c r="BK200" s="1412"/>
      <c r="BL200" s="54"/>
      <c r="BM200" s="1412"/>
      <c r="BN200" s="54"/>
      <c r="BO200" s="1412"/>
      <c r="BP200" s="1412"/>
      <c r="BQ200" s="1412"/>
      <c r="BR200" s="54"/>
      <c r="BS200" s="1412"/>
      <c r="BT200" s="54"/>
      <c r="BU200" s="1412"/>
      <c r="BV200" s="1412"/>
      <c r="BW200" s="1412"/>
      <c r="BX200" s="54"/>
      <c r="BY200" s="1412"/>
      <c r="BZ200" s="54"/>
      <c r="CA200" s="1412"/>
      <c r="CB200" s="1412"/>
      <c r="CC200" s="1412"/>
      <c r="CD200" s="54"/>
      <c r="CE200" s="1412"/>
      <c r="CF200" s="54"/>
      <c r="CG200" s="1412"/>
      <c r="CH200" s="1412"/>
      <c r="CI200" s="1412"/>
      <c r="CJ200" s="1412"/>
    </row>
    <row r="201" spans="1:88" x14ac:dyDescent="0.5">
      <c r="A201" s="227" t="s">
        <v>3931</v>
      </c>
      <c r="B201" s="22">
        <v>20060517</v>
      </c>
      <c r="C201" s="1019" t="s">
        <v>2136</v>
      </c>
      <c r="D201" s="1020" t="s">
        <v>2691</v>
      </c>
      <c r="E201" s="884">
        <v>44015</v>
      </c>
      <c r="F201" s="932" t="s">
        <v>3368</v>
      </c>
      <c r="G201" s="933" t="s">
        <v>2154</v>
      </c>
      <c r="H201" s="884">
        <v>44014</v>
      </c>
      <c r="I201" s="1021">
        <v>63167</v>
      </c>
      <c r="J201" s="931" t="s">
        <v>3423</v>
      </c>
      <c r="K201" s="957">
        <v>44015</v>
      </c>
      <c r="L201" s="22" t="s">
        <v>10</v>
      </c>
      <c r="M201" s="28" t="s">
        <v>3932</v>
      </c>
      <c r="N201" s="22" t="s">
        <v>51</v>
      </c>
      <c r="O201" s="29">
        <v>280000</v>
      </c>
      <c r="P201" s="100"/>
      <c r="Q201" s="29">
        <f t="shared" si="305"/>
        <v>280000</v>
      </c>
      <c r="R201" s="61"/>
      <c r="S201" s="96"/>
      <c r="T201" s="97"/>
      <c r="U201" s="98"/>
      <c r="V201" s="1225"/>
      <c r="W201" s="1225"/>
      <c r="X201" s="100"/>
      <c r="Y201" s="1225"/>
      <c r="Z201" s="1225"/>
      <c r="AA201" s="1225"/>
      <c r="AB201" s="1225"/>
      <c r="AC201" s="100"/>
      <c r="AD201" s="595"/>
      <c r="AE201" s="40"/>
      <c r="AF201" s="1186"/>
      <c r="AG201" s="41"/>
      <c r="AH201" s="63"/>
      <c r="AI201" s="52"/>
      <c r="AJ201" s="43"/>
      <c r="AK201" s="39"/>
      <c r="AL201" s="39"/>
      <c r="AM201" s="39"/>
      <c r="AN201" s="21"/>
      <c r="AO201" s="1416">
        <v>1</v>
      </c>
      <c r="AP201" s="45" t="s">
        <v>3933</v>
      </c>
      <c r="AQ201" s="46" t="s">
        <v>3423</v>
      </c>
      <c r="AR201" s="46"/>
      <c r="AS201" s="47">
        <v>1</v>
      </c>
      <c r="AT201" s="48" t="s">
        <v>635</v>
      </c>
      <c r="AU201" s="1416"/>
      <c r="AV201" s="54"/>
      <c r="AW201" s="1416"/>
      <c r="AX201" s="1416"/>
      <c r="AY201" s="1416"/>
      <c r="AZ201" s="54"/>
      <c r="BA201" s="1416"/>
      <c r="BB201" s="54"/>
      <c r="BC201" s="1416"/>
      <c r="BD201" s="1416"/>
      <c r="BE201" s="1416"/>
      <c r="BF201" s="54"/>
      <c r="BG201" s="1416"/>
      <c r="BH201" s="54"/>
      <c r="BI201" s="1416"/>
      <c r="BJ201" s="1416"/>
      <c r="BK201" s="1416"/>
      <c r="BL201" s="54"/>
      <c r="BM201" s="1416"/>
      <c r="BN201" s="54"/>
      <c r="BO201" s="1416"/>
      <c r="BP201" s="1416"/>
      <c r="BQ201" s="1416"/>
      <c r="BR201" s="54"/>
      <c r="BS201" s="1416"/>
      <c r="BT201" s="54"/>
      <c r="BU201" s="1416"/>
      <c r="BV201" s="1416"/>
      <c r="BW201" s="1416"/>
      <c r="BX201" s="54"/>
      <c r="BY201" s="1416"/>
      <c r="BZ201" s="54"/>
      <c r="CA201" s="1416"/>
      <c r="CB201" s="1416"/>
      <c r="CC201" s="1416"/>
      <c r="CD201" s="54"/>
      <c r="CE201" s="1416"/>
      <c r="CF201" s="54"/>
      <c r="CG201" s="1416"/>
      <c r="CH201" s="1416"/>
      <c r="CI201" s="1416"/>
      <c r="CJ201" s="1416"/>
    </row>
    <row r="202" spans="1:88" x14ac:dyDescent="0.5">
      <c r="A202" s="227">
        <v>20066602</v>
      </c>
      <c r="B202" s="22">
        <v>20060516</v>
      </c>
      <c r="C202" s="55"/>
      <c r="D202" s="56"/>
      <c r="E202" s="910"/>
      <c r="F202" s="57"/>
      <c r="G202" s="58"/>
      <c r="H202" s="59"/>
      <c r="I202" s="60"/>
      <c r="J202" s="269"/>
      <c r="K202" s="59"/>
      <c r="L202" s="22" t="s">
        <v>3914</v>
      </c>
      <c r="M202" s="28" t="s">
        <v>3915</v>
      </c>
      <c r="N202" s="22" t="s">
        <v>51</v>
      </c>
      <c r="O202" s="29">
        <v>21300</v>
      </c>
      <c r="P202" s="29">
        <f t="shared" si="304"/>
        <v>1491</v>
      </c>
      <c r="Q202" s="29">
        <f t="shared" si="305"/>
        <v>22791</v>
      </c>
      <c r="R202" s="61"/>
      <c r="S202" s="96"/>
      <c r="T202" s="97"/>
      <c r="U202" s="98"/>
      <c r="V202" s="1225"/>
      <c r="W202" s="1225"/>
      <c r="X202" s="100"/>
      <c r="Y202" s="1225"/>
      <c r="Z202" s="1225"/>
      <c r="AA202" s="1225"/>
      <c r="AB202" s="1225"/>
      <c r="AC202" s="100"/>
      <c r="AD202" s="595"/>
      <c r="AE202" s="40">
        <v>20060176</v>
      </c>
      <c r="AF202" s="1186" t="s">
        <v>3423</v>
      </c>
      <c r="AG202" s="41">
        <v>21300</v>
      </c>
      <c r="AH202" s="63">
        <f t="shared" si="306"/>
        <v>1491</v>
      </c>
      <c r="AI202" s="52">
        <f t="shared" si="307"/>
        <v>22791</v>
      </c>
      <c r="AJ202" s="53">
        <v>44037</v>
      </c>
      <c r="AK202" s="39" t="s">
        <v>3423</v>
      </c>
      <c r="AL202" s="39"/>
      <c r="AM202" s="39"/>
      <c r="AN202" s="21" t="s">
        <v>4353</v>
      </c>
      <c r="AO202" s="1412">
        <v>1</v>
      </c>
      <c r="AP202" s="45" t="s">
        <v>3916</v>
      </c>
      <c r="AQ202" s="46"/>
      <c r="AR202" s="46"/>
      <c r="AS202" s="47">
        <v>1</v>
      </c>
      <c r="AT202" s="48" t="s">
        <v>628</v>
      </c>
      <c r="AU202" s="1412">
        <v>2</v>
      </c>
      <c r="AV202" s="40" t="s">
        <v>3917</v>
      </c>
      <c r="AW202" s="47"/>
      <c r="AX202" s="47"/>
      <c r="AY202" s="47">
        <v>1</v>
      </c>
      <c r="AZ202" s="49" t="s">
        <v>628</v>
      </c>
      <c r="BA202" s="1412"/>
      <c r="BB202" s="54"/>
      <c r="BC202" s="1412"/>
      <c r="BD202" s="1412"/>
      <c r="BE202" s="1412"/>
      <c r="BF202" s="54"/>
      <c r="BG202" s="1412"/>
      <c r="BH202" s="54"/>
      <c r="BI202" s="1412"/>
      <c r="BJ202" s="1412"/>
      <c r="BK202" s="1412"/>
      <c r="BL202" s="54"/>
      <c r="BM202" s="1412"/>
      <c r="BN202" s="54"/>
      <c r="BO202" s="1412"/>
      <c r="BP202" s="1412"/>
      <c r="BQ202" s="1412"/>
      <c r="BR202" s="54"/>
      <c r="BS202" s="1412"/>
      <c r="BT202" s="54"/>
      <c r="BU202" s="1412"/>
      <c r="BV202" s="1412"/>
      <c r="BW202" s="1412"/>
      <c r="BX202" s="54"/>
      <c r="BY202" s="1412"/>
      <c r="BZ202" s="54"/>
      <c r="CA202" s="1412"/>
      <c r="CB202" s="1412"/>
      <c r="CC202" s="1412"/>
      <c r="CD202" s="54"/>
      <c r="CE202" s="1412"/>
      <c r="CF202" s="54"/>
      <c r="CG202" s="1412"/>
      <c r="CH202" s="1412"/>
      <c r="CI202" s="1412"/>
      <c r="CJ202" s="1412"/>
    </row>
    <row r="203" spans="1:88" x14ac:dyDescent="0.5">
      <c r="A203" s="21">
        <v>20066601</v>
      </c>
      <c r="B203" s="22">
        <v>20060515</v>
      </c>
      <c r="C203" s="1019" t="s">
        <v>2139</v>
      </c>
      <c r="D203" s="1020" t="s">
        <v>2691</v>
      </c>
      <c r="E203" s="884">
        <v>44011</v>
      </c>
      <c r="F203" s="932" t="s">
        <v>3368</v>
      </c>
      <c r="G203" s="933" t="s">
        <v>2571</v>
      </c>
      <c r="H203" s="884">
        <v>44152</v>
      </c>
      <c r="I203" s="1021">
        <v>63269</v>
      </c>
      <c r="J203" s="931" t="s">
        <v>3423</v>
      </c>
      <c r="K203" s="957">
        <v>44153</v>
      </c>
      <c r="L203" s="22" t="s">
        <v>23</v>
      </c>
      <c r="M203" s="28" t="s">
        <v>3918</v>
      </c>
      <c r="N203" s="22" t="s">
        <v>51</v>
      </c>
      <c r="O203" s="29">
        <v>407000</v>
      </c>
      <c r="P203" s="29">
        <f t="shared" si="304"/>
        <v>28490</v>
      </c>
      <c r="Q203" s="29">
        <f t="shared" si="305"/>
        <v>435490</v>
      </c>
      <c r="R203" s="61"/>
      <c r="S203" s="96"/>
      <c r="T203" s="97"/>
      <c r="U203" s="98"/>
      <c r="V203" s="1225"/>
      <c r="W203" s="1225"/>
      <c r="X203" s="100"/>
      <c r="Y203" s="1225"/>
      <c r="Z203" s="1225"/>
      <c r="AA203" s="1225"/>
      <c r="AB203" s="1225"/>
      <c r="AC203" s="100"/>
      <c r="AD203" s="595"/>
      <c r="AE203" s="40">
        <v>20110308</v>
      </c>
      <c r="AF203" s="1186" t="s">
        <v>3423</v>
      </c>
      <c r="AG203" s="41">
        <v>407000</v>
      </c>
      <c r="AH203" s="63">
        <f t="shared" si="306"/>
        <v>28490</v>
      </c>
      <c r="AI203" s="52">
        <f t="shared" si="307"/>
        <v>435490</v>
      </c>
      <c r="AJ203" s="53">
        <v>44185</v>
      </c>
      <c r="AK203" s="39"/>
      <c r="AL203" s="39"/>
      <c r="AM203" s="39" t="s">
        <v>3423</v>
      </c>
      <c r="AN203" s="21"/>
      <c r="AO203" s="1412">
        <v>1</v>
      </c>
      <c r="AP203" s="45" t="s">
        <v>3919</v>
      </c>
      <c r="AQ203" s="46"/>
      <c r="AR203" s="46" t="s">
        <v>3423</v>
      </c>
      <c r="AS203" s="47">
        <v>1</v>
      </c>
      <c r="AT203" s="48" t="s">
        <v>633</v>
      </c>
      <c r="AU203" s="1412">
        <v>2</v>
      </c>
      <c r="AV203" s="40" t="s">
        <v>3920</v>
      </c>
      <c r="AW203" s="47"/>
      <c r="AX203" s="47" t="s">
        <v>3423</v>
      </c>
      <c r="AY203" s="47">
        <v>1</v>
      </c>
      <c r="AZ203" s="49" t="s">
        <v>633</v>
      </c>
      <c r="BA203" s="1412">
        <v>3</v>
      </c>
      <c r="BB203" s="40" t="s">
        <v>3921</v>
      </c>
      <c r="BC203" s="47"/>
      <c r="BD203" s="47" t="s">
        <v>3423</v>
      </c>
      <c r="BE203" s="47">
        <v>1</v>
      </c>
      <c r="BF203" s="49" t="s">
        <v>633</v>
      </c>
      <c r="BG203" s="1412">
        <v>4</v>
      </c>
      <c r="BH203" s="40" t="s">
        <v>3922</v>
      </c>
      <c r="BI203" s="47"/>
      <c r="BJ203" s="47" t="s">
        <v>3423</v>
      </c>
      <c r="BK203" s="47">
        <v>1</v>
      </c>
      <c r="BL203" s="49" t="s">
        <v>633</v>
      </c>
      <c r="BM203" s="1412"/>
      <c r="BN203" s="54"/>
      <c r="BO203" s="1412"/>
      <c r="BP203" s="1412"/>
      <c r="BQ203" s="1412"/>
      <c r="BR203" s="54"/>
      <c r="BS203" s="1412"/>
      <c r="BT203" s="54"/>
      <c r="BU203" s="1412"/>
      <c r="BV203" s="1412"/>
      <c r="BW203" s="1412"/>
      <c r="BX203" s="54"/>
      <c r="BY203" s="1412"/>
      <c r="BZ203" s="54"/>
      <c r="CA203" s="1412"/>
      <c r="CB203" s="1412"/>
      <c r="CC203" s="1412"/>
      <c r="CD203" s="54"/>
      <c r="CE203" s="1412"/>
      <c r="CF203" s="54"/>
      <c r="CG203" s="1412"/>
      <c r="CH203" s="1412"/>
      <c r="CI203" s="1412"/>
      <c r="CJ203" s="1412"/>
    </row>
    <row r="204" spans="1:88" x14ac:dyDescent="0.5">
      <c r="A204" s="103">
        <v>20066600</v>
      </c>
      <c r="B204" s="104">
        <v>20060514</v>
      </c>
      <c r="C204" s="1243" t="s">
        <v>2115</v>
      </c>
      <c r="D204" s="1244" t="s">
        <v>2691</v>
      </c>
      <c r="E204" s="302">
        <v>44022</v>
      </c>
      <c r="F204" s="936"/>
      <c r="G204" s="937"/>
      <c r="H204" s="1264"/>
      <c r="I204" s="1124"/>
      <c r="J204" s="960"/>
      <c r="K204" s="123"/>
      <c r="L204" s="104" t="s">
        <v>3766</v>
      </c>
      <c r="M204" s="104" t="s">
        <v>3910</v>
      </c>
      <c r="N204" s="104" t="s">
        <v>50</v>
      </c>
      <c r="O204" s="111">
        <v>600000</v>
      </c>
      <c r="P204" s="111">
        <f t="shared" ref="P204:P206" si="313">O204*7/100</f>
        <v>42000</v>
      </c>
      <c r="Q204" s="111">
        <f t="shared" ref="Q204:Q206" si="314">O204+P204</f>
        <v>642000</v>
      </c>
      <c r="R204" s="311">
        <v>54000</v>
      </c>
      <c r="S204" s="113" t="s">
        <v>3934</v>
      </c>
      <c r="T204" s="114">
        <f t="shared" ref="T204:T206" si="315">O204-R204</f>
        <v>546000</v>
      </c>
      <c r="U204" s="167"/>
      <c r="V204" s="1252">
        <v>50000</v>
      </c>
      <c r="W204" s="1245">
        <v>59.38</v>
      </c>
      <c r="X204" s="1246">
        <f t="shared" ref="X204:X206" si="316">T204-V204</f>
        <v>496000</v>
      </c>
      <c r="Y204" s="1247">
        <f t="shared" ref="Y204:Y206" si="317">SUM((50-W204)/(100)*(2.5)+(0.5))</f>
        <v>0.26549999999999996</v>
      </c>
      <c r="Z204" s="1247">
        <f>496000*0.27/100</f>
        <v>1339.2</v>
      </c>
      <c r="AA204" s="1265">
        <v>0.7</v>
      </c>
      <c r="AB204" s="1265">
        <f t="shared" ref="AB204:AB206" si="318">X204*AA204/100</f>
        <v>3472</v>
      </c>
      <c r="AC204" s="119">
        <v>0.2</v>
      </c>
      <c r="AD204" s="1248">
        <f t="shared" ref="AD204:AD206" si="319">X204*AC204/100</f>
        <v>992</v>
      </c>
      <c r="AE204" s="229">
        <v>20060168</v>
      </c>
      <c r="AF204" s="1313" t="s">
        <v>1205</v>
      </c>
      <c r="AG204" s="230">
        <v>180000</v>
      </c>
      <c r="AH204" s="233">
        <f t="shared" ref="AH204:AH207" si="320">AG204*7/100</f>
        <v>12600</v>
      </c>
      <c r="AI204" s="220">
        <f t="shared" ref="AI204:AI207" si="321">AG204+AH204</f>
        <v>192600</v>
      </c>
      <c r="AJ204" s="221">
        <v>44001</v>
      </c>
      <c r="AK204" s="121" t="s">
        <v>3423</v>
      </c>
      <c r="AL204" s="121"/>
      <c r="AM204" s="121"/>
      <c r="AN204" s="222" t="s">
        <v>3991</v>
      </c>
      <c r="AO204" s="128">
        <v>1</v>
      </c>
      <c r="AP204" s="129" t="s">
        <v>3572</v>
      </c>
      <c r="AQ204" s="130"/>
      <c r="AR204" s="130" t="s">
        <v>3423</v>
      </c>
      <c r="AS204" s="131">
        <v>2</v>
      </c>
      <c r="AT204" s="132" t="s">
        <v>636</v>
      </c>
      <c r="AU204" s="128"/>
      <c r="AV204" s="133"/>
      <c r="AW204" s="128"/>
      <c r="AX204" s="128"/>
      <c r="AY204" s="128"/>
      <c r="AZ204" s="133"/>
      <c r="BA204" s="128"/>
      <c r="BB204" s="133"/>
      <c r="BC204" s="128"/>
      <c r="BD204" s="128"/>
      <c r="BE204" s="128"/>
      <c r="BF204" s="133"/>
      <c r="BG204" s="128"/>
      <c r="BH204" s="133"/>
      <c r="BI204" s="128"/>
      <c r="BJ204" s="128"/>
      <c r="BK204" s="128"/>
      <c r="BL204" s="133"/>
      <c r="BM204" s="128"/>
      <c r="BN204" s="133"/>
      <c r="BO204" s="128"/>
      <c r="BP204" s="128"/>
      <c r="BQ204" s="128"/>
      <c r="BR204" s="133"/>
      <c r="BS204" s="128"/>
      <c r="BT204" s="133"/>
      <c r="BU204" s="128"/>
      <c r="BV204" s="128"/>
      <c r="BW204" s="128"/>
      <c r="BX204" s="133"/>
      <c r="BY204" s="128"/>
      <c r="BZ204" s="133"/>
      <c r="CA204" s="128"/>
      <c r="CB204" s="128"/>
      <c r="CC204" s="128"/>
      <c r="CD204" s="133"/>
      <c r="CE204" s="128"/>
      <c r="CF204" s="133"/>
      <c r="CG204" s="128"/>
      <c r="CH204" s="128"/>
      <c r="CI204" s="128"/>
      <c r="CJ204" s="128"/>
    </row>
    <row r="205" spans="1:88" x14ac:dyDescent="0.5">
      <c r="A205" s="134"/>
      <c r="B205" s="135"/>
      <c r="C205" s="1290"/>
      <c r="D205" s="1291"/>
      <c r="E205" s="906"/>
      <c r="F205" s="940"/>
      <c r="G205" s="941"/>
      <c r="H205" s="1307"/>
      <c r="I205" s="1138"/>
      <c r="J205" s="963"/>
      <c r="K205" s="154"/>
      <c r="L205" s="135"/>
      <c r="M205" s="141"/>
      <c r="N205" s="135"/>
      <c r="O205" s="142"/>
      <c r="P205" s="142"/>
      <c r="Q205" s="142"/>
      <c r="R205" s="143"/>
      <c r="S205" s="144"/>
      <c r="T205" s="145"/>
      <c r="U205" s="174"/>
      <c r="V205" s="1292"/>
      <c r="W205" s="1293"/>
      <c r="X205" s="1294"/>
      <c r="Y205" s="1295"/>
      <c r="Z205" s="1295"/>
      <c r="AA205" s="1308"/>
      <c r="AB205" s="1308"/>
      <c r="AC205" s="150"/>
      <c r="AD205" s="1297"/>
      <c r="AE205" s="154">
        <v>20070191</v>
      </c>
      <c r="AF205" s="1298"/>
      <c r="AG205" s="155">
        <v>360000</v>
      </c>
      <c r="AH205" s="253">
        <f t="shared" si="320"/>
        <v>25200</v>
      </c>
      <c r="AI205" s="156">
        <f t="shared" si="321"/>
        <v>385200</v>
      </c>
      <c r="AJ205" s="157">
        <v>44020</v>
      </c>
      <c r="AK205" s="152" t="s">
        <v>3423</v>
      </c>
      <c r="AL205" s="152"/>
      <c r="AM205" s="152"/>
      <c r="AN205" s="134" t="s">
        <v>4099</v>
      </c>
      <c r="AO205" s="158"/>
      <c r="AP205" s="159"/>
      <c r="AQ205" s="160"/>
      <c r="AR205" s="160"/>
      <c r="AS205" s="161"/>
      <c r="AT205" s="162"/>
      <c r="AU205" s="158"/>
      <c r="AV205" s="163"/>
      <c r="AW205" s="158"/>
      <c r="AX205" s="158"/>
      <c r="AY205" s="158"/>
      <c r="AZ205" s="163"/>
      <c r="BA205" s="158"/>
      <c r="BB205" s="163"/>
      <c r="BC205" s="158"/>
      <c r="BD205" s="158"/>
      <c r="BE205" s="158"/>
      <c r="BF205" s="163"/>
      <c r="BG205" s="158"/>
      <c r="BH205" s="163"/>
      <c r="BI205" s="158"/>
      <c r="BJ205" s="158"/>
      <c r="BK205" s="158"/>
      <c r="BL205" s="163"/>
      <c r="BM205" s="158"/>
      <c r="BN205" s="163"/>
      <c r="BO205" s="158"/>
      <c r="BP205" s="158"/>
      <c r="BQ205" s="158"/>
      <c r="BR205" s="163"/>
      <c r="BS205" s="158"/>
      <c r="BT205" s="163"/>
      <c r="BU205" s="158"/>
      <c r="BV205" s="158"/>
      <c r="BW205" s="158"/>
      <c r="BX205" s="163"/>
      <c r="BY205" s="158"/>
      <c r="BZ205" s="163"/>
      <c r="CA205" s="158"/>
      <c r="CB205" s="158"/>
      <c r="CC205" s="158"/>
      <c r="CD205" s="163"/>
      <c r="CE205" s="158"/>
      <c r="CF205" s="163"/>
      <c r="CG205" s="158"/>
      <c r="CH205" s="158"/>
      <c r="CI205" s="158"/>
      <c r="CJ205" s="158"/>
    </row>
    <row r="206" spans="1:88" x14ac:dyDescent="0.5">
      <c r="A206" s="259">
        <v>20066599</v>
      </c>
      <c r="B206" s="104">
        <v>20060511</v>
      </c>
      <c r="C206" s="1243" t="s">
        <v>2108</v>
      </c>
      <c r="D206" s="1244" t="s">
        <v>2691</v>
      </c>
      <c r="E206" s="302">
        <v>44022</v>
      </c>
      <c r="F206" s="936" t="s">
        <v>3368</v>
      </c>
      <c r="G206" s="937" t="s">
        <v>2159</v>
      </c>
      <c r="H206" s="914">
        <v>44021</v>
      </c>
      <c r="I206" s="1315">
        <v>63173</v>
      </c>
      <c r="J206" s="960" t="s">
        <v>3423</v>
      </c>
      <c r="K206" s="965">
        <v>44022</v>
      </c>
      <c r="L206" s="104" t="s">
        <v>4127</v>
      </c>
      <c r="M206" s="104" t="s">
        <v>3923</v>
      </c>
      <c r="N206" s="104" t="s">
        <v>1523</v>
      </c>
      <c r="O206" s="111">
        <v>87600</v>
      </c>
      <c r="P206" s="111">
        <f t="shared" si="313"/>
        <v>6132</v>
      </c>
      <c r="Q206" s="111">
        <f t="shared" si="314"/>
        <v>93732</v>
      </c>
      <c r="R206" s="212"/>
      <c r="S206" s="113" t="s">
        <v>3938</v>
      </c>
      <c r="T206" s="114">
        <f t="shared" si="315"/>
        <v>87600</v>
      </c>
      <c r="U206" s="115">
        <v>5</v>
      </c>
      <c r="V206" s="1252">
        <f t="shared" ref="V206" si="322">T206*U206/100</f>
        <v>4380</v>
      </c>
      <c r="W206" s="1245">
        <v>53.03</v>
      </c>
      <c r="X206" s="1246">
        <f t="shared" si="316"/>
        <v>83220</v>
      </c>
      <c r="Y206" s="1247">
        <f t="shared" si="317"/>
        <v>0.42424999999999996</v>
      </c>
      <c r="Z206" s="1247">
        <f>83200*0.42/100</f>
        <v>349.44</v>
      </c>
      <c r="AA206" s="1265">
        <v>0.5</v>
      </c>
      <c r="AB206" s="1265">
        <f t="shared" si="318"/>
        <v>416.1</v>
      </c>
      <c r="AC206" s="119">
        <v>0.2</v>
      </c>
      <c r="AD206" s="1248">
        <f t="shared" si="319"/>
        <v>166.44</v>
      </c>
      <c r="AE206" s="229">
        <v>20070189</v>
      </c>
      <c r="AF206" s="1313"/>
      <c r="AG206" s="230">
        <v>26280</v>
      </c>
      <c r="AH206" s="233">
        <f t="shared" si="320"/>
        <v>1839.6</v>
      </c>
      <c r="AI206" s="220">
        <f t="shared" si="321"/>
        <v>28119.599999999999</v>
      </c>
      <c r="AJ206" s="221">
        <v>44019</v>
      </c>
      <c r="AK206" s="121" t="s">
        <v>3423</v>
      </c>
      <c r="AL206" s="121"/>
      <c r="AM206" s="121"/>
      <c r="AN206" s="979" t="s">
        <v>4098</v>
      </c>
      <c r="AO206" s="128">
        <v>1</v>
      </c>
      <c r="AP206" s="129" t="s">
        <v>3545</v>
      </c>
      <c r="AQ206" s="130"/>
      <c r="AR206" s="130" t="s">
        <v>3423</v>
      </c>
      <c r="AS206" s="131">
        <v>1</v>
      </c>
      <c r="AT206" s="132" t="s">
        <v>634</v>
      </c>
      <c r="AU206" s="128">
        <v>2</v>
      </c>
      <c r="AV206" s="123" t="s">
        <v>3899</v>
      </c>
      <c r="AW206" s="131"/>
      <c r="AX206" s="131" t="s">
        <v>3423</v>
      </c>
      <c r="AY206" s="131">
        <v>1</v>
      </c>
      <c r="AZ206" s="169" t="s">
        <v>634</v>
      </c>
      <c r="BA206" s="128">
        <v>3</v>
      </c>
      <c r="BB206" s="123" t="s">
        <v>3900</v>
      </c>
      <c r="BC206" s="131"/>
      <c r="BD206" s="131" t="s">
        <v>3423</v>
      </c>
      <c r="BE206" s="131">
        <v>1</v>
      </c>
      <c r="BF206" s="169" t="s">
        <v>634</v>
      </c>
      <c r="BG206" s="128"/>
      <c r="BH206" s="133"/>
      <c r="BI206" s="128"/>
      <c r="BJ206" s="128"/>
      <c r="BK206" s="128"/>
      <c r="BL206" s="133"/>
      <c r="BM206" s="128"/>
      <c r="BN206" s="133"/>
      <c r="BO206" s="128"/>
      <c r="BP206" s="128"/>
      <c r="BQ206" s="128"/>
      <c r="BR206" s="133"/>
      <c r="BS206" s="128"/>
      <c r="BT206" s="133"/>
      <c r="BU206" s="128"/>
      <c r="BV206" s="128"/>
      <c r="BW206" s="128"/>
      <c r="BX206" s="133"/>
      <c r="BY206" s="128"/>
      <c r="BZ206" s="133"/>
      <c r="CA206" s="128"/>
      <c r="CB206" s="128"/>
      <c r="CC206" s="128"/>
      <c r="CD206" s="133"/>
      <c r="CE206" s="128"/>
      <c r="CF206" s="133"/>
      <c r="CG206" s="128"/>
      <c r="CH206" s="128"/>
      <c r="CI206" s="128"/>
      <c r="CJ206" s="128"/>
    </row>
    <row r="207" spans="1:88" x14ac:dyDescent="0.5">
      <c r="A207" s="268"/>
      <c r="B207" s="181"/>
      <c r="C207" s="1236"/>
      <c r="D207" s="1237"/>
      <c r="E207" s="749"/>
      <c r="F207" s="938"/>
      <c r="G207" s="939"/>
      <c r="H207" s="749">
        <v>44021</v>
      </c>
      <c r="I207" s="1125">
        <v>63174</v>
      </c>
      <c r="J207" s="961"/>
      <c r="K207" s="966"/>
      <c r="L207" s="181"/>
      <c r="M207" s="188"/>
      <c r="N207" s="181"/>
      <c r="O207" s="189"/>
      <c r="P207" s="189"/>
      <c r="Q207" s="189"/>
      <c r="R207" s="214"/>
      <c r="S207" s="215"/>
      <c r="T207" s="216"/>
      <c r="U207" s="217"/>
      <c r="V207" s="1253"/>
      <c r="W207" s="1238"/>
      <c r="X207" s="1239"/>
      <c r="Y207" s="1240"/>
      <c r="Z207" s="1240"/>
      <c r="AA207" s="1263"/>
      <c r="AB207" s="1263"/>
      <c r="AC207" s="197"/>
      <c r="AD207" s="1241"/>
      <c r="AE207" s="200">
        <v>20070190</v>
      </c>
      <c r="AF207" s="1242" t="s">
        <v>3423</v>
      </c>
      <c r="AG207" s="201">
        <v>61320</v>
      </c>
      <c r="AH207" s="237">
        <f t="shared" si="320"/>
        <v>4292.3999999999996</v>
      </c>
      <c r="AI207" s="202">
        <f t="shared" si="321"/>
        <v>65612.399999999994</v>
      </c>
      <c r="AJ207" s="203">
        <v>44049</v>
      </c>
      <c r="AK207" s="199" t="s">
        <v>3423</v>
      </c>
      <c r="AL207" s="199"/>
      <c r="AM207" s="199"/>
      <c r="AN207" s="843" t="s">
        <v>4343</v>
      </c>
      <c r="AO207" s="204"/>
      <c r="AP207" s="205"/>
      <c r="AQ207" s="206"/>
      <c r="AR207" s="206"/>
      <c r="AS207" s="207"/>
      <c r="AT207" s="208"/>
      <c r="AU207" s="204"/>
      <c r="AV207" s="200"/>
      <c r="AW207" s="207"/>
      <c r="AX207" s="207"/>
      <c r="AY207" s="207"/>
      <c r="AZ207" s="209"/>
      <c r="BA207" s="204"/>
      <c r="BB207" s="200"/>
      <c r="BC207" s="207"/>
      <c r="BD207" s="207"/>
      <c r="BE207" s="207"/>
      <c r="BF207" s="209"/>
      <c r="BG207" s="204"/>
      <c r="BH207" s="210"/>
      <c r="BI207" s="204"/>
      <c r="BJ207" s="204"/>
      <c r="BK207" s="204"/>
      <c r="BL207" s="210"/>
      <c r="BM207" s="204"/>
      <c r="BN207" s="210"/>
      <c r="BO207" s="204"/>
      <c r="BP207" s="204"/>
      <c r="BQ207" s="204"/>
      <c r="BR207" s="210"/>
      <c r="BS207" s="204"/>
      <c r="BT207" s="210"/>
      <c r="BU207" s="204"/>
      <c r="BV207" s="204"/>
      <c r="BW207" s="204"/>
      <c r="BX207" s="210"/>
      <c r="BY207" s="204"/>
      <c r="BZ207" s="210"/>
      <c r="CA207" s="204"/>
      <c r="CB207" s="204"/>
      <c r="CC207" s="204"/>
      <c r="CD207" s="210"/>
      <c r="CE207" s="204"/>
      <c r="CF207" s="210"/>
      <c r="CG207" s="204"/>
      <c r="CH207" s="204"/>
      <c r="CI207" s="204"/>
      <c r="CJ207" s="204"/>
    </row>
    <row r="208" spans="1:88" s="95" customFormat="1" x14ac:dyDescent="0.5">
      <c r="A208" s="754">
        <v>20066598</v>
      </c>
      <c r="B208" s="755">
        <v>20060512</v>
      </c>
      <c r="C208" s="1389" t="s">
        <v>2071</v>
      </c>
      <c r="D208" s="1390" t="s">
        <v>2691</v>
      </c>
      <c r="E208" s="899">
        <v>44032</v>
      </c>
      <c r="F208" s="942"/>
      <c r="G208" s="943"/>
      <c r="H208" s="1391"/>
      <c r="I208" s="1392"/>
      <c r="J208" s="967"/>
      <c r="K208" s="782"/>
      <c r="L208" s="755" t="s">
        <v>4127</v>
      </c>
      <c r="M208" s="759" t="s">
        <v>3923</v>
      </c>
      <c r="N208" s="755" t="s">
        <v>1523</v>
      </c>
      <c r="O208" s="760">
        <v>64000</v>
      </c>
      <c r="P208" s="760">
        <f t="shared" ref="P208:P386" si="323">O208*7/100</f>
        <v>4480</v>
      </c>
      <c r="Q208" s="760">
        <f t="shared" ref="Q208:Q386" si="324">O208+P208</f>
        <v>68480</v>
      </c>
      <c r="R208" s="919"/>
      <c r="S208" s="1400" t="s">
        <v>3938</v>
      </c>
      <c r="T208" s="1401">
        <f t="shared" ref="T208:T373" si="325">O208-R208</f>
        <v>64000</v>
      </c>
      <c r="U208" s="1402">
        <v>5</v>
      </c>
      <c r="V208" s="1403">
        <f t="shared" ref="V208:V373" si="326">T208*U208/100</f>
        <v>3200</v>
      </c>
      <c r="W208" s="1404">
        <v>56.57</v>
      </c>
      <c r="X208" s="1405">
        <f t="shared" ref="X208:X373" si="327">T208-V208</f>
        <v>60800</v>
      </c>
      <c r="Y208" s="1406">
        <f t="shared" ref="Y208:Y349" si="328">SUM((50-W208)/(100)*(2.5)+(0.5))</f>
        <v>0.33574999999999999</v>
      </c>
      <c r="Z208" s="1406">
        <f>60800*Y208/100</f>
        <v>204.136</v>
      </c>
      <c r="AA208" s="1407">
        <v>0.5</v>
      </c>
      <c r="AB208" s="1407">
        <f t="shared" si="0"/>
        <v>304</v>
      </c>
      <c r="AC208" s="768">
        <v>0.2</v>
      </c>
      <c r="AD208" s="1408">
        <f t="shared" ref="AD208:AD373" si="329">X208*AC208/100</f>
        <v>121.6</v>
      </c>
      <c r="AE208" s="771">
        <v>20080205</v>
      </c>
      <c r="AF208" s="1409"/>
      <c r="AG208" s="819">
        <v>19200</v>
      </c>
      <c r="AH208" s="820">
        <f t="shared" ref="AH208:AH386" si="330">AG208*7/100</f>
        <v>1344</v>
      </c>
      <c r="AI208" s="821">
        <f t="shared" ref="AI208:AI386" si="331">AG208+AH208</f>
        <v>20544</v>
      </c>
      <c r="AJ208" s="822">
        <v>44048</v>
      </c>
      <c r="AK208" s="775"/>
      <c r="AL208" s="775"/>
      <c r="AM208" s="775"/>
      <c r="AN208" s="776" t="s">
        <v>4129</v>
      </c>
      <c r="AO208" s="777">
        <v>1</v>
      </c>
      <c r="AP208" s="778" t="s">
        <v>826</v>
      </c>
      <c r="AQ208" s="779" t="s">
        <v>3423</v>
      </c>
      <c r="AR208" s="779"/>
      <c r="AS208" s="780">
        <v>4</v>
      </c>
      <c r="AT208" s="781" t="s">
        <v>636</v>
      </c>
      <c r="AU208" s="777"/>
      <c r="AV208" s="784"/>
      <c r="AW208" s="777"/>
      <c r="AX208" s="777"/>
      <c r="AY208" s="777"/>
      <c r="AZ208" s="784"/>
      <c r="BA208" s="777"/>
      <c r="BB208" s="784"/>
      <c r="BC208" s="777"/>
      <c r="BD208" s="777"/>
      <c r="BE208" s="777"/>
      <c r="BF208" s="784"/>
      <c r="BG208" s="777"/>
      <c r="BH208" s="784"/>
      <c r="BI208" s="777"/>
      <c r="BJ208" s="777"/>
      <c r="BK208" s="777"/>
      <c r="BL208" s="784"/>
      <c r="BM208" s="777"/>
      <c r="BN208" s="784"/>
      <c r="BO208" s="777"/>
      <c r="BP208" s="777"/>
      <c r="BQ208" s="777"/>
      <c r="BR208" s="784"/>
      <c r="BS208" s="777"/>
      <c r="BT208" s="784"/>
      <c r="BU208" s="777"/>
      <c r="BV208" s="777"/>
      <c r="BW208" s="777"/>
      <c r="BX208" s="784"/>
      <c r="BY208" s="777"/>
      <c r="BZ208" s="784"/>
      <c r="CA208" s="777"/>
      <c r="CB208" s="777"/>
      <c r="CC208" s="777"/>
      <c r="CD208" s="784"/>
      <c r="CE208" s="777"/>
      <c r="CF208" s="784"/>
      <c r="CG208" s="777"/>
      <c r="CH208" s="777"/>
      <c r="CI208" s="777"/>
      <c r="CJ208" s="777"/>
    </row>
    <row r="209" spans="1:88" s="95" customFormat="1" x14ac:dyDescent="0.5">
      <c r="A209" s="785"/>
      <c r="B209" s="786"/>
      <c r="C209" s="1385"/>
      <c r="D209" s="1386"/>
      <c r="E209" s="907"/>
      <c r="F209" s="944"/>
      <c r="G209" s="945"/>
      <c r="H209" s="1387"/>
      <c r="I209" s="1388"/>
      <c r="J209" s="968"/>
      <c r="K209" s="802"/>
      <c r="L209" s="786"/>
      <c r="M209" s="786"/>
      <c r="N209" s="786"/>
      <c r="O209" s="791"/>
      <c r="P209" s="791"/>
      <c r="Q209" s="791"/>
      <c r="R209" s="1042"/>
      <c r="S209" s="924"/>
      <c r="T209" s="925"/>
      <c r="U209" s="926"/>
      <c r="V209" s="1393"/>
      <c r="W209" s="1394"/>
      <c r="X209" s="1395"/>
      <c r="Y209" s="1374"/>
      <c r="Z209" s="1374"/>
      <c r="AA209" s="1396"/>
      <c r="AB209" s="1396"/>
      <c r="AC209" s="799"/>
      <c r="AD209" s="1397"/>
      <c r="AE209" s="802">
        <v>20080206</v>
      </c>
      <c r="AF209" s="1398" t="s">
        <v>3423</v>
      </c>
      <c r="AG209" s="838">
        <v>44800</v>
      </c>
      <c r="AH209" s="1399">
        <f t="shared" si="330"/>
        <v>3136</v>
      </c>
      <c r="AI209" s="839">
        <f t="shared" si="331"/>
        <v>47936</v>
      </c>
      <c r="AJ209" s="840">
        <v>44078</v>
      </c>
      <c r="AK209" s="801"/>
      <c r="AL209" s="801"/>
      <c r="AM209" s="801"/>
      <c r="AN209" s="785" t="s">
        <v>4129</v>
      </c>
      <c r="AO209" s="806"/>
      <c r="AP209" s="807"/>
      <c r="AQ209" s="808"/>
      <c r="AR209" s="808"/>
      <c r="AS209" s="809"/>
      <c r="AT209" s="810"/>
      <c r="AU209" s="806"/>
      <c r="AV209" s="812"/>
      <c r="AW209" s="806"/>
      <c r="AX209" s="806"/>
      <c r="AY209" s="806"/>
      <c r="AZ209" s="812"/>
      <c r="BA209" s="806"/>
      <c r="BB209" s="812"/>
      <c r="BC209" s="806"/>
      <c r="BD209" s="806"/>
      <c r="BE209" s="806"/>
      <c r="BF209" s="812"/>
      <c r="BG209" s="806"/>
      <c r="BH209" s="812"/>
      <c r="BI209" s="806"/>
      <c r="BJ209" s="806"/>
      <c r="BK209" s="806"/>
      <c r="BL209" s="812"/>
      <c r="BM209" s="806"/>
      <c r="BN209" s="812"/>
      <c r="BO209" s="806"/>
      <c r="BP209" s="806"/>
      <c r="BQ209" s="806"/>
      <c r="BR209" s="812"/>
      <c r="BS209" s="806"/>
      <c r="BT209" s="812"/>
      <c r="BU209" s="806"/>
      <c r="BV209" s="806"/>
      <c r="BW209" s="806"/>
      <c r="BX209" s="812"/>
      <c r="BY209" s="806"/>
      <c r="BZ209" s="812"/>
      <c r="CA209" s="806"/>
      <c r="CB209" s="806"/>
      <c r="CC209" s="806"/>
      <c r="CD209" s="812"/>
      <c r="CE209" s="806"/>
      <c r="CF209" s="812"/>
      <c r="CG209" s="806"/>
      <c r="CH209" s="806"/>
      <c r="CI209" s="806"/>
      <c r="CJ209" s="806"/>
    </row>
    <row r="210" spans="1:88" s="95" customFormat="1" x14ac:dyDescent="0.5">
      <c r="A210" s="754">
        <v>20066597</v>
      </c>
      <c r="B210" s="755">
        <v>20060513</v>
      </c>
      <c r="C210" s="1389" t="s">
        <v>2077</v>
      </c>
      <c r="D210" s="1390" t="s">
        <v>2691</v>
      </c>
      <c r="E210" s="899">
        <v>23222</v>
      </c>
      <c r="F210" s="942"/>
      <c r="G210" s="943"/>
      <c r="H210" s="1391"/>
      <c r="I210" s="1392"/>
      <c r="J210" s="967"/>
      <c r="K210" s="782"/>
      <c r="L210" s="755" t="s">
        <v>4127</v>
      </c>
      <c r="M210" s="759" t="s">
        <v>3923</v>
      </c>
      <c r="N210" s="755" t="s">
        <v>1523</v>
      </c>
      <c r="O210" s="760">
        <v>386000</v>
      </c>
      <c r="P210" s="760">
        <f t="shared" si="323"/>
        <v>27020</v>
      </c>
      <c r="Q210" s="760">
        <f t="shared" ref="Q210:Q213" si="332">O210+P210</f>
        <v>413020</v>
      </c>
      <c r="R210" s="919"/>
      <c r="S210" s="1400" t="s">
        <v>3938</v>
      </c>
      <c r="T210" s="1401">
        <f t="shared" ref="T210" si="333">O210-R210</f>
        <v>386000</v>
      </c>
      <c r="U210" s="1402">
        <v>5</v>
      </c>
      <c r="V210" s="1403">
        <f t="shared" ref="V210" si="334">T210*U210/100</f>
        <v>19300</v>
      </c>
      <c r="W210" s="1404">
        <v>58.46</v>
      </c>
      <c r="X210" s="1405">
        <f t="shared" ref="X210" si="335">T210-V210</f>
        <v>366700</v>
      </c>
      <c r="Y210" s="1406">
        <f t="shared" si="328"/>
        <v>0.28849999999999998</v>
      </c>
      <c r="Z210" s="1406">
        <f>366700*0.29/100</f>
        <v>1063.4299999999998</v>
      </c>
      <c r="AA210" s="1407">
        <v>0.5</v>
      </c>
      <c r="AB210" s="1407">
        <f t="shared" ref="AB210" si="336">X210*AA210/100</f>
        <v>1833.5</v>
      </c>
      <c r="AC210" s="768">
        <v>0.2</v>
      </c>
      <c r="AD210" s="1408">
        <f t="shared" ref="AD210" si="337">X210*AC210/100</f>
        <v>733.4</v>
      </c>
      <c r="AE210" s="771">
        <v>20080207</v>
      </c>
      <c r="AF210" s="1409"/>
      <c r="AG210" s="819">
        <v>115800</v>
      </c>
      <c r="AH210" s="820">
        <f t="shared" si="330"/>
        <v>8106</v>
      </c>
      <c r="AI210" s="821">
        <f t="shared" ref="AI210:AI213" si="338">AG210+AH210</f>
        <v>123906</v>
      </c>
      <c r="AJ210" s="822">
        <v>44048</v>
      </c>
      <c r="AK210" s="775"/>
      <c r="AL210" s="775"/>
      <c r="AM210" s="775"/>
      <c r="AN210" s="776" t="s">
        <v>4129</v>
      </c>
      <c r="AO210" s="777">
        <v>1</v>
      </c>
      <c r="AP210" s="778" t="s">
        <v>826</v>
      </c>
      <c r="AQ210" s="779" t="s">
        <v>3423</v>
      </c>
      <c r="AR210" s="779"/>
      <c r="AS210" s="780">
        <v>2</v>
      </c>
      <c r="AT210" s="781" t="s">
        <v>636</v>
      </c>
      <c r="AU210" s="777">
        <v>2</v>
      </c>
      <c r="AV210" s="782" t="s">
        <v>3924</v>
      </c>
      <c r="AW210" s="780" t="s">
        <v>3423</v>
      </c>
      <c r="AX210" s="780"/>
      <c r="AY210" s="780">
        <v>3</v>
      </c>
      <c r="AZ210" s="783" t="s">
        <v>636</v>
      </c>
      <c r="BA210" s="777"/>
      <c r="BB210" s="784"/>
      <c r="BC210" s="777"/>
      <c r="BD210" s="777"/>
      <c r="BE210" s="777"/>
      <c r="BF210" s="784"/>
      <c r="BG210" s="777"/>
      <c r="BH210" s="784"/>
      <c r="BI210" s="777"/>
      <c r="BJ210" s="777"/>
      <c r="BK210" s="777"/>
      <c r="BL210" s="784"/>
      <c r="BM210" s="777"/>
      <c r="BN210" s="784"/>
      <c r="BO210" s="777"/>
      <c r="BP210" s="777"/>
      <c r="BQ210" s="777"/>
      <c r="BR210" s="784"/>
      <c r="BS210" s="777"/>
      <c r="BT210" s="784"/>
      <c r="BU210" s="777"/>
      <c r="BV210" s="777"/>
      <c r="BW210" s="777"/>
      <c r="BX210" s="784"/>
      <c r="BY210" s="777"/>
      <c r="BZ210" s="784"/>
      <c r="CA210" s="777"/>
      <c r="CB210" s="777"/>
      <c r="CC210" s="777"/>
      <c r="CD210" s="784"/>
      <c r="CE210" s="777"/>
      <c r="CF210" s="784"/>
      <c r="CG210" s="777"/>
      <c r="CH210" s="777"/>
      <c r="CI210" s="777"/>
      <c r="CJ210" s="777"/>
    </row>
    <row r="211" spans="1:88" s="95" customFormat="1" x14ac:dyDescent="0.5">
      <c r="A211" s="785"/>
      <c r="B211" s="786"/>
      <c r="C211" s="1385"/>
      <c r="D211" s="1386"/>
      <c r="E211" s="907"/>
      <c r="F211" s="944"/>
      <c r="G211" s="945"/>
      <c r="H211" s="1387"/>
      <c r="I211" s="1388"/>
      <c r="J211" s="968"/>
      <c r="K211" s="802"/>
      <c r="L211" s="786"/>
      <c r="M211" s="790"/>
      <c r="N211" s="786"/>
      <c r="O211" s="791"/>
      <c r="P211" s="791"/>
      <c r="Q211" s="791"/>
      <c r="R211" s="1042"/>
      <c r="S211" s="924"/>
      <c r="T211" s="925"/>
      <c r="U211" s="926"/>
      <c r="V211" s="1393"/>
      <c r="W211" s="1394"/>
      <c r="X211" s="1395"/>
      <c r="Y211" s="1374"/>
      <c r="Z211" s="1374"/>
      <c r="AA211" s="1396"/>
      <c r="AB211" s="1396"/>
      <c r="AC211" s="799"/>
      <c r="AD211" s="1397"/>
      <c r="AE211" s="802">
        <v>20080208</v>
      </c>
      <c r="AF211" s="1398" t="s">
        <v>3423</v>
      </c>
      <c r="AG211" s="838">
        <v>163969.60000000001</v>
      </c>
      <c r="AH211" s="1399">
        <f t="shared" si="330"/>
        <v>11477.871999999999</v>
      </c>
      <c r="AI211" s="839">
        <f t="shared" si="338"/>
        <v>175447.47200000001</v>
      </c>
      <c r="AJ211" s="840">
        <v>44078</v>
      </c>
      <c r="AK211" s="801"/>
      <c r="AL211" s="801"/>
      <c r="AM211" s="801"/>
      <c r="AN211" s="785" t="s">
        <v>4129</v>
      </c>
      <c r="AO211" s="806"/>
      <c r="AP211" s="807"/>
      <c r="AQ211" s="808"/>
      <c r="AR211" s="808"/>
      <c r="AS211" s="809"/>
      <c r="AT211" s="810"/>
      <c r="AU211" s="806"/>
      <c r="AV211" s="802"/>
      <c r="AW211" s="809"/>
      <c r="AX211" s="809"/>
      <c r="AY211" s="809"/>
      <c r="AZ211" s="811"/>
      <c r="BA211" s="806"/>
      <c r="BB211" s="812"/>
      <c r="BC211" s="806"/>
      <c r="BD211" s="806"/>
      <c r="BE211" s="806"/>
      <c r="BF211" s="812"/>
      <c r="BG211" s="806"/>
      <c r="BH211" s="812"/>
      <c r="BI211" s="806"/>
      <c r="BJ211" s="806"/>
      <c r="BK211" s="806"/>
      <c r="BL211" s="812"/>
      <c r="BM211" s="806"/>
      <c r="BN211" s="812"/>
      <c r="BO211" s="806"/>
      <c r="BP211" s="806"/>
      <c r="BQ211" s="806"/>
      <c r="BR211" s="812"/>
      <c r="BS211" s="806"/>
      <c r="BT211" s="812"/>
      <c r="BU211" s="806"/>
      <c r="BV211" s="806"/>
      <c r="BW211" s="806"/>
      <c r="BX211" s="812"/>
      <c r="BY211" s="806"/>
      <c r="BZ211" s="812"/>
      <c r="CA211" s="806"/>
      <c r="CB211" s="806"/>
      <c r="CC211" s="806"/>
      <c r="CD211" s="812"/>
      <c r="CE211" s="806"/>
      <c r="CF211" s="812"/>
      <c r="CG211" s="806"/>
      <c r="CH211" s="806"/>
      <c r="CI211" s="806"/>
      <c r="CJ211" s="806"/>
    </row>
    <row r="212" spans="1:88" x14ac:dyDescent="0.5">
      <c r="A212" s="227">
        <v>20066596</v>
      </c>
      <c r="B212" s="22">
        <v>20060481</v>
      </c>
      <c r="C212" s="55"/>
      <c r="D212" s="56"/>
      <c r="E212" s="910"/>
      <c r="F212" s="57"/>
      <c r="G212" s="58"/>
      <c r="H212" s="59"/>
      <c r="I212" s="60"/>
      <c r="J212" s="269"/>
      <c r="K212" s="59"/>
      <c r="L212" s="22" t="s">
        <v>2684</v>
      </c>
      <c r="M212" s="28" t="s">
        <v>2516</v>
      </c>
      <c r="N212" s="22" t="s">
        <v>51</v>
      </c>
      <c r="O212" s="29">
        <v>12700</v>
      </c>
      <c r="P212" s="29">
        <f t="shared" si="323"/>
        <v>889</v>
      </c>
      <c r="Q212" s="29">
        <f t="shared" si="332"/>
        <v>13589</v>
      </c>
      <c r="R212" s="61"/>
      <c r="S212" s="96"/>
      <c r="T212" s="97"/>
      <c r="U212" s="98"/>
      <c r="V212" s="1225"/>
      <c r="W212" s="1225"/>
      <c r="X212" s="100"/>
      <c r="Y212" s="1225"/>
      <c r="Z212" s="1225"/>
      <c r="AA212" s="1225"/>
      <c r="AB212" s="1225"/>
      <c r="AC212" s="100"/>
      <c r="AD212" s="595"/>
      <c r="AE212" s="40">
        <v>20060167</v>
      </c>
      <c r="AF212" s="1186" t="s">
        <v>3423</v>
      </c>
      <c r="AG212" s="41">
        <v>12700</v>
      </c>
      <c r="AH212" s="63">
        <f t="shared" si="330"/>
        <v>889</v>
      </c>
      <c r="AI212" s="52">
        <f t="shared" si="338"/>
        <v>13589</v>
      </c>
      <c r="AJ212" s="53">
        <v>44027</v>
      </c>
      <c r="AK212" s="39" t="s">
        <v>3423</v>
      </c>
      <c r="AL212" s="39"/>
      <c r="AM212" s="39"/>
      <c r="AN212" s="21" t="s">
        <v>4354</v>
      </c>
      <c r="AO212" s="1373">
        <v>1</v>
      </c>
      <c r="AP212" s="45" t="s">
        <v>3908</v>
      </c>
      <c r="AQ212" s="46"/>
      <c r="AR212" s="46"/>
      <c r="AS212" s="47">
        <v>1</v>
      </c>
      <c r="AT212" s="48" t="s">
        <v>628</v>
      </c>
      <c r="AU212" s="1411"/>
      <c r="AV212" s="54"/>
      <c r="AW212" s="1411"/>
      <c r="AX212" s="1411"/>
      <c r="AY212" s="1411"/>
      <c r="AZ212" s="54"/>
      <c r="BA212" s="1411"/>
      <c r="BB212" s="54"/>
      <c r="BC212" s="1411"/>
      <c r="BD212" s="1411"/>
      <c r="BE212" s="1411"/>
      <c r="BF212" s="54"/>
      <c r="BG212" s="1411"/>
      <c r="BH212" s="54"/>
      <c r="BI212" s="1411"/>
      <c r="BJ212" s="1411"/>
      <c r="BK212" s="1411"/>
      <c r="BL212" s="54"/>
      <c r="BM212" s="1411"/>
      <c r="BN212" s="54"/>
      <c r="BO212" s="1411"/>
      <c r="BP212" s="1411"/>
      <c r="BQ212" s="1411"/>
      <c r="BR212" s="54"/>
      <c r="BS212" s="1411"/>
      <c r="BT212" s="54"/>
      <c r="BU212" s="1411"/>
      <c r="BV212" s="1411"/>
      <c r="BW212" s="1411"/>
      <c r="BX212" s="54"/>
      <c r="BY212" s="1411"/>
      <c r="BZ212" s="54"/>
      <c r="CA212" s="1411"/>
      <c r="CB212" s="1411"/>
      <c r="CC212" s="1411"/>
      <c r="CD212" s="54"/>
      <c r="CE212" s="1411"/>
      <c r="CF212" s="54"/>
      <c r="CG212" s="1411"/>
      <c r="CH212" s="1411"/>
      <c r="CI212" s="1411"/>
      <c r="CJ212" s="1411"/>
    </row>
    <row r="213" spans="1:88" x14ac:dyDescent="0.5">
      <c r="A213" s="227">
        <v>20066595</v>
      </c>
      <c r="B213" s="22">
        <v>20060480</v>
      </c>
      <c r="C213" s="55"/>
      <c r="D213" s="56"/>
      <c r="E213" s="910"/>
      <c r="F213" s="57"/>
      <c r="G213" s="58"/>
      <c r="H213" s="59"/>
      <c r="I213" s="60"/>
      <c r="J213" s="269"/>
      <c r="K213" s="59"/>
      <c r="L213" s="22" t="s">
        <v>2681</v>
      </c>
      <c r="M213" s="28" t="s">
        <v>3906</v>
      </c>
      <c r="N213" s="22" t="s">
        <v>51</v>
      </c>
      <c r="O213" s="29">
        <v>10000</v>
      </c>
      <c r="P213" s="29">
        <f t="shared" si="323"/>
        <v>700</v>
      </c>
      <c r="Q213" s="29">
        <f t="shared" si="332"/>
        <v>10700</v>
      </c>
      <c r="R213" s="61"/>
      <c r="S213" s="96"/>
      <c r="T213" s="97"/>
      <c r="U213" s="98"/>
      <c r="V213" s="1225"/>
      <c r="W213" s="1225"/>
      <c r="X213" s="100"/>
      <c r="Y213" s="1225"/>
      <c r="Z213" s="1225"/>
      <c r="AA213" s="1225"/>
      <c r="AB213" s="1225"/>
      <c r="AC213" s="100"/>
      <c r="AD213" s="595"/>
      <c r="AE213" s="40">
        <v>20060157</v>
      </c>
      <c r="AF213" s="1186" t="s">
        <v>3423</v>
      </c>
      <c r="AG213" s="41">
        <v>10000</v>
      </c>
      <c r="AH213" s="63">
        <f t="shared" si="330"/>
        <v>700</v>
      </c>
      <c r="AI213" s="52">
        <f t="shared" si="338"/>
        <v>10700</v>
      </c>
      <c r="AJ213" s="53">
        <v>44023</v>
      </c>
      <c r="AK213" s="39" t="s">
        <v>3423</v>
      </c>
      <c r="AL213" s="39"/>
      <c r="AM213" s="39"/>
      <c r="AN213" s="21" t="s">
        <v>4329</v>
      </c>
      <c r="AO213" s="1373">
        <v>1</v>
      </c>
      <c r="AP213" s="45" t="s">
        <v>3907</v>
      </c>
      <c r="AQ213" s="46"/>
      <c r="AR213" s="46"/>
      <c r="AS213" s="47">
        <v>2</v>
      </c>
      <c r="AT213" s="48" t="s">
        <v>628</v>
      </c>
      <c r="AU213" s="1410"/>
      <c r="AV213" s="54"/>
      <c r="AW213" s="1410"/>
      <c r="AX213" s="1410"/>
      <c r="AY213" s="1410"/>
      <c r="AZ213" s="54"/>
      <c r="BA213" s="1410"/>
      <c r="BB213" s="54"/>
      <c r="BC213" s="1410"/>
      <c r="BD213" s="1410"/>
      <c r="BE213" s="1410"/>
      <c r="BF213" s="54"/>
      <c r="BG213" s="1410"/>
      <c r="BH213" s="54"/>
      <c r="BI213" s="1410"/>
      <c r="BJ213" s="1410"/>
      <c r="BK213" s="1410"/>
      <c r="BL213" s="54"/>
      <c r="BM213" s="1410"/>
      <c r="BN213" s="54"/>
      <c r="BO213" s="1410"/>
      <c r="BP213" s="1410"/>
      <c r="BQ213" s="1410"/>
      <c r="BR213" s="54"/>
      <c r="BS213" s="1410"/>
      <c r="BT213" s="54"/>
      <c r="BU213" s="1410"/>
      <c r="BV213" s="1410"/>
      <c r="BW213" s="1410"/>
      <c r="BX213" s="54"/>
      <c r="BY213" s="1410"/>
      <c r="BZ213" s="54"/>
      <c r="CA213" s="1410"/>
      <c r="CB213" s="1410"/>
      <c r="CC213" s="1410"/>
      <c r="CD213" s="54"/>
      <c r="CE213" s="1410"/>
      <c r="CF213" s="54"/>
      <c r="CG213" s="1410"/>
      <c r="CH213" s="1410"/>
      <c r="CI213" s="1410"/>
      <c r="CJ213" s="1410"/>
    </row>
    <row r="214" spans="1:88" x14ac:dyDescent="0.5">
      <c r="A214" s="259">
        <v>20066594</v>
      </c>
      <c r="B214" s="104">
        <v>20060479</v>
      </c>
      <c r="C214" s="1243" t="s">
        <v>1363</v>
      </c>
      <c r="D214" s="1244" t="s">
        <v>2691</v>
      </c>
      <c r="E214" s="302">
        <v>44005</v>
      </c>
      <c r="F214" s="936" t="s">
        <v>3368</v>
      </c>
      <c r="G214" s="937" t="s">
        <v>2077</v>
      </c>
      <c r="H214" s="302">
        <v>44007</v>
      </c>
      <c r="I214" s="1124">
        <v>63156</v>
      </c>
      <c r="J214" s="960" t="s">
        <v>3423</v>
      </c>
      <c r="K214" s="965">
        <v>44009</v>
      </c>
      <c r="L214" s="104" t="s">
        <v>3904</v>
      </c>
      <c r="M214" s="104" t="s">
        <v>3905</v>
      </c>
      <c r="N214" s="104" t="s">
        <v>50</v>
      </c>
      <c r="O214" s="111">
        <v>107500</v>
      </c>
      <c r="P214" s="111">
        <f t="shared" ref="P214:P233" si="339">O214*7/100</f>
        <v>7525</v>
      </c>
      <c r="Q214" s="111">
        <f t="shared" si="324"/>
        <v>115025</v>
      </c>
      <c r="R214" s="311">
        <v>16000</v>
      </c>
      <c r="S214" s="113" t="s">
        <v>3934</v>
      </c>
      <c r="T214" s="114">
        <f t="shared" si="325"/>
        <v>91500</v>
      </c>
      <c r="U214" s="167"/>
      <c r="V214" s="1252">
        <v>15000</v>
      </c>
      <c r="W214" s="1245">
        <v>58.52</v>
      </c>
      <c r="X214" s="1246">
        <f t="shared" si="327"/>
        <v>76500</v>
      </c>
      <c r="Y214" s="1247">
        <f t="shared" ref="Y214" si="340">SUM((50-W214)/(100)*(2.5)+(0.5))</f>
        <v>0.28699999999999992</v>
      </c>
      <c r="Z214" s="1247">
        <f>X214*0.29/100</f>
        <v>221.85</v>
      </c>
      <c r="AA214" s="1265">
        <v>0.7</v>
      </c>
      <c r="AB214" s="1265">
        <f t="shared" si="0"/>
        <v>535.5</v>
      </c>
      <c r="AC214" s="119">
        <v>0.2</v>
      </c>
      <c r="AD214" s="1248">
        <f t="shared" si="329"/>
        <v>153</v>
      </c>
      <c r="AE214" s="229">
        <v>20060156</v>
      </c>
      <c r="AF214" s="1313"/>
      <c r="AG214" s="230">
        <v>53750</v>
      </c>
      <c r="AH214" s="233">
        <f t="shared" ref="AH214:AH233" si="341">AG214*7/100</f>
        <v>3762.5</v>
      </c>
      <c r="AI214" s="220">
        <f t="shared" si="331"/>
        <v>57512.5</v>
      </c>
      <c r="AJ214" s="221">
        <v>43993</v>
      </c>
      <c r="AK214" s="121" t="s">
        <v>3423</v>
      </c>
      <c r="AL214" s="121"/>
      <c r="AM214" s="121"/>
      <c r="AN214" s="222" t="s">
        <v>4002</v>
      </c>
      <c r="AO214" s="128">
        <v>1</v>
      </c>
      <c r="AP214" s="129" t="s">
        <v>1316</v>
      </c>
      <c r="AQ214" s="130"/>
      <c r="AR214" s="130" t="s">
        <v>3423</v>
      </c>
      <c r="AS214" s="131">
        <v>1</v>
      </c>
      <c r="AT214" s="132" t="s">
        <v>634</v>
      </c>
      <c r="AU214" s="128"/>
      <c r="AV214" s="133"/>
      <c r="AW214" s="128"/>
      <c r="AX214" s="128"/>
      <c r="AY214" s="128"/>
      <c r="AZ214" s="133"/>
      <c r="BA214" s="128"/>
      <c r="BB214" s="133"/>
      <c r="BC214" s="128"/>
      <c r="BD214" s="128"/>
      <c r="BE214" s="128"/>
      <c r="BF214" s="133"/>
      <c r="BG214" s="128"/>
      <c r="BH214" s="133"/>
      <c r="BI214" s="128"/>
      <c r="BJ214" s="128"/>
      <c r="BK214" s="128"/>
      <c r="BL214" s="133"/>
      <c r="BM214" s="128"/>
      <c r="BN214" s="133"/>
      <c r="BO214" s="128"/>
      <c r="BP214" s="128"/>
      <c r="BQ214" s="128"/>
      <c r="BR214" s="133"/>
      <c r="BS214" s="128"/>
      <c r="BT214" s="133"/>
      <c r="BU214" s="128"/>
      <c r="BV214" s="128"/>
      <c r="BW214" s="128"/>
      <c r="BX214" s="133"/>
      <c r="BY214" s="128"/>
      <c r="BZ214" s="133"/>
      <c r="CA214" s="128"/>
      <c r="CB214" s="128"/>
      <c r="CC214" s="128"/>
      <c r="CD214" s="133"/>
      <c r="CE214" s="128"/>
      <c r="CF214" s="133"/>
      <c r="CG214" s="128"/>
      <c r="CH214" s="128"/>
      <c r="CI214" s="128"/>
      <c r="CJ214" s="128"/>
    </row>
    <row r="215" spans="1:88" x14ac:dyDescent="0.5">
      <c r="A215" s="268"/>
      <c r="B215" s="181"/>
      <c r="C215" s="1236"/>
      <c r="D215" s="1237"/>
      <c r="E215" s="749"/>
      <c r="F215" s="938"/>
      <c r="G215" s="939"/>
      <c r="H215" s="304"/>
      <c r="I215" s="1125"/>
      <c r="J215" s="961"/>
      <c r="K215" s="200"/>
      <c r="L215" s="181"/>
      <c r="M215" s="188"/>
      <c r="N215" s="181"/>
      <c r="O215" s="189"/>
      <c r="P215" s="189"/>
      <c r="Q215" s="189"/>
      <c r="R215" s="190"/>
      <c r="S215" s="215"/>
      <c r="T215" s="216"/>
      <c r="U215" s="193"/>
      <c r="V215" s="1253"/>
      <c r="W215" s="1238"/>
      <c r="X215" s="1239"/>
      <c r="Y215" s="1240"/>
      <c r="Z215" s="1240"/>
      <c r="AA215" s="1263"/>
      <c r="AB215" s="1263"/>
      <c r="AC215" s="197"/>
      <c r="AD215" s="1241"/>
      <c r="AE215" s="200">
        <v>20060171</v>
      </c>
      <c r="AF215" s="1242" t="s">
        <v>3423</v>
      </c>
      <c r="AG215" s="201">
        <v>53750</v>
      </c>
      <c r="AH215" s="237">
        <f t="shared" si="341"/>
        <v>3762.5</v>
      </c>
      <c r="AI215" s="202">
        <f t="shared" si="331"/>
        <v>57512.5</v>
      </c>
      <c r="AJ215" s="203">
        <v>44005</v>
      </c>
      <c r="AK215" s="199" t="s">
        <v>3423</v>
      </c>
      <c r="AL215" s="199"/>
      <c r="AM215" s="199"/>
      <c r="AN215" s="180" t="s">
        <v>3986</v>
      </c>
      <c r="AO215" s="204"/>
      <c r="AP215" s="205"/>
      <c r="AQ215" s="206"/>
      <c r="AR215" s="206"/>
      <c r="AS215" s="207"/>
      <c r="AT215" s="208"/>
      <c r="AU215" s="204"/>
      <c r="AV215" s="210"/>
      <c r="AW215" s="204"/>
      <c r="AX215" s="204"/>
      <c r="AY215" s="204"/>
      <c r="AZ215" s="210"/>
      <c r="BA215" s="204"/>
      <c r="BB215" s="210"/>
      <c r="BC215" s="204"/>
      <c r="BD215" s="204"/>
      <c r="BE215" s="204"/>
      <c r="BF215" s="210"/>
      <c r="BG215" s="204"/>
      <c r="BH215" s="210"/>
      <c r="BI215" s="204"/>
      <c r="BJ215" s="204"/>
      <c r="BK215" s="204"/>
      <c r="BL215" s="210"/>
      <c r="BM215" s="204"/>
      <c r="BN215" s="210"/>
      <c r="BO215" s="204"/>
      <c r="BP215" s="204"/>
      <c r="BQ215" s="204"/>
      <c r="BR215" s="210"/>
      <c r="BS215" s="204"/>
      <c r="BT215" s="210"/>
      <c r="BU215" s="204"/>
      <c r="BV215" s="204"/>
      <c r="BW215" s="204"/>
      <c r="BX215" s="210"/>
      <c r="BY215" s="204"/>
      <c r="BZ215" s="210"/>
      <c r="CA215" s="204"/>
      <c r="CB215" s="204"/>
      <c r="CC215" s="204"/>
      <c r="CD215" s="210"/>
      <c r="CE215" s="204"/>
      <c r="CF215" s="210"/>
      <c r="CG215" s="204"/>
      <c r="CH215" s="204"/>
      <c r="CI215" s="204"/>
      <c r="CJ215" s="204"/>
    </row>
    <row r="216" spans="1:88" x14ac:dyDescent="0.5">
      <c r="A216" s="259">
        <v>20066593</v>
      </c>
      <c r="B216" s="104">
        <v>20060478</v>
      </c>
      <c r="C216" s="1243" t="s">
        <v>1364</v>
      </c>
      <c r="D216" s="1244" t="s">
        <v>2691</v>
      </c>
      <c r="E216" s="302">
        <v>44002</v>
      </c>
      <c r="F216" s="936" t="s">
        <v>3368</v>
      </c>
      <c r="G216" s="937" t="s">
        <v>2130</v>
      </c>
      <c r="H216" s="914">
        <v>44011</v>
      </c>
      <c r="I216" s="1315">
        <v>63161</v>
      </c>
      <c r="J216" s="960" t="s">
        <v>3423</v>
      </c>
      <c r="K216" s="965">
        <v>44012</v>
      </c>
      <c r="L216" s="104" t="s">
        <v>4127</v>
      </c>
      <c r="M216" s="110" t="s">
        <v>3898</v>
      </c>
      <c r="N216" s="104" t="s">
        <v>1523</v>
      </c>
      <c r="O216" s="111">
        <v>148000</v>
      </c>
      <c r="P216" s="111">
        <f t="shared" ref="P216:P230" si="342">O216*7/100</f>
        <v>10360</v>
      </c>
      <c r="Q216" s="111">
        <f t="shared" ref="Q216:Q230" si="343">O216+P216</f>
        <v>158360</v>
      </c>
      <c r="R216" s="212"/>
      <c r="S216" s="113" t="s">
        <v>3939</v>
      </c>
      <c r="T216" s="114">
        <f t="shared" ref="T216:T227" si="344">O216-R216</f>
        <v>148000</v>
      </c>
      <c r="U216" s="115">
        <v>5</v>
      </c>
      <c r="V216" s="1252">
        <f t="shared" ref="V216:V225" si="345">T216*U216/100</f>
        <v>7400</v>
      </c>
      <c r="W216" s="1245">
        <v>54.61</v>
      </c>
      <c r="X216" s="1246">
        <f t="shared" ref="X216:X227" si="346">T216-V216</f>
        <v>140600</v>
      </c>
      <c r="Y216" s="1247">
        <f t="shared" ref="Y216:Y227" si="347">SUM((50-W216)/(100)*(2.5)+(0.5))</f>
        <v>0.38475000000000004</v>
      </c>
      <c r="Z216" s="1247">
        <f>140600*0.38/100</f>
        <v>534.28</v>
      </c>
      <c r="AA216" s="1265">
        <v>0.5</v>
      </c>
      <c r="AB216" s="1265">
        <f t="shared" ref="AB216:AB227" si="348">X216*AA216/100</f>
        <v>703</v>
      </c>
      <c r="AC216" s="119">
        <v>0.2</v>
      </c>
      <c r="AD216" s="1248">
        <f t="shared" ref="AD216:AD227" si="349">X216*AC216/100</f>
        <v>281.2</v>
      </c>
      <c r="AE216" s="229" t="s">
        <v>3897</v>
      </c>
      <c r="AF216" s="1313"/>
      <c r="AG216" s="230">
        <v>44400</v>
      </c>
      <c r="AH216" s="233">
        <f t="shared" ref="AH216:AH231" si="350">AG216*7/100</f>
        <v>3108</v>
      </c>
      <c r="AI216" s="220">
        <f t="shared" ref="AI216:AI231" si="351">AG216+AH216</f>
        <v>47508</v>
      </c>
      <c r="AJ216" s="221">
        <v>43992</v>
      </c>
      <c r="AK216" s="121" t="s">
        <v>3423</v>
      </c>
      <c r="AL216" s="121"/>
      <c r="AM216" s="121"/>
      <c r="AN216" s="979" t="s">
        <v>4115</v>
      </c>
      <c r="AO216" s="128">
        <v>1</v>
      </c>
      <c r="AP216" s="129" t="s">
        <v>3899</v>
      </c>
      <c r="AQ216" s="130"/>
      <c r="AR216" s="130" t="s">
        <v>3423</v>
      </c>
      <c r="AS216" s="131">
        <v>2</v>
      </c>
      <c r="AT216" s="132" t="s">
        <v>634</v>
      </c>
      <c r="AU216" s="128">
        <v>2</v>
      </c>
      <c r="AV216" s="123" t="s">
        <v>3900</v>
      </c>
      <c r="AW216" s="131"/>
      <c r="AX216" s="131" t="s">
        <v>3423</v>
      </c>
      <c r="AY216" s="131">
        <v>2</v>
      </c>
      <c r="AZ216" s="169" t="s">
        <v>634</v>
      </c>
      <c r="BA216" s="128"/>
      <c r="BB216" s="133"/>
      <c r="BC216" s="128"/>
      <c r="BD216" s="128"/>
      <c r="BE216" s="128"/>
      <c r="BF216" s="133"/>
      <c r="BG216" s="128"/>
      <c r="BH216" s="133"/>
      <c r="BI216" s="128"/>
      <c r="BJ216" s="128"/>
      <c r="BK216" s="128"/>
      <c r="BL216" s="133"/>
      <c r="BM216" s="128"/>
      <c r="BN216" s="133"/>
      <c r="BO216" s="128"/>
      <c r="BP216" s="128"/>
      <c r="BQ216" s="128"/>
      <c r="BR216" s="133"/>
      <c r="BS216" s="128"/>
      <c r="BT216" s="133"/>
      <c r="BU216" s="128"/>
      <c r="BV216" s="128"/>
      <c r="BW216" s="128"/>
      <c r="BX216" s="133"/>
      <c r="BY216" s="128"/>
      <c r="BZ216" s="133"/>
      <c r="CA216" s="128"/>
      <c r="CB216" s="128"/>
      <c r="CC216" s="128"/>
      <c r="CD216" s="133"/>
      <c r="CE216" s="128"/>
      <c r="CF216" s="133"/>
      <c r="CG216" s="128"/>
      <c r="CH216" s="128"/>
      <c r="CI216" s="128"/>
      <c r="CJ216" s="128"/>
    </row>
    <row r="217" spans="1:88" x14ac:dyDescent="0.5">
      <c r="A217" s="262"/>
      <c r="B217" s="135"/>
      <c r="C217" s="1290"/>
      <c r="D217" s="1291"/>
      <c r="E217" s="906"/>
      <c r="F217" s="940"/>
      <c r="G217" s="941"/>
      <c r="H217" s="1316">
        <v>44011</v>
      </c>
      <c r="I217" s="1317">
        <v>63162</v>
      </c>
      <c r="J217" s="963"/>
      <c r="K217" s="154"/>
      <c r="L217" s="135"/>
      <c r="M217" s="141"/>
      <c r="N217" s="135"/>
      <c r="O217" s="142"/>
      <c r="P217" s="142"/>
      <c r="Q217" s="142"/>
      <c r="R217" s="213"/>
      <c r="S217" s="144"/>
      <c r="T217" s="145"/>
      <c r="U217" s="146"/>
      <c r="V217" s="1292"/>
      <c r="W217" s="1293"/>
      <c r="X217" s="1294"/>
      <c r="Y217" s="1295"/>
      <c r="Z217" s="1295"/>
      <c r="AA217" s="1308"/>
      <c r="AB217" s="1308"/>
      <c r="AC217" s="150"/>
      <c r="AD217" s="1297"/>
      <c r="AE217" s="154">
        <v>20060179</v>
      </c>
      <c r="AF217" s="1298" t="s">
        <v>3423</v>
      </c>
      <c r="AG217" s="155">
        <v>103600</v>
      </c>
      <c r="AH217" s="253">
        <f t="shared" si="350"/>
        <v>7252</v>
      </c>
      <c r="AI217" s="156">
        <f t="shared" si="351"/>
        <v>110852</v>
      </c>
      <c r="AJ217" s="157">
        <v>44041</v>
      </c>
      <c r="AK217" s="152" t="s">
        <v>3423</v>
      </c>
      <c r="AL217" s="152"/>
      <c r="AM217" s="152"/>
      <c r="AN217" s="842" t="s">
        <v>4092</v>
      </c>
      <c r="AO217" s="158"/>
      <c r="AP217" s="159"/>
      <c r="AQ217" s="160"/>
      <c r="AR217" s="160"/>
      <c r="AS217" s="161"/>
      <c r="AT217" s="162"/>
      <c r="AU217" s="158"/>
      <c r="AV217" s="154"/>
      <c r="AW217" s="161"/>
      <c r="AX217" s="161"/>
      <c r="AY217" s="161"/>
      <c r="AZ217" s="177"/>
      <c r="BA217" s="158"/>
      <c r="BB217" s="163"/>
      <c r="BC217" s="158"/>
      <c r="BD217" s="158"/>
      <c r="BE217" s="158"/>
      <c r="BF217" s="163"/>
      <c r="BG217" s="158"/>
      <c r="BH217" s="163"/>
      <c r="BI217" s="158"/>
      <c r="BJ217" s="158"/>
      <c r="BK217" s="158"/>
      <c r="BL217" s="163"/>
      <c r="BM217" s="158"/>
      <c r="BN217" s="163"/>
      <c r="BO217" s="158"/>
      <c r="BP217" s="158"/>
      <c r="BQ217" s="158"/>
      <c r="BR217" s="163"/>
      <c r="BS217" s="158"/>
      <c r="BT217" s="163"/>
      <c r="BU217" s="158"/>
      <c r="BV217" s="158"/>
      <c r="BW217" s="158"/>
      <c r="BX217" s="163"/>
      <c r="BY217" s="158"/>
      <c r="BZ217" s="163"/>
      <c r="CA217" s="158"/>
      <c r="CB217" s="158"/>
      <c r="CC217" s="158"/>
      <c r="CD217" s="163"/>
      <c r="CE217" s="158"/>
      <c r="CF217" s="163"/>
      <c r="CG217" s="158"/>
      <c r="CH217" s="158"/>
      <c r="CI217" s="158"/>
      <c r="CJ217" s="158"/>
    </row>
    <row r="218" spans="1:88" x14ac:dyDescent="0.5">
      <c r="A218" s="262"/>
      <c r="B218" s="135"/>
      <c r="C218" s="1290"/>
      <c r="D218" s="1291"/>
      <c r="E218" s="906"/>
      <c r="F218" s="940"/>
      <c r="G218" s="941"/>
      <c r="H218" s="906">
        <v>44011</v>
      </c>
      <c r="I218" s="1138">
        <v>63163</v>
      </c>
      <c r="J218" s="963"/>
      <c r="K218" s="154"/>
      <c r="L218" s="135"/>
      <c r="M218" s="141"/>
      <c r="N218" s="135"/>
      <c r="O218" s="142"/>
      <c r="P218" s="142"/>
      <c r="Q218" s="142"/>
      <c r="R218" s="213"/>
      <c r="S218" s="144"/>
      <c r="T218" s="145"/>
      <c r="U218" s="146"/>
      <c r="V218" s="1292"/>
      <c r="W218" s="1293"/>
      <c r="X218" s="1294"/>
      <c r="Y218" s="1295"/>
      <c r="Z218" s="1295"/>
      <c r="AA218" s="1308"/>
      <c r="AB218" s="1308"/>
      <c r="AC218" s="150"/>
      <c r="AD218" s="1297"/>
      <c r="AE218" s="154"/>
      <c r="AF218" s="1298"/>
      <c r="AG218" s="155"/>
      <c r="AH218" s="253"/>
      <c r="AI218" s="156"/>
      <c r="AJ218" s="157"/>
      <c r="AK218" s="152"/>
      <c r="AL218" s="152"/>
      <c r="AM218" s="152"/>
      <c r="AN218" s="842"/>
      <c r="AO218" s="158"/>
      <c r="AP218" s="159"/>
      <c r="AQ218" s="160"/>
      <c r="AR218" s="160"/>
      <c r="AS218" s="161"/>
      <c r="AT218" s="162"/>
      <c r="AU218" s="158"/>
      <c r="AV218" s="154"/>
      <c r="AW218" s="161"/>
      <c r="AX218" s="161"/>
      <c r="AY218" s="161"/>
      <c r="AZ218" s="177"/>
      <c r="BA218" s="158"/>
      <c r="BB218" s="163"/>
      <c r="BC218" s="158"/>
      <c r="BD218" s="158"/>
      <c r="BE218" s="158"/>
      <c r="BF218" s="163"/>
      <c r="BG218" s="158"/>
      <c r="BH218" s="163"/>
      <c r="BI218" s="158"/>
      <c r="BJ218" s="158"/>
      <c r="BK218" s="158"/>
      <c r="BL218" s="163"/>
      <c r="BM218" s="158"/>
      <c r="BN218" s="163"/>
      <c r="BO218" s="158"/>
      <c r="BP218" s="158"/>
      <c r="BQ218" s="158"/>
      <c r="BR218" s="163"/>
      <c r="BS218" s="158"/>
      <c r="BT218" s="163"/>
      <c r="BU218" s="158"/>
      <c r="BV218" s="158"/>
      <c r="BW218" s="158"/>
      <c r="BX218" s="163"/>
      <c r="BY218" s="158"/>
      <c r="BZ218" s="163"/>
      <c r="CA218" s="158"/>
      <c r="CB218" s="158"/>
      <c r="CC218" s="158"/>
      <c r="CD218" s="163"/>
      <c r="CE218" s="158"/>
      <c r="CF218" s="163"/>
      <c r="CG218" s="158"/>
      <c r="CH218" s="158"/>
      <c r="CI218" s="158"/>
      <c r="CJ218" s="158"/>
    </row>
    <row r="219" spans="1:88" x14ac:dyDescent="0.5">
      <c r="A219" s="259">
        <v>20066592</v>
      </c>
      <c r="B219" s="104">
        <v>20060477</v>
      </c>
      <c r="C219" s="1243" t="s">
        <v>1365</v>
      </c>
      <c r="D219" s="1244" t="s">
        <v>2691</v>
      </c>
      <c r="E219" s="302">
        <v>44009</v>
      </c>
      <c r="F219" s="936" t="s">
        <v>3368</v>
      </c>
      <c r="G219" s="937" t="s">
        <v>2124</v>
      </c>
      <c r="H219" s="302">
        <v>44013</v>
      </c>
      <c r="I219" s="1124">
        <v>63165</v>
      </c>
      <c r="J219" s="960" t="s">
        <v>3423</v>
      </c>
      <c r="K219" s="965">
        <v>44015</v>
      </c>
      <c r="L219" s="104" t="s">
        <v>4127</v>
      </c>
      <c r="M219" s="110" t="s">
        <v>3901</v>
      </c>
      <c r="N219" s="104" t="s">
        <v>1523</v>
      </c>
      <c r="O219" s="111">
        <v>76000</v>
      </c>
      <c r="P219" s="111">
        <f t="shared" ref="P219:P224" si="352">O219*7/100</f>
        <v>5320</v>
      </c>
      <c r="Q219" s="111">
        <f t="shared" ref="Q219:Q224" si="353">O219+P219</f>
        <v>81320</v>
      </c>
      <c r="R219" s="212"/>
      <c r="S219" s="113" t="s">
        <v>3939</v>
      </c>
      <c r="T219" s="114">
        <f t="shared" ref="T219:T221" si="354">O219-R219</f>
        <v>76000</v>
      </c>
      <c r="U219" s="115">
        <v>5</v>
      </c>
      <c r="V219" s="1252">
        <f t="shared" ref="V219:V221" si="355">T219*U219/100</f>
        <v>3800</v>
      </c>
      <c r="W219" s="1245">
        <v>54.18</v>
      </c>
      <c r="X219" s="1246">
        <f t="shared" ref="X219:X221" si="356">T219-V219</f>
        <v>72200</v>
      </c>
      <c r="Y219" s="1247">
        <f t="shared" ref="Y219:Y221" si="357">SUM((50-W219)/(100)*(2.5)+(0.5))</f>
        <v>0.39550000000000002</v>
      </c>
      <c r="Z219" s="1247">
        <f>X219*0.4/100</f>
        <v>288.8</v>
      </c>
      <c r="AA219" s="1265">
        <v>0.5</v>
      </c>
      <c r="AB219" s="1265">
        <f t="shared" ref="AB219:AB221" si="358">X219*AA219/100</f>
        <v>361</v>
      </c>
      <c r="AC219" s="119">
        <v>0.2</v>
      </c>
      <c r="AD219" s="1248">
        <f t="shared" ref="AD219:AD221" si="359">X219*AC219/100</f>
        <v>144.4</v>
      </c>
      <c r="AE219" s="229">
        <v>20060155</v>
      </c>
      <c r="AF219" s="1313"/>
      <c r="AG219" s="230">
        <v>22800</v>
      </c>
      <c r="AH219" s="233">
        <f t="shared" ref="AH219:AH224" si="360">AG219*7/100</f>
        <v>1596</v>
      </c>
      <c r="AI219" s="220">
        <f t="shared" ref="AI219:AI224" si="361">AG219+AH219</f>
        <v>24396</v>
      </c>
      <c r="AJ219" s="221">
        <v>43992</v>
      </c>
      <c r="AK219" s="121" t="s">
        <v>3423</v>
      </c>
      <c r="AL219" s="121"/>
      <c r="AM219" s="121"/>
      <c r="AN219" s="1305" t="s">
        <v>4115</v>
      </c>
      <c r="AO219" s="128">
        <v>1</v>
      </c>
      <c r="AP219" s="129" t="s">
        <v>3561</v>
      </c>
      <c r="AQ219" s="130"/>
      <c r="AR219" s="130" t="s">
        <v>3423</v>
      </c>
      <c r="AS219" s="131">
        <v>2</v>
      </c>
      <c r="AT219" s="132" t="s">
        <v>634</v>
      </c>
      <c r="AU219" s="128"/>
      <c r="AV219" s="133"/>
      <c r="AW219" s="128"/>
      <c r="AX219" s="128"/>
      <c r="AY219" s="128"/>
      <c r="AZ219" s="133"/>
      <c r="BA219" s="128"/>
      <c r="BB219" s="133"/>
      <c r="BC219" s="128"/>
      <c r="BD219" s="128"/>
      <c r="BE219" s="128"/>
      <c r="BF219" s="133"/>
      <c r="BG219" s="128"/>
      <c r="BH219" s="133"/>
      <c r="BI219" s="128"/>
      <c r="BJ219" s="128"/>
      <c r="BK219" s="128"/>
      <c r="BL219" s="133"/>
      <c r="BM219" s="128"/>
      <c r="BN219" s="133"/>
      <c r="BO219" s="128"/>
      <c r="BP219" s="128"/>
      <c r="BQ219" s="128"/>
      <c r="BR219" s="133"/>
      <c r="BS219" s="128"/>
      <c r="BT219" s="133"/>
      <c r="BU219" s="128"/>
      <c r="BV219" s="128"/>
      <c r="BW219" s="128"/>
      <c r="BX219" s="133"/>
      <c r="BY219" s="128"/>
      <c r="BZ219" s="133"/>
      <c r="CA219" s="128"/>
      <c r="CB219" s="128"/>
      <c r="CC219" s="128"/>
      <c r="CD219" s="133"/>
      <c r="CE219" s="128"/>
      <c r="CF219" s="133"/>
      <c r="CG219" s="128"/>
      <c r="CH219" s="128"/>
      <c r="CI219" s="128"/>
      <c r="CJ219" s="128"/>
    </row>
    <row r="220" spans="1:88" x14ac:dyDescent="0.5">
      <c r="A220" s="268"/>
      <c r="B220" s="181"/>
      <c r="C220" s="1236"/>
      <c r="D220" s="1237"/>
      <c r="E220" s="749"/>
      <c r="F220" s="938"/>
      <c r="G220" s="939"/>
      <c r="H220" s="749">
        <v>44013</v>
      </c>
      <c r="I220" s="1125">
        <v>63166</v>
      </c>
      <c r="J220" s="961"/>
      <c r="K220" s="200"/>
      <c r="L220" s="181"/>
      <c r="M220" s="188"/>
      <c r="N220" s="181"/>
      <c r="O220" s="189"/>
      <c r="P220" s="189"/>
      <c r="Q220" s="189"/>
      <c r="R220" s="214"/>
      <c r="S220" s="215"/>
      <c r="T220" s="216"/>
      <c r="U220" s="217"/>
      <c r="V220" s="1253"/>
      <c r="W220" s="1238"/>
      <c r="X220" s="1239"/>
      <c r="Y220" s="1240"/>
      <c r="Z220" s="1240"/>
      <c r="AA220" s="1263"/>
      <c r="AB220" s="1263"/>
      <c r="AC220" s="197"/>
      <c r="AD220" s="1241"/>
      <c r="AE220" s="200">
        <v>20060178</v>
      </c>
      <c r="AF220" s="1242" t="s">
        <v>3423</v>
      </c>
      <c r="AG220" s="201">
        <v>53200</v>
      </c>
      <c r="AH220" s="237">
        <f t="shared" si="360"/>
        <v>3724</v>
      </c>
      <c r="AI220" s="202">
        <f t="shared" si="361"/>
        <v>56924</v>
      </c>
      <c r="AJ220" s="203">
        <v>44041</v>
      </c>
      <c r="AK220" s="199" t="s">
        <v>3423</v>
      </c>
      <c r="AL220" s="199"/>
      <c r="AM220" s="199"/>
      <c r="AN220" s="843" t="s">
        <v>4344</v>
      </c>
      <c r="AO220" s="204"/>
      <c r="AP220" s="205"/>
      <c r="AQ220" s="206"/>
      <c r="AR220" s="206"/>
      <c r="AS220" s="207"/>
      <c r="AT220" s="208"/>
      <c r="AU220" s="204"/>
      <c r="AV220" s="210"/>
      <c r="AW220" s="204"/>
      <c r="AX220" s="204"/>
      <c r="AY220" s="204"/>
      <c r="AZ220" s="210"/>
      <c r="BA220" s="204"/>
      <c r="BB220" s="210"/>
      <c r="BC220" s="204"/>
      <c r="BD220" s="204"/>
      <c r="BE220" s="204"/>
      <c r="BF220" s="210"/>
      <c r="BG220" s="204"/>
      <c r="BH220" s="210"/>
      <c r="BI220" s="204"/>
      <c r="BJ220" s="204"/>
      <c r="BK220" s="204"/>
      <c r="BL220" s="210"/>
      <c r="BM220" s="204"/>
      <c r="BN220" s="210"/>
      <c r="BO220" s="204"/>
      <c r="BP220" s="204"/>
      <c r="BQ220" s="204"/>
      <c r="BR220" s="210"/>
      <c r="BS220" s="204"/>
      <c r="BT220" s="210"/>
      <c r="BU220" s="204"/>
      <c r="BV220" s="204"/>
      <c r="BW220" s="204"/>
      <c r="BX220" s="210"/>
      <c r="BY220" s="204"/>
      <c r="BZ220" s="210"/>
      <c r="CA220" s="204"/>
      <c r="CB220" s="204"/>
      <c r="CC220" s="204"/>
      <c r="CD220" s="210"/>
      <c r="CE220" s="204"/>
      <c r="CF220" s="210"/>
      <c r="CG220" s="204"/>
      <c r="CH220" s="204"/>
      <c r="CI220" s="204"/>
      <c r="CJ220" s="204"/>
    </row>
    <row r="221" spans="1:88" x14ac:dyDescent="0.5">
      <c r="A221" s="259">
        <v>20066591</v>
      </c>
      <c r="B221" s="104">
        <v>20060476</v>
      </c>
      <c r="C221" s="1243" t="s">
        <v>1366</v>
      </c>
      <c r="D221" s="1244" t="s">
        <v>2691</v>
      </c>
      <c r="E221" s="302">
        <v>44007</v>
      </c>
      <c r="F221" s="936" t="s">
        <v>3368</v>
      </c>
      <c r="G221" s="937" t="s">
        <v>2108</v>
      </c>
      <c r="H221" s="302">
        <v>44007</v>
      </c>
      <c r="I221" s="1124">
        <v>63155</v>
      </c>
      <c r="J221" s="970"/>
      <c r="K221" s="962">
        <v>44008</v>
      </c>
      <c r="L221" s="104" t="s">
        <v>304</v>
      </c>
      <c r="M221" s="110" t="s">
        <v>3902</v>
      </c>
      <c r="N221" s="104" t="s">
        <v>50</v>
      </c>
      <c r="O221" s="111">
        <v>17600</v>
      </c>
      <c r="P221" s="111">
        <f t="shared" si="352"/>
        <v>1232</v>
      </c>
      <c r="Q221" s="111">
        <f t="shared" si="353"/>
        <v>18832</v>
      </c>
      <c r="R221" s="212"/>
      <c r="S221" s="113" t="s">
        <v>1197</v>
      </c>
      <c r="T221" s="114">
        <f t="shared" si="354"/>
        <v>17600</v>
      </c>
      <c r="U221" s="115">
        <v>5</v>
      </c>
      <c r="V221" s="1252">
        <f t="shared" si="355"/>
        <v>880</v>
      </c>
      <c r="W221" s="1245">
        <v>52.5</v>
      </c>
      <c r="X221" s="1246">
        <f t="shared" si="356"/>
        <v>16720</v>
      </c>
      <c r="Y221" s="1247">
        <f t="shared" si="357"/>
        <v>0.4375</v>
      </c>
      <c r="Z221" s="1247">
        <f>16720*0.44/100</f>
        <v>73.567999999999998</v>
      </c>
      <c r="AA221" s="1265">
        <v>0.7</v>
      </c>
      <c r="AB221" s="1265">
        <f t="shared" si="358"/>
        <v>117.04</v>
      </c>
      <c r="AC221" s="119">
        <v>0.2</v>
      </c>
      <c r="AD221" s="1248">
        <f t="shared" si="359"/>
        <v>33.44</v>
      </c>
      <c r="AE221" s="123">
        <v>20070194</v>
      </c>
      <c r="AF221" s="1249" t="s">
        <v>3423</v>
      </c>
      <c r="AG221" s="124">
        <v>17600</v>
      </c>
      <c r="AH221" s="260">
        <f t="shared" si="360"/>
        <v>1232</v>
      </c>
      <c r="AI221" s="125">
        <f t="shared" si="361"/>
        <v>18832</v>
      </c>
      <c r="AJ221" s="126">
        <v>44055</v>
      </c>
      <c r="AK221" s="127" t="s">
        <v>3423</v>
      </c>
      <c r="AL221" s="127"/>
      <c r="AM221" s="127"/>
      <c r="AN221" s="103" t="s">
        <v>4337</v>
      </c>
      <c r="AO221" s="128">
        <v>1</v>
      </c>
      <c r="AP221" s="129" t="s">
        <v>801</v>
      </c>
      <c r="AQ221" s="130"/>
      <c r="AR221" s="130" t="s">
        <v>3423</v>
      </c>
      <c r="AS221" s="131">
        <v>1</v>
      </c>
      <c r="AT221" s="132" t="s">
        <v>634</v>
      </c>
      <c r="AU221" s="128">
        <v>2</v>
      </c>
      <c r="AV221" s="123" t="s">
        <v>3903</v>
      </c>
      <c r="AW221" s="131"/>
      <c r="AX221" s="131" t="s">
        <v>3423</v>
      </c>
      <c r="AY221" s="131">
        <v>1</v>
      </c>
      <c r="AZ221" s="169" t="s">
        <v>634</v>
      </c>
      <c r="BA221" s="128"/>
      <c r="BB221" s="133"/>
      <c r="BC221" s="128"/>
      <c r="BD221" s="128"/>
      <c r="BE221" s="128"/>
      <c r="BF221" s="133"/>
      <c r="BG221" s="128"/>
      <c r="BH221" s="133"/>
      <c r="BI221" s="128"/>
      <c r="BJ221" s="128"/>
      <c r="BK221" s="128"/>
      <c r="BL221" s="133"/>
      <c r="BM221" s="128"/>
      <c r="BN221" s="133"/>
      <c r="BO221" s="128"/>
      <c r="BP221" s="128"/>
      <c r="BQ221" s="128"/>
      <c r="BR221" s="133"/>
      <c r="BS221" s="128"/>
      <c r="BT221" s="133"/>
      <c r="BU221" s="128"/>
      <c r="BV221" s="128"/>
      <c r="BW221" s="128"/>
      <c r="BX221" s="133"/>
      <c r="BY221" s="128"/>
      <c r="BZ221" s="133"/>
      <c r="CA221" s="128"/>
      <c r="CB221" s="128"/>
      <c r="CC221" s="128"/>
      <c r="CD221" s="133"/>
      <c r="CE221" s="128"/>
      <c r="CF221" s="133"/>
      <c r="CG221" s="128"/>
      <c r="CH221" s="128"/>
      <c r="CI221" s="128"/>
      <c r="CJ221" s="128"/>
    </row>
    <row r="222" spans="1:88" x14ac:dyDescent="0.5">
      <c r="A222" s="268"/>
      <c r="B222" s="181"/>
      <c r="C222" s="1236"/>
      <c r="D222" s="1237"/>
      <c r="E222" s="749"/>
      <c r="F222" s="938" t="s">
        <v>3368</v>
      </c>
      <c r="G222" s="939" t="s">
        <v>2128</v>
      </c>
      <c r="H222" s="749">
        <v>44011</v>
      </c>
      <c r="I222" s="1125">
        <v>63160</v>
      </c>
      <c r="J222" s="961" t="s">
        <v>3423</v>
      </c>
      <c r="K222" s="966">
        <v>44012</v>
      </c>
      <c r="L222" s="181"/>
      <c r="M222" s="188"/>
      <c r="N222" s="181"/>
      <c r="O222" s="189"/>
      <c r="P222" s="189"/>
      <c r="Q222" s="189"/>
      <c r="R222" s="214"/>
      <c r="S222" s="215"/>
      <c r="T222" s="216"/>
      <c r="U222" s="217"/>
      <c r="V222" s="1253"/>
      <c r="W222" s="1238"/>
      <c r="X222" s="1239"/>
      <c r="Y222" s="1240"/>
      <c r="Z222" s="1240"/>
      <c r="AA222" s="1263"/>
      <c r="AB222" s="1263"/>
      <c r="AC222" s="197"/>
      <c r="AD222" s="1241"/>
      <c r="AE222" s="200"/>
      <c r="AF222" s="1242"/>
      <c r="AG222" s="201"/>
      <c r="AH222" s="237"/>
      <c r="AI222" s="202"/>
      <c r="AJ222" s="241"/>
      <c r="AK222" s="199"/>
      <c r="AL222" s="199"/>
      <c r="AM222" s="199"/>
      <c r="AN222" s="180"/>
      <c r="AO222" s="204"/>
      <c r="AP222" s="205"/>
      <c r="AQ222" s="206"/>
      <c r="AR222" s="206"/>
      <c r="AS222" s="207"/>
      <c r="AT222" s="208"/>
      <c r="AU222" s="204"/>
      <c r="AV222" s="200"/>
      <c r="AW222" s="207"/>
      <c r="AX222" s="207"/>
      <c r="AY222" s="207"/>
      <c r="AZ222" s="209"/>
      <c r="BA222" s="204"/>
      <c r="BB222" s="210"/>
      <c r="BC222" s="204"/>
      <c r="BD222" s="204"/>
      <c r="BE222" s="204"/>
      <c r="BF222" s="210"/>
      <c r="BG222" s="204"/>
      <c r="BH222" s="210"/>
      <c r="BI222" s="204"/>
      <c r="BJ222" s="204"/>
      <c r="BK222" s="204"/>
      <c r="BL222" s="210"/>
      <c r="BM222" s="204"/>
      <c r="BN222" s="210"/>
      <c r="BO222" s="204"/>
      <c r="BP222" s="204"/>
      <c r="BQ222" s="204"/>
      <c r="BR222" s="210"/>
      <c r="BS222" s="204"/>
      <c r="BT222" s="210"/>
      <c r="BU222" s="204"/>
      <c r="BV222" s="204"/>
      <c r="BW222" s="204"/>
      <c r="BX222" s="210"/>
      <c r="BY222" s="204"/>
      <c r="BZ222" s="210"/>
      <c r="CA222" s="204"/>
      <c r="CB222" s="204"/>
      <c r="CC222" s="204"/>
      <c r="CD222" s="210"/>
      <c r="CE222" s="204"/>
      <c r="CF222" s="210"/>
      <c r="CG222" s="204"/>
      <c r="CH222" s="204"/>
      <c r="CI222" s="204"/>
      <c r="CJ222" s="204"/>
    </row>
    <row r="223" spans="1:88" x14ac:dyDescent="0.5">
      <c r="A223" s="227" t="s">
        <v>3930</v>
      </c>
      <c r="B223" s="22">
        <v>20060475</v>
      </c>
      <c r="C223" s="55"/>
      <c r="D223" s="56"/>
      <c r="E223" s="910"/>
      <c r="F223" s="57"/>
      <c r="G223" s="58"/>
      <c r="H223" s="59"/>
      <c r="I223" s="60"/>
      <c r="J223" s="269"/>
      <c r="K223" s="59"/>
      <c r="L223" s="22" t="s">
        <v>3780</v>
      </c>
      <c r="M223" s="28" t="s">
        <v>404</v>
      </c>
      <c r="N223" s="22" t="s">
        <v>51</v>
      </c>
      <c r="O223" s="29">
        <v>5000</v>
      </c>
      <c r="P223" s="100"/>
      <c r="Q223" s="29">
        <f t="shared" si="353"/>
        <v>5000</v>
      </c>
      <c r="R223" s="61"/>
      <c r="S223" s="96"/>
      <c r="T223" s="97"/>
      <c r="U223" s="98"/>
      <c r="V223" s="1225"/>
      <c r="W223" s="1225"/>
      <c r="X223" s="100"/>
      <c r="Y223" s="1225"/>
      <c r="Z223" s="1225"/>
      <c r="AA223" s="1225"/>
      <c r="AB223" s="1225"/>
      <c r="AC223" s="100"/>
      <c r="AD223" s="595"/>
      <c r="AE223" s="40"/>
      <c r="AF223" s="1186"/>
      <c r="AG223" s="41"/>
      <c r="AH223" s="63"/>
      <c r="AI223" s="52"/>
      <c r="AJ223" s="43"/>
      <c r="AK223" s="39"/>
      <c r="AL223" s="39"/>
      <c r="AM223" s="39"/>
      <c r="AN223" s="21"/>
      <c r="AO223" s="1416">
        <v>1</v>
      </c>
      <c r="AP223" s="45" t="s">
        <v>404</v>
      </c>
      <c r="AQ223" s="46"/>
      <c r="AR223" s="46"/>
      <c r="AS223" s="47">
        <v>1</v>
      </c>
      <c r="AT223" s="102"/>
      <c r="AU223" s="1416"/>
      <c r="AV223" s="54"/>
      <c r="AW223" s="1416"/>
      <c r="AX223" s="1416"/>
      <c r="AY223" s="1416"/>
      <c r="AZ223" s="54"/>
      <c r="BA223" s="1416"/>
      <c r="BB223" s="54"/>
      <c r="BC223" s="1416"/>
      <c r="BD223" s="1416"/>
      <c r="BE223" s="1416"/>
      <c r="BF223" s="54"/>
      <c r="BG223" s="1416"/>
      <c r="BH223" s="54"/>
      <c r="BI223" s="1416"/>
      <c r="BJ223" s="1416"/>
      <c r="BK223" s="1416"/>
      <c r="BL223" s="54"/>
      <c r="BM223" s="1416"/>
      <c r="BN223" s="54"/>
      <c r="BO223" s="1416"/>
      <c r="BP223" s="1416"/>
      <c r="BQ223" s="1416"/>
      <c r="BR223" s="54"/>
      <c r="BS223" s="1416"/>
      <c r="BT223" s="54"/>
      <c r="BU223" s="1416"/>
      <c r="BV223" s="1416"/>
      <c r="BW223" s="1416"/>
      <c r="BX223" s="54"/>
      <c r="BY223" s="1416"/>
      <c r="BZ223" s="54"/>
      <c r="CA223" s="1416"/>
      <c r="CB223" s="1416"/>
      <c r="CC223" s="1416"/>
      <c r="CD223" s="54"/>
      <c r="CE223" s="1416"/>
      <c r="CF223" s="54"/>
      <c r="CG223" s="1416"/>
      <c r="CH223" s="1416"/>
      <c r="CI223" s="1416"/>
      <c r="CJ223" s="1416"/>
    </row>
    <row r="224" spans="1:88" x14ac:dyDescent="0.5">
      <c r="A224" s="227">
        <v>20066590</v>
      </c>
      <c r="B224" s="22">
        <v>20060474</v>
      </c>
      <c r="C224" s="55"/>
      <c r="D224" s="56"/>
      <c r="E224" s="910"/>
      <c r="F224" s="57"/>
      <c r="G224" s="58"/>
      <c r="H224" s="59"/>
      <c r="I224" s="60"/>
      <c r="J224" s="269"/>
      <c r="K224" s="59"/>
      <c r="L224" s="22" t="s">
        <v>3672</v>
      </c>
      <c r="M224" s="28" t="s">
        <v>3894</v>
      </c>
      <c r="N224" s="22" t="s">
        <v>52</v>
      </c>
      <c r="O224" s="29">
        <v>14000</v>
      </c>
      <c r="P224" s="29">
        <f t="shared" si="352"/>
        <v>980</v>
      </c>
      <c r="Q224" s="29">
        <f t="shared" si="353"/>
        <v>14980</v>
      </c>
      <c r="R224" s="61"/>
      <c r="S224" s="96"/>
      <c r="T224" s="97"/>
      <c r="U224" s="98"/>
      <c r="V224" s="1225"/>
      <c r="W224" s="1225"/>
      <c r="X224" s="100"/>
      <c r="Y224" s="1225"/>
      <c r="Z224" s="1225"/>
      <c r="AA224" s="1225"/>
      <c r="AB224" s="1225"/>
      <c r="AC224" s="100"/>
      <c r="AD224" s="595"/>
      <c r="AE224" s="40">
        <v>20060152</v>
      </c>
      <c r="AF224" s="1186" t="s">
        <v>3423</v>
      </c>
      <c r="AG224" s="41">
        <v>14000</v>
      </c>
      <c r="AH224" s="63">
        <f t="shared" si="360"/>
        <v>980</v>
      </c>
      <c r="AI224" s="52">
        <f t="shared" si="361"/>
        <v>14980</v>
      </c>
      <c r="AJ224" s="53">
        <v>43991</v>
      </c>
      <c r="AK224" s="39" t="s">
        <v>3423</v>
      </c>
      <c r="AL224" s="39"/>
      <c r="AM224" s="39"/>
      <c r="AN224" s="21" t="s">
        <v>4001</v>
      </c>
      <c r="AO224" s="1372">
        <v>1</v>
      </c>
      <c r="AP224" s="45" t="s">
        <v>404</v>
      </c>
      <c r="AQ224" s="46"/>
      <c r="AR224" s="46"/>
      <c r="AS224" s="47">
        <v>2</v>
      </c>
      <c r="AT224" s="102"/>
      <c r="AU224" s="1372"/>
      <c r="AV224" s="54"/>
      <c r="AW224" s="1372"/>
      <c r="AX224" s="1372"/>
      <c r="AY224" s="1372"/>
      <c r="AZ224" s="54"/>
      <c r="BA224" s="1372"/>
      <c r="BB224" s="54"/>
      <c r="BC224" s="1372"/>
      <c r="BD224" s="1372"/>
      <c r="BE224" s="1372"/>
      <c r="BF224" s="54"/>
      <c r="BG224" s="1372"/>
      <c r="BH224" s="54"/>
      <c r="BI224" s="1372"/>
      <c r="BJ224" s="1372"/>
      <c r="BK224" s="1372"/>
      <c r="BL224" s="54"/>
      <c r="BM224" s="1372"/>
      <c r="BN224" s="54"/>
      <c r="BO224" s="1372"/>
      <c r="BP224" s="1372"/>
      <c r="BQ224" s="1372"/>
      <c r="BR224" s="54"/>
      <c r="BS224" s="1372"/>
      <c r="BT224" s="54"/>
      <c r="BU224" s="1372"/>
      <c r="BV224" s="1372"/>
      <c r="BW224" s="1372"/>
      <c r="BX224" s="54"/>
      <c r="BY224" s="1372"/>
      <c r="BZ224" s="54"/>
      <c r="CA224" s="1372"/>
      <c r="CB224" s="1372"/>
      <c r="CC224" s="1372"/>
      <c r="CD224" s="54"/>
      <c r="CE224" s="1372"/>
      <c r="CF224" s="54"/>
      <c r="CG224" s="1372"/>
      <c r="CH224" s="1372"/>
      <c r="CI224" s="1372"/>
      <c r="CJ224" s="1372"/>
    </row>
    <row r="225" spans="1:88" x14ac:dyDescent="0.5">
      <c r="A225" s="259">
        <v>20066589</v>
      </c>
      <c r="B225" s="104">
        <v>20060473</v>
      </c>
      <c r="C225" s="1243" t="s">
        <v>1367</v>
      </c>
      <c r="D225" s="1244" t="s">
        <v>2691</v>
      </c>
      <c r="E225" s="302">
        <v>43992</v>
      </c>
      <c r="F225" s="936" t="s">
        <v>3368</v>
      </c>
      <c r="G225" s="937" t="s">
        <v>1366</v>
      </c>
      <c r="H225" s="302">
        <v>43993</v>
      </c>
      <c r="I225" s="1124">
        <v>63148</v>
      </c>
      <c r="J225" s="960" t="s">
        <v>3423</v>
      </c>
      <c r="K225" s="965">
        <v>43994</v>
      </c>
      <c r="L225" s="104" t="s">
        <v>3672</v>
      </c>
      <c r="M225" s="104" t="s">
        <v>3673</v>
      </c>
      <c r="N225" s="104" t="s">
        <v>52</v>
      </c>
      <c r="O225" s="111">
        <v>80000</v>
      </c>
      <c r="P225" s="111">
        <f t="shared" si="342"/>
        <v>5600</v>
      </c>
      <c r="Q225" s="111">
        <f t="shared" si="343"/>
        <v>85600</v>
      </c>
      <c r="R225" s="212"/>
      <c r="S225" s="113" t="s">
        <v>568</v>
      </c>
      <c r="T225" s="114">
        <f t="shared" si="344"/>
        <v>80000</v>
      </c>
      <c r="U225" s="115">
        <v>5</v>
      </c>
      <c r="V225" s="1252">
        <f t="shared" si="345"/>
        <v>4000</v>
      </c>
      <c r="W225" s="1245">
        <v>61.49</v>
      </c>
      <c r="X225" s="1246">
        <f t="shared" si="346"/>
        <v>76000</v>
      </c>
      <c r="Y225" s="1247">
        <f t="shared" si="347"/>
        <v>0.21274999999999994</v>
      </c>
      <c r="Z225" s="1247">
        <f>76000*0.21/100</f>
        <v>159.6</v>
      </c>
      <c r="AA225" s="1265">
        <v>0.5</v>
      </c>
      <c r="AB225" s="1265">
        <f t="shared" si="348"/>
        <v>380</v>
      </c>
      <c r="AC225" s="119">
        <v>0.2</v>
      </c>
      <c r="AD225" s="1248">
        <f t="shared" si="349"/>
        <v>152</v>
      </c>
      <c r="AE225" s="123">
        <v>20060151</v>
      </c>
      <c r="AF225" s="1249" t="s">
        <v>3423</v>
      </c>
      <c r="AG225" s="124">
        <v>80000</v>
      </c>
      <c r="AH225" s="260">
        <f t="shared" si="350"/>
        <v>5600</v>
      </c>
      <c r="AI225" s="125">
        <f t="shared" si="351"/>
        <v>85600</v>
      </c>
      <c r="AJ225" s="126">
        <v>44021</v>
      </c>
      <c r="AK225" s="127" t="s">
        <v>3423</v>
      </c>
      <c r="AL225" s="127"/>
      <c r="AM225" s="127"/>
      <c r="AN225" s="103" t="s">
        <v>4103</v>
      </c>
      <c r="AO225" s="128">
        <v>1</v>
      </c>
      <c r="AP225" s="129" t="s">
        <v>715</v>
      </c>
      <c r="AQ225" s="130"/>
      <c r="AR225" s="130" t="s">
        <v>3423</v>
      </c>
      <c r="AS225" s="131">
        <v>1</v>
      </c>
      <c r="AT225" s="132" t="s">
        <v>634</v>
      </c>
      <c r="AU225" s="128">
        <v>2</v>
      </c>
      <c r="AV225" s="123" t="s">
        <v>3674</v>
      </c>
      <c r="AW225" s="131"/>
      <c r="AX225" s="131" t="s">
        <v>3423</v>
      </c>
      <c r="AY225" s="131">
        <v>1</v>
      </c>
      <c r="AZ225" s="169" t="s">
        <v>636</v>
      </c>
      <c r="BA225" s="128"/>
      <c r="BB225" s="133"/>
      <c r="BC225" s="128"/>
      <c r="BD225" s="128"/>
      <c r="BE225" s="128"/>
      <c r="BF225" s="133"/>
      <c r="BG225" s="128"/>
      <c r="BH225" s="133"/>
      <c r="BI225" s="128"/>
      <c r="BJ225" s="128"/>
      <c r="BK225" s="128"/>
      <c r="BL225" s="133"/>
      <c r="BM225" s="128"/>
      <c r="BN225" s="133"/>
      <c r="BO225" s="128"/>
      <c r="BP225" s="128"/>
      <c r="BQ225" s="128"/>
      <c r="BR225" s="133"/>
      <c r="BS225" s="128"/>
      <c r="BT225" s="133"/>
      <c r="BU225" s="128"/>
      <c r="BV225" s="128"/>
      <c r="BW225" s="128"/>
      <c r="BX225" s="133"/>
      <c r="BY225" s="128"/>
      <c r="BZ225" s="133"/>
      <c r="CA225" s="128"/>
      <c r="CB225" s="128"/>
      <c r="CC225" s="128"/>
      <c r="CD225" s="133"/>
      <c r="CE225" s="128"/>
      <c r="CF225" s="133"/>
      <c r="CG225" s="128"/>
      <c r="CH225" s="128"/>
      <c r="CI225" s="128"/>
      <c r="CJ225" s="128"/>
    </row>
    <row r="226" spans="1:88" x14ac:dyDescent="0.5">
      <c r="A226" s="262"/>
      <c r="B226" s="135"/>
      <c r="C226" s="1290"/>
      <c r="D226" s="1291"/>
      <c r="E226" s="906"/>
      <c r="F226" s="940"/>
      <c r="G226" s="941"/>
      <c r="H226" s="906">
        <v>43993</v>
      </c>
      <c r="I226" s="1138">
        <v>63149</v>
      </c>
      <c r="J226" s="963"/>
      <c r="K226" s="964"/>
      <c r="L226" s="135"/>
      <c r="M226" s="141"/>
      <c r="N226" s="135"/>
      <c r="O226" s="142"/>
      <c r="P226" s="142"/>
      <c r="Q226" s="142"/>
      <c r="R226" s="213"/>
      <c r="S226" s="144"/>
      <c r="T226" s="145"/>
      <c r="U226" s="146"/>
      <c r="V226" s="1292"/>
      <c r="W226" s="1293"/>
      <c r="X226" s="1294"/>
      <c r="Y226" s="1295"/>
      <c r="Z226" s="1295"/>
      <c r="AA226" s="1308"/>
      <c r="AB226" s="1308"/>
      <c r="AC226" s="150"/>
      <c r="AD226" s="1297"/>
      <c r="AE226" s="154"/>
      <c r="AF226" s="1298"/>
      <c r="AG226" s="155"/>
      <c r="AH226" s="253"/>
      <c r="AI226" s="156"/>
      <c r="AJ226" s="157"/>
      <c r="AK226" s="152"/>
      <c r="AL226" s="152"/>
      <c r="AM226" s="152"/>
      <c r="AN226" s="134"/>
      <c r="AO226" s="158"/>
      <c r="AP226" s="159"/>
      <c r="AQ226" s="160"/>
      <c r="AR226" s="160"/>
      <c r="AS226" s="161"/>
      <c r="AT226" s="162"/>
      <c r="AU226" s="158"/>
      <c r="AV226" s="154"/>
      <c r="AW226" s="161"/>
      <c r="AX226" s="161"/>
      <c r="AY226" s="161"/>
      <c r="AZ226" s="177"/>
      <c r="BA226" s="158"/>
      <c r="BB226" s="163"/>
      <c r="BC226" s="158"/>
      <c r="BD226" s="158"/>
      <c r="BE226" s="158"/>
      <c r="BF226" s="163"/>
      <c r="BG226" s="158"/>
      <c r="BH226" s="163"/>
      <c r="BI226" s="158"/>
      <c r="BJ226" s="158"/>
      <c r="BK226" s="158"/>
      <c r="BL226" s="163"/>
      <c r="BM226" s="158"/>
      <c r="BN226" s="163"/>
      <c r="BO226" s="158"/>
      <c r="BP226" s="158"/>
      <c r="BQ226" s="158"/>
      <c r="BR226" s="163"/>
      <c r="BS226" s="158"/>
      <c r="BT226" s="163"/>
      <c r="BU226" s="158"/>
      <c r="BV226" s="158"/>
      <c r="BW226" s="158"/>
      <c r="BX226" s="163"/>
      <c r="BY226" s="158"/>
      <c r="BZ226" s="163"/>
      <c r="CA226" s="158"/>
      <c r="CB226" s="158"/>
      <c r="CC226" s="158"/>
      <c r="CD226" s="163"/>
      <c r="CE226" s="158"/>
      <c r="CF226" s="163"/>
      <c r="CG226" s="158"/>
      <c r="CH226" s="158"/>
      <c r="CI226" s="158"/>
      <c r="CJ226" s="158"/>
    </row>
    <row r="227" spans="1:88" x14ac:dyDescent="0.5">
      <c r="A227" s="259">
        <v>20066588</v>
      </c>
      <c r="B227" s="104">
        <v>20060472</v>
      </c>
      <c r="C227" s="1243" t="s">
        <v>1368</v>
      </c>
      <c r="D227" s="1244" t="s">
        <v>2691</v>
      </c>
      <c r="E227" s="302">
        <v>44007</v>
      </c>
      <c r="F227" s="936" t="s">
        <v>3368</v>
      </c>
      <c r="G227" s="937" t="s">
        <v>2115</v>
      </c>
      <c r="H227" s="302">
        <v>44008</v>
      </c>
      <c r="I227" s="1124">
        <v>63158</v>
      </c>
      <c r="J227" s="960" t="s">
        <v>3423</v>
      </c>
      <c r="K227" s="965">
        <v>44011</v>
      </c>
      <c r="L227" s="104" t="s">
        <v>3210</v>
      </c>
      <c r="M227" s="110" t="s">
        <v>3893</v>
      </c>
      <c r="N227" s="104" t="s">
        <v>50</v>
      </c>
      <c r="O227" s="111">
        <v>157000</v>
      </c>
      <c r="P227" s="111">
        <f t="shared" si="342"/>
        <v>10990</v>
      </c>
      <c r="Q227" s="111">
        <f t="shared" si="343"/>
        <v>167990</v>
      </c>
      <c r="R227" s="311">
        <v>35000</v>
      </c>
      <c r="S227" s="113" t="s">
        <v>3934</v>
      </c>
      <c r="T227" s="114">
        <f t="shared" si="344"/>
        <v>122000</v>
      </c>
      <c r="U227" s="167"/>
      <c r="V227" s="1252">
        <v>30000</v>
      </c>
      <c r="W227" s="1245">
        <v>62.3</v>
      </c>
      <c r="X227" s="1246">
        <f t="shared" si="346"/>
        <v>92000</v>
      </c>
      <c r="Y227" s="1247">
        <f t="shared" si="347"/>
        <v>0.19250000000000006</v>
      </c>
      <c r="Z227" s="1247">
        <f>92000*0.19/100</f>
        <v>174.8</v>
      </c>
      <c r="AA227" s="1265">
        <v>0.7</v>
      </c>
      <c r="AB227" s="1265">
        <f t="shared" si="348"/>
        <v>643.99999999999989</v>
      </c>
      <c r="AC227" s="119">
        <v>0.2</v>
      </c>
      <c r="AD227" s="1248">
        <f t="shared" si="349"/>
        <v>184</v>
      </c>
      <c r="AE227" s="229">
        <v>20060150</v>
      </c>
      <c r="AF227" s="1313"/>
      <c r="AG227" s="230">
        <v>78500</v>
      </c>
      <c r="AH227" s="233">
        <f t="shared" si="350"/>
        <v>5495</v>
      </c>
      <c r="AI227" s="220">
        <f t="shared" si="351"/>
        <v>83995</v>
      </c>
      <c r="AJ227" s="221">
        <v>43991</v>
      </c>
      <c r="AK227" s="121" t="s">
        <v>3423</v>
      </c>
      <c r="AL227" s="121"/>
      <c r="AM227" s="121"/>
      <c r="AN227" s="222" t="s">
        <v>4008</v>
      </c>
      <c r="AO227" s="128">
        <v>1</v>
      </c>
      <c r="AP227" s="129" t="s">
        <v>3569</v>
      </c>
      <c r="AQ227" s="130" t="s">
        <v>3423</v>
      </c>
      <c r="AR227" s="130"/>
      <c r="AS227" s="131">
        <v>2</v>
      </c>
      <c r="AT227" s="132" t="s">
        <v>636</v>
      </c>
      <c r="AU227" s="128"/>
      <c r="AV227" s="133"/>
      <c r="AW227" s="128"/>
      <c r="AX227" s="128"/>
      <c r="AY227" s="128"/>
      <c r="AZ227" s="133"/>
      <c r="BA227" s="128"/>
      <c r="BB227" s="133"/>
      <c r="BC227" s="128"/>
      <c r="BD227" s="128"/>
      <c r="BE227" s="128"/>
      <c r="BF227" s="133"/>
      <c r="BG227" s="128"/>
      <c r="BH227" s="133"/>
      <c r="BI227" s="128"/>
      <c r="BJ227" s="128"/>
      <c r="BK227" s="128"/>
      <c r="BL227" s="133"/>
      <c r="BM227" s="128"/>
      <c r="BN227" s="133"/>
      <c r="BO227" s="128"/>
      <c r="BP227" s="128"/>
      <c r="BQ227" s="128"/>
      <c r="BR227" s="133"/>
      <c r="BS227" s="128"/>
      <c r="BT227" s="133"/>
      <c r="BU227" s="128"/>
      <c r="BV227" s="128"/>
      <c r="BW227" s="128"/>
      <c r="BX227" s="133"/>
      <c r="BY227" s="128"/>
      <c r="BZ227" s="133"/>
      <c r="CA227" s="128"/>
      <c r="CB227" s="128"/>
      <c r="CC227" s="128"/>
      <c r="CD227" s="133"/>
      <c r="CE227" s="128"/>
      <c r="CF227" s="133"/>
      <c r="CG227" s="128"/>
      <c r="CH227" s="128"/>
      <c r="CI227" s="128"/>
      <c r="CJ227" s="128"/>
    </row>
    <row r="228" spans="1:88" x14ac:dyDescent="0.5">
      <c r="A228" s="268"/>
      <c r="B228" s="181"/>
      <c r="C228" s="1236"/>
      <c r="D228" s="1237"/>
      <c r="E228" s="749"/>
      <c r="F228" s="938"/>
      <c r="G228" s="939"/>
      <c r="H228" s="304"/>
      <c r="I228" s="1125"/>
      <c r="J228" s="961"/>
      <c r="K228" s="200"/>
      <c r="L228" s="181"/>
      <c r="M228" s="188"/>
      <c r="N228" s="181"/>
      <c r="O228" s="189"/>
      <c r="P228" s="189"/>
      <c r="Q228" s="189"/>
      <c r="R228" s="190"/>
      <c r="S228" s="215"/>
      <c r="T228" s="216"/>
      <c r="U228" s="193"/>
      <c r="V228" s="1253"/>
      <c r="W228" s="1238"/>
      <c r="X228" s="1239"/>
      <c r="Y228" s="1240"/>
      <c r="Z228" s="1240"/>
      <c r="AA228" s="1263"/>
      <c r="AB228" s="1263"/>
      <c r="AC228" s="197"/>
      <c r="AD228" s="1241"/>
      <c r="AE228" s="200">
        <v>20060172</v>
      </c>
      <c r="AF228" s="1242" t="s">
        <v>3423</v>
      </c>
      <c r="AG228" s="201">
        <v>78500</v>
      </c>
      <c r="AH228" s="237">
        <f t="shared" si="350"/>
        <v>5495</v>
      </c>
      <c r="AI228" s="202">
        <f t="shared" si="351"/>
        <v>83995</v>
      </c>
      <c r="AJ228" s="203">
        <v>44006</v>
      </c>
      <c r="AK228" s="199" t="s">
        <v>3423</v>
      </c>
      <c r="AL228" s="199"/>
      <c r="AM228" s="199"/>
      <c r="AN228" s="180" t="s">
        <v>4119</v>
      </c>
      <c r="AO228" s="204"/>
      <c r="AP228" s="205"/>
      <c r="AQ228" s="206"/>
      <c r="AR228" s="206"/>
      <c r="AS228" s="207"/>
      <c r="AT228" s="208"/>
      <c r="AU228" s="204"/>
      <c r="AV228" s="210"/>
      <c r="AW228" s="204"/>
      <c r="AX228" s="204"/>
      <c r="AY228" s="204"/>
      <c r="AZ228" s="210"/>
      <c r="BA228" s="204"/>
      <c r="BB228" s="210"/>
      <c r="BC228" s="204"/>
      <c r="BD228" s="204"/>
      <c r="BE228" s="204"/>
      <c r="BF228" s="210"/>
      <c r="BG228" s="204"/>
      <c r="BH228" s="210"/>
      <c r="BI228" s="204"/>
      <c r="BJ228" s="204"/>
      <c r="BK228" s="204"/>
      <c r="BL228" s="210"/>
      <c r="BM228" s="204"/>
      <c r="BN228" s="210"/>
      <c r="BO228" s="204"/>
      <c r="BP228" s="204"/>
      <c r="BQ228" s="204"/>
      <c r="BR228" s="210"/>
      <c r="BS228" s="204"/>
      <c r="BT228" s="210"/>
      <c r="BU228" s="204"/>
      <c r="BV228" s="204"/>
      <c r="BW228" s="204"/>
      <c r="BX228" s="210"/>
      <c r="BY228" s="204"/>
      <c r="BZ228" s="210"/>
      <c r="CA228" s="204"/>
      <c r="CB228" s="204"/>
      <c r="CC228" s="204"/>
      <c r="CD228" s="210"/>
      <c r="CE228" s="204"/>
      <c r="CF228" s="210"/>
      <c r="CG228" s="204"/>
      <c r="CH228" s="204"/>
      <c r="CI228" s="204"/>
      <c r="CJ228" s="204"/>
    </row>
    <row r="229" spans="1:88" x14ac:dyDescent="0.5">
      <c r="A229" s="227">
        <v>20066587</v>
      </c>
      <c r="B229" s="22">
        <v>20060464</v>
      </c>
      <c r="C229" s="1019" t="s">
        <v>1369</v>
      </c>
      <c r="D229" s="1020" t="s">
        <v>2691</v>
      </c>
      <c r="E229" s="884">
        <v>44005</v>
      </c>
      <c r="F229" s="932" t="s">
        <v>3368</v>
      </c>
      <c r="G229" s="933" t="s">
        <v>2274</v>
      </c>
      <c r="H229" s="884">
        <v>44050</v>
      </c>
      <c r="I229" s="1021">
        <v>63191</v>
      </c>
      <c r="J229" s="931" t="s">
        <v>3423</v>
      </c>
      <c r="K229" s="957">
        <v>44050</v>
      </c>
      <c r="L229" s="22" t="s">
        <v>15</v>
      </c>
      <c r="M229" s="28" t="s">
        <v>3891</v>
      </c>
      <c r="N229" s="22" t="s">
        <v>51</v>
      </c>
      <c r="O229" s="29">
        <v>193920</v>
      </c>
      <c r="P229" s="29">
        <f t="shared" si="342"/>
        <v>13574.4</v>
      </c>
      <c r="Q229" s="29">
        <f t="shared" si="343"/>
        <v>207494.39999999999</v>
      </c>
      <c r="R229" s="61"/>
      <c r="S229" s="96"/>
      <c r="T229" s="97"/>
      <c r="U229" s="98"/>
      <c r="V229" s="1225"/>
      <c r="W229" s="1225"/>
      <c r="X229" s="100"/>
      <c r="Y229" s="1225"/>
      <c r="Z229" s="1225"/>
      <c r="AA229" s="1225"/>
      <c r="AB229" s="1225"/>
      <c r="AC229" s="100"/>
      <c r="AD229" s="595"/>
      <c r="AE229" s="40">
        <v>20080224</v>
      </c>
      <c r="AF229" s="1186" t="s">
        <v>3423</v>
      </c>
      <c r="AG229" s="41">
        <v>193920</v>
      </c>
      <c r="AH229" s="63">
        <f t="shared" si="350"/>
        <v>13574.4</v>
      </c>
      <c r="AI229" s="52">
        <f t="shared" si="351"/>
        <v>207494.39999999999</v>
      </c>
      <c r="AJ229" s="53">
        <v>44101</v>
      </c>
      <c r="AK229" s="39" t="s">
        <v>3423</v>
      </c>
      <c r="AL229" s="39"/>
      <c r="AM229" s="39"/>
      <c r="AN229" s="21" t="s">
        <v>4311</v>
      </c>
      <c r="AO229" s="1372">
        <v>1</v>
      </c>
      <c r="AP229" s="45" t="s">
        <v>3892</v>
      </c>
      <c r="AQ229" s="46" t="s">
        <v>3423</v>
      </c>
      <c r="AR229" s="46"/>
      <c r="AS229" s="47">
        <v>1</v>
      </c>
      <c r="AT229" s="48" t="s">
        <v>633</v>
      </c>
      <c r="AU229" s="1372">
        <v>2</v>
      </c>
      <c r="AV229" s="40" t="s">
        <v>3895</v>
      </c>
      <c r="AW229" s="47"/>
      <c r="AX229" s="47"/>
      <c r="AY229" s="47">
        <v>1</v>
      </c>
      <c r="AZ229" s="49" t="s">
        <v>633</v>
      </c>
      <c r="BA229" s="1372"/>
      <c r="BB229" s="54"/>
      <c r="BC229" s="1372"/>
      <c r="BD229" s="1372"/>
      <c r="BE229" s="1372"/>
      <c r="BF229" s="54"/>
      <c r="BG229" s="1372"/>
      <c r="BH229" s="54"/>
      <c r="BI229" s="1372"/>
      <c r="BJ229" s="1372"/>
      <c r="BK229" s="1372"/>
      <c r="BL229" s="54"/>
      <c r="BM229" s="1372"/>
      <c r="BN229" s="54"/>
      <c r="BO229" s="1372"/>
      <c r="BP229" s="1372"/>
      <c r="BQ229" s="1372"/>
      <c r="BR229" s="54"/>
      <c r="BS229" s="1372"/>
      <c r="BT229" s="54"/>
      <c r="BU229" s="1372"/>
      <c r="BV229" s="1372"/>
      <c r="BW229" s="1372"/>
      <c r="BX229" s="54"/>
      <c r="BY229" s="1372"/>
      <c r="BZ229" s="54"/>
      <c r="CA229" s="1372"/>
      <c r="CB229" s="1372"/>
      <c r="CC229" s="1372"/>
      <c r="CD229" s="54"/>
      <c r="CE229" s="1372"/>
      <c r="CF229" s="54"/>
      <c r="CG229" s="1372"/>
      <c r="CH229" s="1372"/>
      <c r="CI229" s="1372"/>
      <c r="CJ229" s="1372"/>
    </row>
    <row r="230" spans="1:88" x14ac:dyDescent="0.5">
      <c r="A230" s="103">
        <v>20066586</v>
      </c>
      <c r="B230" s="104">
        <v>20060458</v>
      </c>
      <c r="C230" s="1243" t="s">
        <v>1370</v>
      </c>
      <c r="D230" s="1244" t="s">
        <v>2691</v>
      </c>
      <c r="E230" s="302">
        <v>44006</v>
      </c>
      <c r="F230" s="946" t="s">
        <v>3368</v>
      </c>
      <c r="G230" s="947" t="s">
        <v>2254</v>
      </c>
      <c r="H230" s="914">
        <v>44022</v>
      </c>
      <c r="I230" s="1315">
        <v>63180</v>
      </c>
      <c r="J230" s="970"/>
      <c r="K230" s="962">
        <v>44022</v>
      </c>
      <c r="L230" s="104" t="s">
        <v>1115</v>
      </c>
      <c r="M230" s="110" t="s">
        <v>3889</v>
      </c>
      <c r="N230" s="104" t="s">
        <v>51</v>
      </c>
      <c r="O230" s="111">
        <v>191000</v>
      </c>
      <c r="P230" s="111">
        <f t="shared" si="342"/>
        <v>13370</v>
      </c>
      <c r="Q230" s="111">
        <f t="shared" si="343"/>
        <v>204370</v>
      </c>
      <c r="R230" s="212"/>
      <c r="S230" s="165"/>
      <c r="T230" s="166"/>
      <c r="U230" s="167"/>
      <c r="V230" s="1302"/>
      <c r="W230" s="1302"/>
      <c r="X230" s="231"/>
      <c r="Y230" s="1302"/>
      <c r="Z230" s="1302"/>
      <c r="AA230" s="1302"/>
      <c r="AB230" s="1302"/>
      <c r="AC230" s="231"/>
      <c r="AD230" s="1309"/>
      <c r="AE230" s="229">
        <v>20070192</v>
      </c>
      <c r="AF230" s="1313"/>
      <c r="AG230" s="230">
        <v>151000</v>
      </c>
      <c r="AH230" s="233">
        <f t="shared" si="350"/>
        <v>10570</v>
      </c>
      <c r="AI230" s="220">
        <f t="shared" si="351"/>
        <v>161570</v>
      </c>
      <c r="AJ230" s="221">
        <v>44020</v>
      </c>
      <c r="AK230" s="121" t="s">
        <v>3423</v>
      </c>
      <c r="AL230" s="121"/>
      <c r="AM230" s="121"/>
      <c r="AN230" s="222" t="s">
        <v>4102</v>
      </c>
      <c r="AO230" s="128">
        <v>1</v>
      </c>
      <c r="AP230" s="129" t="s">
        <v>3890</v>
      </c>
      <c r="AQ230" s="130"/>
      <c r="AR230" s="130" t="s">
        <v>3423</v>
      </c>
      <c r="AS230" s="131">
        <v>1</v>
      </c>
      <c r="AT230" s="132" t="s">
        <v>633</v>
      </c>
      <c r="AU230" s="128"/>
      <c r="AV230" s="133"/>
      <c r="AW230" s="128"/>
      <c r="AX230" s="128"/>
      <c r="AY230" s="128"/>
      <c r="AZ230" s="133"/>
      <c r="BA230" s="128"/>
      <c r="BB230" s="133"/>
      <c r="BC230" s="128"/>
      <c r="BD230" s="128"/>
      <c r="BE230" s="128"/>
      <c r="BF230" s="133"/>
      <c r="BG230" s="128"/>
      <c r="BH230" s="133"/>
      <c r="BI230" s="128"/>
      <c r="BJ230" s="128"/>
      <c r="BK230" s="128"/>
      <c r="BL230" s="133"/>
      <c r="BM230" s="128"/>
      <c r="BN230" s="133"/>
      <c r="BO230" s="128"/>
      <c r="BP230" s="128"/>
      <c r="BQ230" s="128"/>
      <c r="BR230" s="133"/>
      <c r="BS230" s="128"/>
      <c r="BT230" s="133"/>
      <c r="BU230" s="128"/>
      <c r="BV230" s="128"/>
      <c r="BW230" s="128"/>
      <c r="BX230" s="133"/>
      <c r="BY230" s="128"/>
      <c r="BZ230" s="133"/>
      <c r="CA230" s="128"/>
      <c r="CB230" s="128"/>
      <c r="CC230" s="128"/>
      <c r="CD230" s="133"/>
      <c r="CE230" s="128"/>
      <c r="CF230" s="133"/>
      <c r="CG230" s="128"/>
      <c r="CH230" s="128"/>
      <c r="CI230" s="128"/>
      <c r="CJ230" s="128"/>
    </row>
    <row r="231" spans="1:88" x14ac:dyDescent="0.5">
      <c r="A231" s="180"/>
      <c r="B231" s="181"/>
      <c r="C231" s="1236"/>
      <c r="D231" s="1237"/>
      <c r="E231" s="749"/>
      <c r="F231" s="938" t="s">
        <v>3368</v>
      </c>
      <c r="G231" s="939" t="s">
        <v>2568</v>
      </c>
      <c r="H231" s="749">
        <v>44134</v>
      </c>
      <c r="I231" s="1125">
        <v>63259</v>
      </c>
      <c r="J231" s="961" t="s">
        <v>3423</v>
      </c>
      <c r="K231" s="966">
        <v>44134</v>
      </c>
      <c r="L231" s="181"/>
      <c r="M231" s="188"/>
      <c r="N231" s="181"/>
      <c r="O231" s="189"/>
      <c r="P231" s="189"/>
      <c r="Q231" s="189"/>
      <c r="R231" s="214"/>
      <c r="S231" s="191"/>
      <c r="T231" s="192"/>
      <c r="U231" s="193"/>
      <c r="V231" s="1254"/>
      <c r="W231" s="1254"/>
      <c r="X231" s="235"/>
      <c r="Y231" s="1254"/>
      <c r="Z231" s="1254"/>
      <c r="AA231" s="1254"/>
      <c r="AB231" s="1254"/>
      <c r="AC231" s="235"/>
      <c r="AD231" s="1303"/>
      <c r="AE231" s="200" t="s">
        <v>4476</v>
      </c>
      <c r="AF231" s="1242" t="s">
        <v>3423</v>
      </c>
      <c r="AG231" s="201">
        <v>40000</v>
      </c>
      <c r="AH231" s="237">
        <f t="shared" si="350"/>
        <v>2800</v>
      </c>
      <c r="AI231" s="202">
        <f t="shared" si="351"/>
        <v>42800</v>
      </c>
      <c r="AJ231" s="203">
        <v>44132</v>
      </c>
      <c r="AK231" s="199" t="s">
        <v>3423</v>
      </c>
      <c r="AL231" s="199"/>
      <c r="AM231" s="199"/>
      <c r="AN231" s="180"/>
      <c r="AO231" s="204"/>
      <c r="AP231" s="205"/>
      <c r="AQ231" s="206"/>
      <c r="AR231" s="206"/>
      <c r="AS231" s="207"/>
      <c r="AT231" s="208"/>
      <c r="AU231" s="204"/>
      <c r="AV231" s="210"/>
      <c r="AW231" s="204"/>
      <c r="AX231" s="204"/>
      <c r="AY231" s="204"/>
      <c r="AZ231" s="210"/>
      <c r="BA231" s="204"/>
      <c r="BB231" s="210"/>
      <c r="BC231" s="204"/>
      <c r="BD231" s="204"/>
      <c r="BE231" s="204"/>
      <c r="BF231" s="210"/>
      <c r="BG231" s="204"/>
      <c r="BH231" s="210"/>
      <c r="BI231" s="204"/>
      <c r="BJ231" s="204"/>
      <c r="BK231" s="204"/>
      <c r="BL231" s="210"/>
      <c r="BM231" s="204"/>
      <c r="BN231" s="210"/>
      <c r="BO231" s="204"/>
      <c r="BP231" s="204"/>
      <c r="BQ231" s="204"/>
      <c r="BR231" s="210"/>
      <c r="BS231" s="204"/>
      <c r="BT231" s="210"/>
      <c r="BU231" s="204"/>
      <c r="BV231" s="204"/>
      <c r="BW231" s="204"/>
      <c r="BX231" s="210"/>
      <c r="BY231" s="204"/>
      <c r="BZ231" s="210"/>
      <c r="CA231" s="204"/>
      <c r="CB231" s="204"/>
      <c r="CC231" s="204"/>
      <c r="CD231" s="210"/>
      <c r="CE231" s="204"/>
      <c r="CF231" s="210"/>
      <c r="CG231" s="204"/>
      <c r="CH231" s="204"/>
      <c r="CI231" s="204"/>
      <c r="CJ231" s="204"/>
    </row>
    <row r="232" spans="1:88" x14ac:dyDescent="0.5">
      <c r="A232" s="227">
        <v>20066585</v>
      </c>
      <c r="B232" s="22">
        <v>20060457</v>
      </c>
      <c r="C232" s="55"/>
      <c r="D232" s="56"/>
      <c r="E232" s="910"/>
      <c r="F232" s="57"/>
      <c r="G232" s="58"/>
      <c r="H232" s="59"/>
      <c r="I232" s="60"/>
      <c r="J232" s="269"/>
      <c r="K232" s="59"/>
      <c r="L232" s="22" t="s">
        <v>1562</v>
      </c>
      <c r="M232" s="28" t="s">
        <v>3888</v>
      </c>
      <c r="N232" s="22" t="s">
        <v>1523</v>
      </c>
      <c r="O232" s="29">
        <v>8500</v>
      </c>
      <c r="P232" s="29">
        <f t="shared" si="339"/>
        <v>595</v>
      </c>
      <c r="Q232" s="29">
        <f t="shared" si="324"/>
        <v>9095</v>
      </c>
      <c r="R232" s="61"/>
      <c r="S232" s="96"/>
      <c r="T232" s="97"/>
      <c r="U232" s="98"/>
      <c r="V232" s="1225"/>
      <c r="W232" s="1225"/>
      <c r="X232" s="100"/>
      <c r="Y232" s="1225"/>
      <c r="Z232" s="1225"/>
      <c r="AA232" s="1225"/>
      <c r="AB232" s="1225"/>
      <c r="AC232" s="100"/>
      <c r="AD232" s="595"/>
      <c r="AE232" s="40">
        <v>20060149</v>
      </c>
      <c r="AF232" s="1186" t="s">
        <v>3423</v>
      </c>
      <c r="AG232" s="41">
        <v>8500</v>
      </c>
      <c r="AH232" s="63">
        <f t="shared" si="341"/>
        <v>595</v>
      </c>
      <c r="AI232" s="52">
        <f t="shared" si="331"/>
        <v>9095</v>
      </c>
      <c r="AJ232" s="53">
        <v>43987</v>
      </c>
      <c r="AK232" s="39" t="s">
        <v>3423</v>
      </c>
      <c r="AL232" s="39"/>
      <c r="AM232" s="39"/>
      <c r="AN232" s="21" t="s">
        <v>4003</v>
      </c>
      <c r="AO232" s="1372">
        <v>1</v>
      </c>
      <c r="AP232" s="45" t="s">
        <v>404</v>
      </c>
      <c r="AQ232" s="46"/>
      <c r="AR232" s="46"/>
      <c r="AS232" s="47">
        <v>1</v>
      </c>
      <c r="AT232" s="102"/>
      <c r="AU232" s="1372"/>
      <c r="AV232" s="54"/>
      <c r="AW232" s="1372"/>
      <c r="AX232" s="1372"/>
      <c r="AY232" s="1372"/>
      <c r="AZ232" s="54"/>
      <c r="BA232" s="1372"/>
      <c r="BB232" s="54"/>
      <c r="BC232" s="1372"/>
      <c r="BD232" s="1372"/>
      <c r="BE232" s="1372"/>
      <c r="BF232" s="54"/>
      <c r="BG232" s="1372"/>
      <c r="BH232" s="54"/>
      <c r="BI232" s="1372"/>
      <c r="BJ232" s="1372"/>
      <c r="BK232" s="1372"/>
      <c r="BL232" s="54"/>
      <c r="BM232" s="1372"/>
      <c r="BN232" s="54"/>
      <c r="BO232" s="1372"/>
      <c r="BP232" s="1372"/>
      <c r="BQ232" s="1372"/>
      <c r="BR232" s="54"/>
      <c r="BS232" s="1372"/>
      <c r="BT232" s="54"/>
      <c r="BU232" s="1372"/>
      <c r="BV232" s="1372"/>
      <c r="BW232" s="1372"/>
      <c r="BX232" s="54"/>
      <c r="BY232" s="1372"/>
      <c r="BZ232" s="54"/>
      <c r="CA232" s="1372"/>
      <c r="CB232" s="1372"/>
      <c r="CC232" s="1372"/>
      <c r="CD232" s="54"/>
      <c r="CE232" s="1372"/>
      <c r="CF232" s="54"/>
      <c r="CG232" s="1372"/>
      <c r="CH232" s="1372"/>
      <c r="CI232" s="1372"/>
      <c r="CJ232" s="1372"/>
    </row>
    <row r="233" spans="1:88" x14ac:dyDescent="0.5">
      <c r="A233" s="227">
        <v>20066584</v>
      </c>
      <c r="B233" s="22">
        <v>20060451</v>
      </c>
      <c r="C233" s="55"/>
      <c r="D233" s="56"/>
      <c r="E233" s="910"/>
      <c r="F233" s="57"/>
      <c r="G233" s="58"/>
      <c r="H233" s="59"/>
      <c r="I233" s="60"/>
      <c r="J233" s="269"/>
      <c r="K233" s="59"/>
      <c r="L233" s="22" t="s">
        <v>2798</v>
      </c>
      <c r="M233" s="28" t="s">
        <v>3886</v>
      </c>
      <c r="N233" s="22" t="s">
        <v>51</v>
      </c>
      <c r="O233" s="29">
        <v>26500</v>
      </c>
      <c r="P233" s="29">
        <f t="shared" si="339"/>
        <v>1855</v>
      </c>
      <c r="Q233" s="29">
        <f t="shared" si="324"/>
        <v>28355</v>
      </c>
      <c r="R233" s="61"/>
      <c r="S233" s="96"/>
      <c r="T233" s="97"/>
      <c r="U233" s="98"/>
      <c r="V233" s="1225"/>
      <c r="W233" s="1225"/>
      <c r="X233" s="100"/>
      <c r="Y233" s="1225"/>
      <c r="Z233" s="1225"/>
      <c r="AA233" s="1225"/>
      <c r="AB233" s="1225"/>
      <c r="AC233" s="100"/>
      <c r="AD233" s="595"/>
      <c r="AE233" s="40">
        <v>20060162</v>
      </c>
      <c r="AF233" s="1186" t="s">
        <v>3423</v>
      </c>
      <c r="AG233" s="41">
        <v>26500</v>
      </c>
      <c r="AH233" s="63">
        <f t="shared" si="341"/>
        <v>1855</v>
      </c>
      <c r="AI233" s="52">
        <f t="shared" si="331"/>
        <v>28355</v>
      </c>
      <c r="AJ233" s="53">
        <v>44027</v>
      </c>
      <c r="AK233" s="39" t="s">
        <v>3423</v>
      </c>
      <c r="AL233" s="39"/>
      <c r="AM233" s="39"/>
      <c r="AN233" s="21" t="s">
        <v>4352</v>
      </c>
      <c r="AO233" s="1372">
        <v>1</v>
      </c>
      <c r="AP233" s="45" t="s">
        <v>3887</v>
      </c>
      <c r="AQ233" s="46"/>
      <c r="AR233" s="46"/>
      <c r="AS233" s="47">
        <v>1</v>
      </c>
      <c r="AT233" s="48" t="s">
        <v>628</v>
      </c>
      <c r="AU233" s="1372"/>
      <c r="AV233" s="54"/>
      <c r="AW233" s="1372"/>
      <c r="AX233" s="1372"/>
      <c r="AY233" s="1372"/>
      <c r="AZ233" s="54"/>
      <c r="BA233" s="1372"/>
      <c r="BB233" s="54"/>
      <c r="BC233" s="1372"/>
      <c r="BD233" s="1372"/>
      <c r="BE233" s="1372"/>
      <c r="BF233" s="54"/>
      <c r="BG233" s="1372"/>
      <c r="BH233" s="54"/>
      <c r="BI233" s="1372"/>
      <c r="BJ233" s="1372"/>
      <c r="BK233" s="1372"/>
      <c r="BL233" s="54"/>
      <c r="BM233" s="1372"/>
      <c r="BN233" s="54"/>
      <c r="BO233" s="1372"/>
      <c r="BP233" s="1372"/>
      <c r="BQ233" s="1372"/>
      <c r="BR233" s="54"/>
      <c r="BS233" s="1372"/>
      <c r="BT233" s="54"/>
      <c r="BU233" s="1372"/>
      <c r="BV233" s="1372"/>
      <c r="BW233" s="1372"/>
      <c r="BX233" s="54"/>
      <c r="BY233" s="1372"/>
      <c r="BZ233" s="54"/>
      <c r="CA233" s="1372"/>
      <c r="CB233" s="1372"/>
      <c r="CC233" s="1372"/>
      <c r="CD233" s="54"/>
      <c r="CE233" s="1372"/>
      <c r="CF233" s="54"/>
      <c r="CG233" s="1372"/>
      <c r="CH233" s="1372"/>
      <c r="CI233" s="1372"/>
      <c r="CJ233" s="1372"/>
    </row>
    <row r="234" spans="1:88" x14ac:dyDescent="0.5">
      <c r="A234" s="227">
        <v>20066583</v>
      </c>
      <c r="B234" s="22">
        <v>20060450</v>
      </c>
      <c r="C234" s="55"/>
      <c r="D234" s="56"/>
      <c r="E234" s="910"/>
      <c r="F234" s="57"/>
      <c r="G234" s="58"/>
      <c r="H234" s="59"/>
      <c r="I234" s="60"/>
      <c r="J234" s="269"/>
      <c r="K234" s="59"/>
      <c r="L234" s="22" t="s">
        <v>3882</v>
      </c>
      <c r="M234" s="28" t="s">
        <v>3883</v>
      </c>
      <c r="N234" s="22" t="s">
        <v>51</v>
      </c>
      <c r="O234" s="29">
        <v>17000</v>
      </c>
      <c r="P234" s="29">
        <f t="shared" si="323"/>
        <v>1190</v>
      </c>
      <c r="Q234" s="29">
        <f t="shared" ref="Q234:Q267" si="362">O234+P234</f>
        <v>18190</v>
      </c>
      <c r="R234" s="61"/>
      <c r="S234" s="96"/>
      <c r="T234" s="97"/>
      <c r="U234" s="98"/>
      <c r="V234" s="1225"/>
      <c r="W234" s="1225"/>
      <c r="X234" s="100"/>
      <c r="Y234" s="1225"/>
      <c r="Z234" s="1225"/>
      <c r="AA234" s="1225"/>
      <c r="AB234" s="1225"/>
      <c r="AC234" s="100"/>
      <c r="AD234" s="595"/>
      <c r="AE234" s="40">
        <v>20060160</v>
      </c>
      <c r="AF234" s="1186" t="s">
        <v>3423</v>
      </c>
      <c r="AG234" s="41">
        <v>17000</v>
      </c>
      <c r="AH234" s="63">
        <f t="shared" si="330"/>
        <v>1190</v>
      </c>
      <c r="AI234" s="52">
        <f t="shared" ref="AI234:AI267" si="363">AG234+AH234</f>
        <v>18190</v>
      </c>
      <c r="AJ234" s="53">
        <v>44027</v>
      </c>
      <c r="AK234" s="39" t="s">
        <v>3423</v>
      </c>
      <c r="AL234" s="39"/>
      <c r="AM234" s="39"/>
      <c r="AN234" s="21" t="s">
        <v>4351</v>
      </c>
      <c r="AO234" s="1364">
        <v>1</v>
      </c>
      <c r="AP234" s="45" t="s">
        <v>3884</v>
      </c>
      <c r="AQ234" s="46"/>
      <c r="AR234" s="46"/>
      <c r="AS234" s="47">
        <v>1</v>
      </c>
      <c r="AT234" s="48" t="s">
        <v>628</v>
      </c>
      <c r="AU234" s="1364">
        <v>2</v>
      </c>
      <c r="AV234" s="40" t="s">
        <v>3885</v>
      </c>
      <c r="AW234" s="47"/>
      <c r="AX234" s="47"/>
      <c r="AY234" s="47">
        <v>1</v>
      </c>
      <c r="AZ234" s="49" t="s">
        <v>628</v>
      </c>
      <c r="BA234" s="1372"/>
      <c r="BB234" s="54"/>
      <c r="BC234" s="1372"/>
      <c r="BD234" s="1372"/>
      <c r="BE234" s="1372"/>
      <c r="BF234" s="54"/>
      <c r="BG234" s="1372"/>
      <c r="BH234" s="54"/>
      <c r="BI234" s="1372"/>
      <c r="BJ234" s="1372"/>
      <c r="BK234" s="1372"/>
      <c r="BL234" s="54"/>
      <c r="BM234" s="1372"/>
      <c r="BN234" s="54"/>
      <c r="BO234" s="1372"/>
      <c r="BP234" s="1372"/>
      <c r="BQ234" s="1372"/>
      <c r="BR234" s="54"/>
      <c r="BS234" s="1372"/>
      <c r="BT234" s="54"/>
      <c r="BU234" s="1372"/>
      <c r="BV234" s="1372"/>
      <c r="BW234" s="1372"/>
      <c r="BX234" s="54"/>
      <c r="BY234" s="1372"/>
      <c r="BZ234" s="54"/>
      <c r="CA234" s="1372"/>
      <c r="CB234" s="1372"/>
      <c r="CC234" s="1372"/>
      <c r="CD234" s="54"/>
      <c r="CE234" s="1372"/>
      <c r="CF234" s="54"/>
      <c r="CG234" s="1372"/>
      <c r="CH234" s="1372"/>
      <c r="CI234" s="1372"/>
      <c r="CJ234" s="1372"/>
    </row>
    <row r="235" spans="1:88" x14ac:dyDescent="0.5">
      <c r="A235" s="21">
        <v>20066582</v>
      </c>
      <c r="B235" s="22">
        <v>20060446</v>
      </c>
      <c r="C235" s="1019" t="s">
        <v>1371</v>
      </c>
      <c r="D235" s="1020" t="s">
        <v>2691</v>
      </c>
      <c r="E235" s="884">
        <v>44001</v>
      </c>
      <c r="F235" s="932" t="s">
        <v>3368</v>
      </c>
      <c r="G235" s="933" t="s">
        <v>1365</v>
      </c>
      <c r="H235" s="884">
        <v>44001</v>
      </c>
      <c r="I235" s="1021">
        <v>63150</v>
      </c>
      <c r="J235" s="931" t="s">
        <v>3423</v>
      </c>
      <c r="K235" s="957">
        <v>44002</v>
      </c>
      <c r="L235" s="22" t="s">
        <v>1160</v>
      </c>
      <c r="M235" s="28" t="s">
        <v>3880</v>
      </c>
      <c r="N235" s="22" t="s">
        <v>50</v>
      </c>
      <c r="O235" s="29">
        <v>27968</v>
      </c>
      <c r="P235" s="29">
        <f t="shared" ref="P235:P246" si="364">O235*7/100</f>
        <v>1957.76</v>
      </c>
      <c r="Q235" s="29">
        <f t="shared" ref="Q235:Q246" si="365">O235+P235</f>
        <v>29925.759999999998</v>
      </c>
      <c r="R235" s="61"/>
      <c r="S235" s="96"/>
      <c r="T235" s="97"/>
      <c r="U235" s="98"/>
      <c r="V235" s="1225"/>
      <c r="W235" s="1231">
        <v>62</v>
      </c>
      <c r="X235" s="1184">
        <f>O235</f>
        <v>27968</v>
      </c>
      <c r="Y235" s="1223">
        <f t="shared" ref="Y235:Y244" si="366">SUM((50-W235)/(100)*(2.5)+(0.5))</f>
        <v>0.2</v>
      </c>
      <c r="Z235" s="1223">
        <f>27968*0.2/100</f>
        <v>55.936000000000007</v>
      </c>
      <c r="AA235" s="1225"/>
      <c r="AB235" s="1225">
        <f t="shared" ref="AB235:AB244" si="367">X235*AA235/100</f>
        <v>0</v>
      </c>
      <c r="AC235" s="37">
        <v>0.2</v>
      </c>
      <c r="AD235" s="1234">
        <f t="shared" ref="AD235:AD244" si="368">X235*AC235/100</f>
        <v>55.936000000000007</v>
      </c>
      <c r="AE235" s="40">
        <v>20060175</v>
      </c>
      <c r="AF235" s="1186" t="s">
        <v>3423</v>
      </c>
      <c r="AG235" s="41">
        <v>27968</v>
      </c>
      <c r="AH235" s="63">
        <f t="shared" ref="AH235:AH246" si="369">AG235*7/100</f>
        <v>1957.76</v>
      </c>
      <c r="AI235" s="52">
        <f t="shared" ref="AI235:AI246" si="370">AG235+AH235</f>
        <v>29925.759999999998</v>
      </c>
      <c r="AJ235" s="53">
        <v>44037</v>
      </c>
      <c r="AK235" s="39"/>
      <c r="AL235" s="39"/>
      <c r="AM235" s="39" t="s">
        <v>3423</v>
      </c>
      <c r="AN235" s="21"/>
      <c r="AO235" s="1369">
        <v>1</v>
      </c>
      <c r="AP235" s="45" t="s">
        <v>3881</v>
      </c>
      <c r="AQ235" s="46" t="s">
        <v>3423</v>
      </c>
      <c r="AR235" s="46"/>
      <c r="AS235" s="47">
        <v>2</v>
      </c>
      <c r="AT235" s="48" t="s">
        <v>636</v>
      </c>
      <c r="AU235" s="1372"/>
      <c r="AV235" s="54"/>
      <c r="AW235" s="1372"/>
      <c r="AX235" s="1372"/>
      <c r="AY235" s="1372"/>
      <c r="AZ235" s="54"/>
      <c r="BA235" s="1372"/>
      <c r="BB235" s="54"/>
      <c r="BC235" s="1372"/>
      <c r="BD235" s="1372"/>
      <c r="BE235" s="1372"/>
      <c r="BF235" s="54"/>
      <c r="BG235" s="1372"/>
      <c r="BH235" s="54"/>
      <c r="BI235" s="1372"/>
      <c r="BJ235" s="1372"/>
      <c r="BK235" s="1372"/>
      <c r="BL235" s="54"/>
      <c r="BM235" s="1372"/>
      <c r="BN235" s="54"/>
      <c r="BO235" s="1372"/>
      <c r="BP235" s="1372"/>
      <c r="BQ235" s="1372"/>
      <c r="BR235" s="54"/>
      <c r="BS235" s="1372"/>
      <c r="BT235" s="54"/>
      <c r="BU235" s="1372"/>
      <c r="BV235" s="1372"/>
      <c r="BW235" s="1372"/>
      <c r="BX235" s="54"/>
      <c r="BY235" s="1372"/>
      <c r="BZ235" s="54"/>
      <c r="CA235" s="1372"/>
      <c r="CB235" s="1372"/>
      <c r="CC235" s="1372"/>
      <c r="CD235" s="54"/>
      <c r="CE235" s="1372"/>
      <c r="CF235" s="54"/>
      <c r="CG235" s="1372"/>
      <c r="CH235" s="1372"/>
      <c r="CI235" s="1372"/>
      <c r="CJ235" s="1372"/>
    </row>
    <row r="236" spans="1:88" s="95" customFormat="1" x14ac:dyDescent="0.5">
      <c r="A236" s="65">
        <v>20066581</v>
      </c>
      <c r="B236" s="66">
        <v>20060445</v>
      </c>
      <c r="C236" s="327" t="s">
        <v>1372</v>
      </c>
      <c r="D236" s="328" t="s">
        <v>2691</v>
      </c>
      <c r="E236" s="905">
        <v>44005</v>
      </c>
      <c r="F236" s="934"/>
      <c r="G236" s="935"/>
      <c r="H236" s="326"/>
      <c r="I236" s="331"/>
      <c r="J236" s="958"/>
      <c r="K236" s="84"/>
      <c r="L236" s="66" t="s">
        <v>15</v>
      </c>
      <c r="M236" s="72" t="s">
        <v>3891</v>
      </c>
      <c r="N236" s="66" t="s">
        <v>51</v>
      </c>
      <c r="O236" s="73">
        <v>163578</v>
      </c>
      <c r="P236" s="73">
        <f t="shared" ref="P236:P240" si="371">O236*7/100</f>
        <v>11450.46</v>
      </c>
      <c r="Q236" s="73">
        <f t="shared" ref="Q236:Q240" si="372">O236+P236</f>
        <v>175028.46</v>
      </c>
      <c r="R236" s="318"/>
      <c r="S236" s="319"/>
      <c r="T236" s="320"/>
      <c r="U236" s="321"/>
      <c r="V236" s="1321"/>
      <c r="W236" s="1321"/>
      <c r="X236" s="323"/>
      <c r="Y236" s="1321"/>
      <c r="Z236" s="1321"/>
      <c r="AA236" s="1321"/>
      <c r="AB236" s="1321"/>
      <c r="AC236" s="323"/>
      <c r="AD236" s="1322"/>
      <c r="AE236" s="84"/>
      <c r="AF236" s="1323"/>
      <c r="AG236" s="85"/>
      <c r="AH236" s="590">
        <f t="shared" ref="AH236:AH241" si="373">AG236*7/100</f>
        <v>0</v>
      </c>
      <c r="AI236" s="908">
        <f t="shared" ref="AI236:AI241" si="374">AG236+AH236</f>
        <v>0</v>
      </c>
      <c r="AJ236" s="87"/>
      <c r="AK236" s="83"/>
      <c r="AL236" s="83"/>
      <c r="AM236" s="83"/>
      <c r="AN236" s="65"/>
      <c r="AO236" s="88">
        <v>1</v>
      </c>
      <c r="AP236" s="89" t="s">
        <v>2413</v>
      </c>
      <c r="AQ236" s="90" t="s">
        <v>3423</v>
      </c>
      <c r="AR236" s="90"/>
      <c r="AS236" s="91">
        <v>1</v>
      </c>
      <c r="AT236" s="92" t="s">
        <v>633</v>
      </c>
      <c r="AU236" s="88">
        <v>2</v>
      </c>
      <c r="AV236" s="84" t="s">
        <v>3895</v>
      </c>
      <c r="AW236" s="91"/>
      <c r="AX236" s="91"/>
      <c r="AY236" s="91">
        <v>1</v>
      </c>
      <c r="AZ236" s="93" t="s">
        <v>633</v>
      </c>
      <c r="BA236" s="88"/>
      <c r="BB236" s="94"/>
      <c r="BC236" s="88"/>
      <c r="BD236" s="88"/>
      <c r="BE236" s="88"/>
      <c r="BF236" s="94"/>
      <c r="BG236" s="88"/>
      <c r="BH236" s="94"/>
      <c r="BI236" s="88"/>
      <c r="BJ236" s="88"/>
      <c r="BK236" s="88"/>
      <c r="BL236" s="94"/>
      <c r="BM236" s="88"/>
      <c r="BN236" s="94"/>
      <c r="BO236" s="88"/>
      <c r="BP236" s="88"/>
      <c r="BQ236" s="88"/>
      <c r="BR236" s="94"/>
      <c r="BS236" s="88"/>
      <c r="BT236" s="94"/>
      <c r="BU236" s="88"/>
      <c r="BV236" s="88"/>
      <c r="BW236" s="88"/>
      <c r="BX236" s="94"/>
      <c r="BY236" s="88"/>
      <c r="BZ236" s="94"/>
      <c r="CA236" s="88"/>
      <c r="CB236" s="88"/>
      <c r="CC236" s="88"/>
      <c r="CD236" s="94"/>
      <c r="CE236" s="88"/>
      <c r="CF236" s="94"/>
      <c r="CG236" s="88"/>
      <c r="CH236" s="88"/>
      <c r="CI236" s="88"/>
      <c r="CJ236" s="88"/>
    </row>
    <row r="237" spans="1:88" s="1375" customFormat="1" ht="22.5" thickBot="1" x14ac:dyDescent="0.55000000000000004">
      <c r="A237" s="1810">
        <v>20066580</v>
      </c>
      <c r="B237" s="1270">
        <v>20060443</v>
      </c>
      <c r="C237" s="1376"/>
      <c r="D237" s="1377"/>
      <c r="E237" s="1378"/>
      <c r="F237" s="1379"/>
      <c r="G237" s="1380"/>
      <c r="H237" s="1381"/>
      <c r="I237" s="1382"/>
      <c r="J237" s="1383"/>
      <c r="K237" s="1381"/>
      <c r="L237" s="1270" t="s">
        <v>3717</v>
      </c>
      <c r="M237" s="1272" t="s">
        <v>3879</v>
      </c>
      <c r="N237" s="1270" t="s">
        <v>50</v>
      </c>
      <c r="O237" s="1273">
        <v>16600</v>
      </c>
      <c r="P237" s="1273">
        <f t="shared" si="371"/>
        <v>1162</v>
      </c>
      <c r="Q237" s="1273">
        <f t="shared" si="372"/>
        <v>17762</v>
      </c>
      <c r="R237" s="1299"/>
      <c r="S237" s="1275"/>
      <c r="T237" s="1274"/>
      <c r="U237" s="1276"/>
      <c r="V237" s="1277"/>
      <c r="W237" s="1277"/>
      <c r="X237" s="1278"/>
      <c r="Y237" s="1277"/>
      <c r="Z237" s="1277"/>
      <c r="AA237" s="1277"/>
      <c r="AB237" s="1277"/>
      <c r="AC237" s="1278"/>
      <c r="AD237" s="1279"/>
      <c r="AE237" s="1271">
        <v>20060146</v>
      </c>
      <c r="AF237" s="1280" t="s">
        <v>3423</v>
      </c>
      <c r="AG237" s="1281">
        <v>16600</v>
      </c>
      <c r="AH237" s="1282">
        <f t="shared" si="373"/>
        <v>1162</v>
      </c>
      <c r="AI237" s="1283">
        <f t="shared" si="374"/>
        <v>17762</v>
      </c>
      <c r="AJ237" s="1300">
        <v>43983</v>
      </c>
      <c r="AK237" s="1284" t="s">
        <v>3423</v>
      </c>
      <c r="AL237" s="1284"/>
      <c r="AM237" s="1284"/>
      <c r="AN237" s="1269" t="s">
        <v>4319</v>
      </c>
      <c r="AO237" s="1285">
        <v>1</v>
      </c>
      <c r="AP237" s="1286" t="s">
        <v>404</v>
      </c>
      <c r="AQ237" s="1287"/>
      <c r="AR237" s="1287"/>
      <c r="AS237" s="1288">
        <v>1</v>
      </c>
      <c r="AT237" s="1384"/>
      <c r="AU237" s="1285"/>
      <c r="AV237" s="1289"/>
      <c r="AW237" s="1285"/>
      <c r="AX237" s="1285"/>
      <c r="AY237" s="1285"/>
      <c r="AZ237" s="1289"/>
      <c r="BA237" s="1285"/>
      <c r="BB237" s="1289"/>
      <c r="BC237" s="1285"/>
      <c r="BD237" s="1285"/>
      <c r="BE237" s="1285"/>
      <c r="BF237" s="1289"/>
      <c r="BG237" s="1285"/>
      <c r="BH237" s="1289"/>
      <c r="BI237" s="1285"/>
      <c r="BJ237" s="1285"/>
      <c r="BK237" s="1285"/>
      <c r="BL237" s="1289"/>
      <c r="BM237" s="1285"/>
      <c r="BN237" s="1289"/>
      <c r="BO237" s="1285"/>
      <c r="BP237" s="1285"/>
      <c r="BQ237" s="1285"/>
      <c r="BR237" s="1289"/>
      <c r="BS237" s="1285"/>
      <c r="BT237" s="1289"/>
      <c r="BU237" s="1285"/>
      <c r="BV237" s="1285"/>
      <c r="BW237" s="1285"/>
      <c r="BX237" s="1289"/>
      <c r="BY237" s="1285"/>
      <c r="BZ237" s="1289"/>
      <c r="CA237" s="1285"/>
      <c r="CB237" s="1285"/>
      <c r="CC237" s="1285"/>
      <c r="CD237" s="1289"/>
      <c r="CE237" s="1285"/>
      <c r="CF237" s="1289"/>
      <c r="CG237" s="1285"/>
      <c r="CH237" s="1285"/>
      <c r="CI237" s="1285"/>
      <c r="CJ237" s="1285"/>
    </row>
    <row r="238" spans="1:88" ht="22.5" thickTop="1" x14ac:dyDescent="0.5">
      <c r="A238" s="1809">
        <v>20056579</v>
      </c>
      <c r="B238" s="1741">
        <v>20050434</v>
      </c>
      <c r="C238" s="1742" t="s">
        <v>1373</v>
      </c>
      <c r="D238" s="1743" t="s">
        <v>2691</v>
      </c>
      <c r="E238" s="1744">
        <v>44027</v>
      </c>
      <c r="F238" s="1745"/>
      <c r="G238" s="1746"/>
      <c r="H238" s="1747"/>
      <c r="I238" s="1748"/>
      <c r="J238" s="1749" t="s">
        <v>3423</v>
      </c>
      <c r="K238" s="1750"/>
      <c r="L238" s="1741" t="s">
        <v>3855</v>
      </c>
      <c r="M238" s="1741" t="s">
        <v>3856</v>
      </c>
      <c r="N238" s="1741" t="s">
        <v>3653</v>
      </c>
      <c r="O238" s="1751">
        <v>245000</v>
      </c>
      <c r="P238" s="1751">
        <f t="shared" si="371"/>
        <v>17150</v>
      </c>
      <c r="Q238" s="1751">
        <f t="shared" si="372"/>
        <v>262150</v>
      </c>
      <c r="R238" s="1752"/>
      <c r="S238" s="1753"/>
      <c r="T238" s="1754"/>
      <c r="U238" s="1755"/>
      <c r="V238" s="1756"/>
      <c r="W238" s="1756"/>
      <c r="X238" s="1757">
        <f>O238</f>
        <v>245000</v>
      </c>
      <c r="Y238" s="1758">
        <v>1</v>
      </c>
      <c r="Z238" s="1758">
        <f>245000*1/100</f>
        <v>2450</v>
      </c>
      <c r="AA238" s="1756"/>
      <c r="AB238" s="1756">
        <f t="shared" ref="AB238:AB240" si="375">X238*AA238/100</f>
        <v>0</v>
      </c>
      <c r="AC238" s="1759">
        <v>0.5</v>
      </c>
      <c r="AD238" s="1760">
        <f t="shared" ref="AD238:AD240" si="376">X238*AC238/100</f>
        <v>1225</v>
      </c>
      <c r="AE238" s="1767">
        <v>20070195</v>
      </c>
      <c r="AF238" s="1768"/>
      <c r="AG238" s="1769">
        <v>73500</v>
      </c>
      <c r="AH238" s="1770">
        <f t="shared" si="373"/>
        <v>5145</v>
      </c>
      <c r="AI238" s="1771">
        <f t="shared" si="374"/>
        <v>78645</v>
      </c>
      <c r="AJ238" s="1772">
        <v>44029</v>
      </c>
      <c r="AK238" s="1773" t="s">
        <v>3423</v>
      </c>
      <c r="AL238" s="1773"/>
      <c r="AM238" s="1773"/>
      <c r="AN238" s="1774" t="s">
        <v>4096</v>
      </c>
      <c r="AO238" s="1761">
        <v>1</v>
      </c>
      <c r="AP238" s="1762" t="s">
        <v>3857</v>
      </c>
      <c r="AQ238" s="1763"/>
      <c r="AR238" s="1763"/>
      <c r="AS238" s="1764">
        <v>1</v>
      </c>
      <c r="AT238" s="1765" t="s">
        <v>1485</v>
      </c>
      <c r="AU238" s="1761"/>
      <c r="AV238" s="1766"/>
      <c r="AW238" s="1761"/>
      <c r="AX238" s="1761"/>
      <c r="AY238" s="1761"/>
      <c r="AZ238" s="1766"/>
      <c r="BA238" s="1761"/>
      <c r="BB238" s="1766"/>
      <c r="BC238" s="1761"/>
      <c r="BD238" s="1761"/>
      <c r="BE238" s="1761"/>
      <c r="BF238" s="1766"/>
      <c r="BG238" s="1761"/>
      <c r="BH238" s="1766"/>
      <c r="BI238" s="1761"/>
      <c r="BJ238" s="1761"/>
      <c r="BK238" s="1761"/>
      <c r="BL238" s="1766"/>
      <c r="BM238" s="1761"/>
      <c r="BN238" s="1766"/>
      <c r="BO238" s="1761"/>
      <c r="BP238" s="1761"/>
      <c r="BQ238" s="1761"/>
      <c r="BR238" s="1766"/>
      <c r="BS238" s="1761"/>
      <c r="BT238" s="1766"/>
      <c r="BU238" s="1761"/>
      <c r="BV238" s="1761"/>
      <c r="BW238" s="1761"/>
      <c r="BX238" s="1766"/>
      <c r="BY238" s="1761"/>
      <c r="BZ238" s="1766"/>
      <c r="CA238" s="1761"/>
      <c r="CB238" s="1761"/>
      <c r="CC238" s="1761"/>
      <c r="CD238" s="1766"/>
      <c r="CE238" s="1761"/>
      <c r="CF238" s="1766"/>
      <c r="CG238" s="1761"/>
      <c r="CH238" s="1761"/>
      <c r="CI238" s="1761"/>
      <c r="CJ238" s="1761"/>
    </row>
    <row r="239" spans="1:88" x14ac:dyDescent="0.5">
      <c r="A239" s="262"/>
      <c r="B239" s="135"/>
      <c r="C239" s="1290"/>
      <c r="D239" s="1291"/>
      <c r="E239" s="906"/>
      <c r="F239" s="940"/>
      <c r="G239" s="941"/>
      <c r="H239" s="1307"/>
      <c r="I239" s="1138"/>
      <c r="J239" s="963"/>
      <c r="K239" s="154"/>
      <c r="L239" s="135"/>
      <c r="M239" s="141"/>
      <c r="N239" s="135"/>
      <c r="O239" s="142"/>
      <c r="P239" s="142"/>
      <c r="Q239" s="142"/>
      <c r="R239" s="213"/>
      <c r="S239" s="172"/>
      <c r="T239" s="173"/>
      <c r="U239" s="174"/>
      <c r="V239" s="1296"/>
      <c r="W239" s="1296"/>
      <c r="X239" s="1294"/>
      <c r="Y239" s="1295"/>
      <c r="Z239" s="1295"/>
      <c r="AA239" s="1296"/>
      <c r="AB239" s="1296"/>
      <c r="AC239" s="150"/>
      <c r="AD239" s="1297"/>
      <c r="AE239" s="154">
        <v>20090241</v>
      </c>
      <c r="AF239" s="1298" t="s">
        <v>3423</v>
      </c>
      <c r="AG239" s="155">
        <v>171500</v>
      </c>
      <c r="AH239" s="253">
        <f t="shared" si="373"/>
        <v>12005</v>
      </c>
      <c r="AI239" s="156">
        <f t="shared" si="374"/>
        <v>183505</v>
      </c>
      <c r="AJ239" s="157">
        <v>44088</v>
      </c>
      <c r="AK239" s="152" t="s">
        <v>3423</v>
      </c>
      <c r="AL239" s="152"/>
      <c r="AM239" s="152"/>
      <c r="AN239" s="134" t="s">
        <v>4317</v>
      </c>
      <c r="AO239" s="158"/>
      <c r="AP239" s="159"/>
      <c r="AQ239" s="160"/>
      <c r="AR239" s="160"/>
      <c r="AS239" s="161"/>
      <c r="AT239" s="162"/>
      <c r="AU239" s="158"/>
      <c r="AV239" s="163"/>
      <c r="AW239" s="158"/>
      <c r="AX239" s="158"/>
      <c r="AY239" s="158"/>
      <c r="AZ239" s="163"/>
      <c r="BA239" s="158"/>
      <c r="BB239" s="163"/>
      <c r="BC239" s="158"/>
      <c r="BD239" s="158"/>
      <c r="BE239" s="158"/>
      <c r="BF239" s="163"/>
      <c r="BG239" s="158"/>
      <c r="BH239" s="163"/>
      <c r="BI239" s="158"/>
      <c r="BJ239" s="158"/>
      <c r="BK239" s="158"/>
      <c r="BL239" s="163"/>
      <c r="BM239" s="158"/>
      <c r="BN239" s="163"/>
      <c r="BO239" s="158"/>
      <c r="BP239" s="158"/>
      <c r="BQ239" s="158"/>
      <c r="BR239" s="163"/>
      <c r="BS239" s="158"/>
      <c r="BT239" s="163"/>
      <c r="BU239" s="158"/>
      <c r="BV239" s="158"/>
      <c r="BW239" s="158"/>
      <c r="BX239" s="163"/>
      <c r="BY239" s="158"/>
      <c r="BZ239" s="163"/>
      <c r="CA239" s="158"/>
      <c r="CB239" s="158"/>
      <c r="CC239" s="158"/>
      <c r="CD239" s="163"/>
      <c r="CE239" s="158"/>
      <c r="CF239" s="163"/>
      <c r="CG239" s="158"/>
      <c r="CH239" s="158"/>
      <c r="CI239" s="158"/>
      <c r="CJ239" s="158"/>
    </row>
    <row r="240" spans="1:88" x14ac:dyDescent="0.5">
      <c r="A240" s="259">
        <v>20056578</v>
      </c>
      <c r="B240" s="104" t="s">
        <v>3858</v>
      </c>
      <c r="C240" s="1243" t="s">
        <v>1374</v>
      </c>
      <c r="D240" s="1244" t="s">
        <v>2691</v>
      </c>
      <c r="E240" s="302">
        <v>44012</v>
      </c>
      <c r="F240" s="936" t="s">
        <v>3368</v>
      </c>
      <c r="G240" s="937" t="s">
        <v>2247</v>
      </c>
      <c r="H240" s="914">
        <v>44021</v>
      </c>
      <c r="I240" s="1315">
        <v>63178</v>
      </c>
      <c r="J240" s="960" t="s">
        <v>3423</v>
      </c>
      <c r="K240" s="965">
        <v>44024</v>
      </c>
      <c r="L240" s="104" t="s">
        <v>3859</v>
      </c>
      <c r="M240" s="110" t="s">
        <v>3860</v>
      </c>
      <c r="N240" s="104" t="s">
        <v>3646</v>
      </c>
      <c r="O240" s="111">
        <v>279840</v>
      </c>
      <c r="P240" s="111">
        <f t="shared" si="371"/>
        <v>19588.8</v>
      </c>
      <c r="Q240" s="111">
        <f t="shared" si="372"/>
        <v>299428.8</v>
      </c>
      <c r="R240" s="311">
        <v>28000</v>
      </c>
      <c r="S240" s="165"/>
      <c r="T240" s="166"/>
      <c r="U240" s="167"/>
      <c r="V240" s="1302">
        <f t="shared" ref="V240" si="377">T240*U240/100</f>
        <v>0</v>
      </c>
      <c r="W240" s="1245">
        <v>60</v>
      </c>
      <c r="X240" s="1246">
        <f>O240-R240</f>
        <v>251840</v>
      </c>
      <c r="Y240" s="1247">
        <f t="shared" ref="Y240" si="378">SUM((50-W240)/(100)*(2.5)+(0.5))</f>
        <v>0.25</v>
      </c>
      <c r="Z240" s="1247">
        <f>251840*0.25/100</f>
        <v>629.6</v>
      </c>
      <c r="AA240" s="1302"/>
      <c r="AB240" s="1302">
        <f t="shared" si="375"/>
        <v>0</v>
      </c>
      <c r="AC240" s="119">
        <v>0.2</v>
      </c>
      <c r="AD240" s="1248">
        <f t="shared" si="376"/>
        <v>503.68</v>
      </c>
      <c r="AE240" s="229">
        <v>20060181</v>
      </c>
      <c r="AF240" s="1313"/>
      <c r="AG240" s="230">
        <v>83952</v>
      </c>
      <c r="AH240" s="233">
        <f t="shared" si="373"/>
        <v>5876.64</v>
      </c>
      <c r="AI240" s="220">
        <f t="shared" si="374"/>
        <v>89828.64</v>
      </c>
      <c r="AJ240" s="221">
        <v>44012</v>
      </c>
      <c r="AK240" s="121" t="s">
        <v>3423</v>
      </c>
      <c r="AL240" s="121"/>
      <c r="AM240" s="121"/>
      <c r="AN240" s="979" t="s">
        <v>4105</v>
      </c>
      <c r="AO240" s="128">
        <v>1</v>
      </c>
      <c r="AP240" s="129" t="s">
        <v>779</v>
      </c>
      <c r="AQ240" s="130"/>
      <c r="AR240" s="130"/>
      <c r="AS240" s="131">
        <v>2</v>
      </c>
      <c r="AT240" s="132" t="s">
        <v>634</v>
      </c>
      <c r="AU240" s="128"/>
      <c r="AV240" s="133"/>
      <c r="AW240" s="128"/>
      <c r="AX240" s="128"/>
      <c r="AY240" s="128"/>
      <c r="AZ240" s="133"/>
      <c r="BA240" s="128"/>
      <c r="BB240" s="133"/>
      <c r="BC240" s="128"/>
      <c r="BD240" s="128"/>
      <c r="BE240" s="128"/>
      <c r="BF240" s="133"/>
      <c r="BG240" s="128"/>
      <c r="BH240" s="133"/>
      <c r="BI240" s="128"/>
      <c r="BJ240" s="128"/>
      <c r="BK240" s="128"/>
      <c r="BL240" s="133"/>
      <c r="BM240" s="128"/>
      <c r="BN240" s="133"/>
      <c r="BO240" s="128"/>
      <c r="BP240" s="128"/>
      <c r="BQ240" s="128"/>
      <c r="BR240" s="133"/>
      <c r="BS240" s="128"/>
      <c r="BT240" s="133"/>
      <c r="BU240" s="128"/>
      <c r="BV240" s="128"/>
      <c r="BW240" s="128"/>
      <c r="BX240" s="133"/>
      <c r="BY240" s="128"/>
      <c r="BZ240" s="133"/>
      <c r="CA240" s="128"/>
      <c r="CB240" s="128"/>
      <c r="CC240" s="128"/>
      <c r="CD240" s="133"/>
      <c r="CE240" s="128"/>
      <c r="CF240" s="133"/>
      <c r="CG240" s="128"/>
      <c r="CH240" s="128"/>
      <c r="CI240" s="128"/>
      <c r="CJ240" s="128"/>
    </row>
    <row r="241" spans="1:88" x14ac:dyDescent="0.5">
      <c r="A241" s="268"/>
      <c r="B241" s="181"/>
      <c r="C241" s="1236"/>
      <c r="D241" s="1237"/>
      <c r="E241" s="749"/>
      <c r="F241" s="938"/>
      <c r="G241" s="939"/>
      <c r="H241" s="749">
        <v>44021</v>
      </c>
      <c r="I241" s="1125">
        <v>63179</v>
      </c>
      <c r="J241" s="961"/>
      <c r="K241" s="966"/>
      <c r="L241" s="181"/>
      <c r="M241" s="188"/>
      <c r="N241" s="181"/>
      <c r="O241" s="189"/>
      <c r="P241" s="189"/>
      <c r="Q241" s="189"/>
      <c r="R241" s="190"/>
      <c r="S241" s="191"/>
      <c r="T241" s="192"/>
      <c r="U241" s="193"/>
      <c r="V241" s="1254"/>
      <c r="W241" s="1238"/>
      <c r="X241" s="1239"/>
      <c r="Y241" s="1240"/>
      <c r="Z241" s="1240"/>
      <c r="AA241" s="1254"/>
      <c r="AB241" s="1254"/>
      <c r="AC241" s="197"/>
      <c r="AD241" s="1241"/>
      <c r="AE241" s="200">
        <v>20070198</v>
      </c>
      <c r="AF241" s="1242" t="s">
        <v>3423</v>
      </c>
      <c r="AG241" s="201">
        <v>195888</v>
      </c>
      <c r="AH241" s="237">
        <f t="shared" si="373"/>
        <v>13712.16</v>
      </c>
      <c r="AI241" s="202">
        <f t="shared" si="374"/>
        <v>209600.16</v>
      </c>
      <c r="AJ241" s="203">
        <v>44065</v>
      </c>
      <c r="AK241" s="199" t="s">
        <v>3423</v>
      </c>
      <c r="AL241" s="199"/>
      <c r="AM241" s="199"/>
      <c r="AN241" s="843" t="s">
        <v>4309</v>
      </c>
      <c r="AO241" s="204"/>
      <c r="AP241" s="205"/>
      <c r="AQ241" s="206"/>
      <c r="AR241" s="206"/>
      <c r="AS241" s="207"/>
      <c r="AT241" s="208"/>
      <c r="AU241" s="204"/>
      <c r="AV241" s="210"/>
      <c r="AW241" s="204"/>
      <c r="AX241" s="204"/>
      <c r="AY241" s="204"/>
      <c r="AZ241" s="210"/>
      <c r="BA241" s="204"/>
      <c r="BB241" s="210"/>
      <c r="BC241" s="204"/>
      <c r="BD241" s="204"/>
      <c r="BE241" s="204"/>
      <c r="BF241" s="210"/>
      <c r="BG241" s="204"/>
      <c r="BH241" s="210"/>
      <c r="BI241" s="204"/>
      <c r="BJ241" s="204"/>
      <c r="BK241" s="204"/>
      <c r="BL241" s="210"/>
      <c r="BM241" s="204"/>
      <c r="BN241" s="210"/>
      <c r="BO241" s="204"/>
      <c r="BP241" s="204"/>
      <c r="BQ241" s="204"/>
      <c r="BR241" s="210"/>
      <c r="BS241" s="204"/>
      <c r="BT241" s="210"/>
      <c r="BU241" s="204"/>
      <c r="BV241" s="204"/>
      <c r="BW241" s="204"/>
      <c r="BX241" s="210"/>
      <c r="BY241" s="204"/>
      <c r="BZ241" s="210"/>
      <c r="CA241" s="204"/>
      <c r="CB241" s="204"/>
      <c r="CC241" s="204"/>
      <c r="CD241" s="210"/>
      <c r="CE241" s="204"/>
      <c r="CF241" s="210"/>
      <c r="CG241" s="204"/>
      <c r="CH241" s="204"/>
      <c r="CI241" s="204"/>
      <c r="CJ241" s="204"/>
    </row>
    <row r="242" spans="1:88" x14ac:dyDescent="0.5">
      <c r="A242" s="259">
        <v>20056577</v>
      </c>
      <c r="B242" s="104">
        <v>20050428</v>
      </c>
      <c r="C242" s="1243" t="s">
        <v>1375</v>
      </c>
      <c r="D242" s="1244" t="s">
        <v>2691</v>
      </c>
      <c r="E242" s="302">
        <v>44001</v>
      </c>
      <c r="F242" s="936" t="s">
        <v>3368</v>
      </c>
      <c r="G242" s="937" t="s">
        <v>2136</v>
      </c>
      <c r="H242" s="302">
        <v>44008</v>
      </c>
      <c r="I242" s="1124">
        <v>63157</v>
      </c>
      <c r="J242" s="970"/>
      <c r="K242" s="962">
        <v>44008</v>
      </c>
      <c r="L242" s="104" t="s">
        <v>119</v>
      </c>
      <c r="M242" s="110" t="s">
        <v>160</v>
      </c>
      <c r="N242" s="104" t="s">
        <v>51</v>
      </c>
      <c r="O242" s="111">
        <v>216520</v>
      </c>
      <c r="P242" s="111">
        <f t="shared" si="364"/>
        <v>15156.4</v>
      </c>
      <c r="Q242" s="111">
        <f t="shared" si="365"/>
        <v>231676.4</v>
      </c>
      <c r="R242" s="212"/>
      <c r="S242" s="165"/>
      <c r="T242" s="166"/>
      <c r="U242" s="167"/>
      <c r="V242" s="1302"/>
      <c r="W242" s="1302"/>
      <c r="X242" s="231"/>
      <c r="Y242" s="1302"/>
      <c r="Z242" s="1302"/>
      <c r="AA242" s="1302"/>
      <c r="AB242" s="1302"/>
      <c r="AC242" s="231"/>
      <c r="AD242" s="1309"/>
      <c r="AE242" s="229">
        <v>20060182</v>
      </c>
      <c r="AF242" s="1313"/>
      <c r="AG242" s="230">
        <v>111520</v>
      </c>
      <c r="AH242" s="233">
        <f t="shared" si="369"/>
        <v>7806.4</v>
      </c>
      <c r="AI242" s="220">
        <f t="shared" si="370"/>
        <v>119326.39999999999</v>
      </c>
      <c r="AJ242" s="221">
        <v>44012</v>
      </c>
      <c r="AK242" s="121" t="s">
        <v>3423</v>
      </c>
      <c r="AL242" s="121"/>
      <c r="AM242" s="121"/>
      <c r="AN242" s="222" t="s">
        <v>3985</v>
      </c>
      <c r="AO242" s="128">
        <v>1</v>
      </c>
      <c r="AP242" s="129" t="s">
        <v>3861</v>
      </c>
      <c r="AQ242" s="130"/>
      <c r="AR242" s="130" t="s">
        <v>3423</v>
      </c>
      <c r="AS242" s="131">
        <v>1</v>
      </c>
      <c r="AT242" s="132" t="s">
        <v>633</v>
      </c>
      <c r="AU242" s="128">
        <v>2</v>
      </c>
      <c r="AV242" s="123" t="s">
        <v>1963</v>
      </c>
      <c r="AW242" s="131"/>
      <c r="AX242" s="131" t="s">
        <v>3423</v>
      </c>
      <c r="AY242" s="131">
        <v>1</v>
      </c>
      <c r="AZ242" s="169" t="s">
        <v>633</v>
      </c>
      <c r="BA242" s="128">
        <v>3</v>
      </c>
      <c r="BB242" s="123" t="s">
        <v>3862</v>
      </c>
      <c r="BC242" s="131"/>
      <c r="BD242" s="131" t="s">
        <v>3423</v>
      </c>
      <c r="BE242" s="131">
        <v>1</v>
      </c>
      <c r="BF242" s="169" t="s">
        <v>633</v>
      </c>
      <c r="BG242" s="128">
        <v>4</v>
      </c>
      <c r="BH242" s="123" t="s">
        <v>3863</v>
      </c>
      <c r="BI242" s="131"/>
      <c r="BJ242" s="131" t="s">
        <v>3423</v>
      </c>
      <c r="BK242" s="131">
        <v>1</v>
      </c>
      <c r="BL242" s="169" t="s">
        <v>633</v>
      </c>
      <c r="BM242" s="128">
        <v>5</v>
      </c>
      <c r="BN242" s="123" t="s">
        <v>3864</v>
      </c>
      <c r="BO242" s="131"/>
      <c r="BP242" s="131" t="s">
        <v>3423</v>
      </c>
      <c r="BQ242" s="131">
        <v>1</v>
      </c>
      <c r="BR242" s="169" t="s">
        <v>633</v>
      </c>
      <c r="BS242" s="128"/>
      <c r="BT242" s="133"/>
      <c r="BU242" s="128"/>
      <c r="BV242" s="128"/>
      <c r="BW242" s="128"/>
      <c r="BX242" s="133"/>
      <c r="BY242" s="128"/>
      <c r="BZ242" s="133"/>
      <c r="CA242" s="128"/>
      <c r="CB242" s="128"/>
      <c r="CC242" s="128"/>
      <c r="CD242" s="133"/>
      <c r="CE242" s="128"/>
      <c r="CF242" s="133"/>
      <c r="CG242" s="128"/>
      <c r="CH242" s="128"/>
      <c r="CI242" s="128"/>
      <c r="CJ242" s="128"/>
    </row>
    <row r="243" spans="1:88" x14ac:dyDescent="0.5">
      <c r="A243" s="268"/>
      <c r="B243" s="181"/>
      <c r="C243" s="1236"/>
      <c r="D243" s="1237"/>
      <c r="E243" s="749"/>
      <c r="F243" s="938" t="s">
        <v>3368</v>
      </c>
      <c r="G243" s="939" t="s">
        <v>2261</v>
      </c>
      <c r="H243" s="749">
        <v>44032</v>
      </c>
      <c r="I243" s="1125">
        <v>63181</v>
      </c>
      <c r="J243" s="961" t="s">
        <v>3423</v>
      </c>
      <c r="K243" s="966">
        <v>44032</v>
      </c>
      <c r="L243" s="181"/>
      <c r="M243" s="188"/>
      <c r="N243" s="181"/>
      <c r="O243" s="189"/>
      <c r="P243" s="189"/>
      <c r="Q243" s="189"/>
      <c r="R243" s="214"/>
      <c r="S243" s="191"/>
      <c r="T243" s="192"/>
      <c r="U243" s="193"/>
      <c r="V243" s="1254"/>
      <c r="W243" s="1254"/>
      <c r="X243" s="235"/>
      <c r="Y243" s="1254"/>
      <c r="Z243" s="1254"/>
      <c r="AA243" s="1254"/>
      <c r="AB243" s="1254"/>
      <c r="AC243" s="235"/>
      <c r="AD243" s="1303"/>
      <c r="AE243" s="200">
        <v>20070196</v>
      </c>
      <c r="AF243" s="1242" t="s">
        <v>3423</v>
      </c>
      <c r="AG243" s="201">
        <v>105000</v>
      </c>
      <c r="AH243" s="237">
        <f t="shared" si="369"/>
        <v>7350</v>
      </c>
      <c r="AI243" s="202">
        <f t="shared" si="370"/>
        <v>112350</v>
      </c>
      <c r="AJ243" s="203">
        <v>44033</v>
      </c>
      <c r="AK243" s="199" t="s">
        <v>3423</v>
      </c>
      <c r="AL243" s="199"/>
      <c r="AM243" s="199"/>
      <c r="AN243" s="180" t="s">
        <v>4097</v>
      </c>
      <c r="AO243" s="204"/>
      <c r="AP243" s="205"/>
      <c r="AQ243" s="206"/>
      <c r="AR243" s="206"/>
      <c r="AS243" s="207"/>
      <c r="AT243" s="208"/>
      <c r="AU243" s="204"/>
      <c r="AV243" s="200"/>
      <c r="AW243" s="207"/>
      <c r="AX243" s="207"/>
      <c r="AY243" s="207"/>
      <c r="AZ243" s="209"/>
      <c r="BA243" s="204"/>
      <c r="BB243" s="200"/>
      <c r="BC243" s="207"/>
      <c r="BD243" s="207"/>
      <c r="BE243" s="207"/>
      <c r="BF243" s="209"/>
      <c r="BG243" s="204"/>
      <c r="BH243" s="200"/>
      <c r="BI243" s="207"/>
      <c r="BJ243" s="207"/>
      <c r="BK243" s="207"/>
      <c r="BL243" s="209"/>
      <c r="BM243" s="204"/>
      <c r="BN243" s="200"/>
      <c r="BO243" s="207"/>
      <c r="BP243" s="207"/>
      <c r="BQ243" s="207"/>
      <c r="BR243" s="209"/>
      <c r="BS243" s="204"/>
      <c r="BT243" s="210"/>
      <c r="BU243" s="204"/>
      <c r="BV243" s="204"/>
      <c r="BW243" s="204"/>
      <c r="BX243" s="210"/>
      <c r="BY243" s="204"/>
      <c r="BZ243" s="210"/>
      <c r="CA243" s="204"/>
      <c r="CB243" s="204"/>
      <c r="CC243" s="204"/>
      <c r="CD243" s="210"/>
      <c r="CE243" s="204"/>
      <c r="CF243" s="210"/>
      <c r="CG243" s="204"/>
      <c r="CH243" s="204"/>
      <c r="CI243" s="204"/>
      <c r="CJ243" s="204"/>
    </row>
    <row r="244" spans="1:88" s="95" customFormat="1" x14ac:dyDescent="0.5">
      <c r="A244" s="65">
        <v>20056576</v>
      </c>
      <c r="B244" s="66">
        <v>20050429</v>
      </c>
      <c r="C244" s="327" t="s">
        <v>1376</v>
      </c>
      <c r="D244" s="328" t="s">
        <v>2691</v>
      </c>
      <c r="E244" s="905">
        <v>44004</v>
      </c>
      <c r="F244" s="934"/>
      <c r="G244" s="935"/>
      <c r="H244" s="326"/>
      <c r="I244" s="331"/>
      <c r="J244" s="958"/>
      <c r="K244" s="84"/>
      <c r="L244" s="66" t="s">
        <v>3533</v>
      </c>
      <c r="M244" s="72" t="s">
        <v>3865</v>
      </c>
      <c r="N244" s="66" t="s">
        <v>50</v>
      </c>
      <c r="O244" s="73">
        <v>90000</v>
      </c>
      <c r="P244" s="73">
        <f t="shared" si="364"/>
        <v>6300</v>
      </c>
      <c r="Q244" s="73">
        <f t="shared" si="365"/>
        <v>96300</v>
      </c>
      <c r="R244" s="318"/>
      <c r="S244" s="1424" t="s">
        <v>3937</v>
      </c>
      <c r="T244" s="76">
        <f t="shared" ref="T244:T246" si="379">O244-R244</f>
        <v>90000</v>
      </c>
      <c r="U244" s="77">
        <v>5</v>
      </c>
      <c r="V244" s="1370">
        <f t="shared" ref="V244" si="380">T244*U244/100</f>
        <v>4500</v>
      </c>
      <c r="W244" s="1420">
        <v>43.19</v>
      </c>
      <c r="X244" s="1421">
        <f t="shared" ref="X244" si="381">T244-V244</f>
        <v>85500</v>
      </c>
      <c r="Y244" s="1422">
        <f t="shared" si="366"/>
        <v>0.67025000000000001</v>
      </c>
      <c r="Z244" s="1422">
        <f>85500*0.67/100</f>
        <v>572.85</v>
      </c>
      <c r="AA244" s="1321"/>
      <c r="AB244" s="1321">
        <f t="shared" si="367"/>
        <v>0</v>
      </c>
      <c r="AC244" s="81">
        <v>0.2</v>
      </c>
      <c r="AD244" s="1423">
        <f t="shared" si="368"/>
        <v>171</v>
      </c>
      <c r="AE244" s="84"/>
      <c r="AF244" s="1323"/>
      <c r="AG244" s="85"/>
      <c r="AH244" s="590">
        <f t="shared" si="369"/>
        <v>0</v>
      </c>
      <c r="AI244" s="908">
        <f t="shared" si="370"/>
        <v>0</v>
      </c>
      <c r="AJ244" s="87"/>
      <c r="AK244" s="83"/>
      <c r="AL244" s="83"/>
      <c r="AM244" s="83"/>
      <c r="AN244" s="65"/>
      <c r="AO244" s="88">
        <v>1</v>
      </c>
      <c r="AP244" s="89" t="s">
        <v>879</v>
      </c>
      <c r="AQ244" s="90"/>
      <c r="AR244" s="90" t="s">
        <v>3423</v>
      </c>
      <c r="AS244" s="91">
        <v>1</v>
      </c>
      <c r="AT244" s="92" t="s">
        <v>634</v>
      </c>
      <c r="AU244" s="88">
        <v>2</v>
      </c>
      <c r="AV244" s="84" t="s">
        <v>3866</v>
      </c>
      <c r="AW244" s="91"/>
      <c r="AX244" s="91" t="s">
        <v>3423</v>
      </c>
      <c r="AY244" s="91">
        <v>1</v>
      </c>
      <c r="AZ244" s="93" t="s">
        <v>634</v>
      </c>
      <c r="BA244" s="88"/>
      <c r="BB244" s="94"/>
      <c r="BC244" s="88"/>
      <c r="BD244" s="88"/>
      <c r="BE244" s="88"/>
      <c r="BF244" s="94"/>
      <c r="BG244" s="88"/>
      <c r="BH244" s="94"/>
      <c r="BI244" s="88"/>
      <c r="BJ244" s="88"/>
      <c r="BK244" s="88"/>
      <c r="BL244" s="94"/>
      <c r="BM244" s="88"/>
      <c r="BN244" s="94"/>
      <c r="BO244" s="88"/>
      <c r="BP244" s="88"/>
      <c r="BQ244" s="88"/>
      <c r="BR244" s="94"/>
      <c r="BS244" s="88"/>
      <c r="BT244" s="94"/>
      <c r="BU244" s="88"/>
      <c r="BV244" s="88"/>
      <c r="BW244" s="88"/>
      <c r="BX244" s="94"/>
      <c r="BY244" s="88"/>
      <c r="BZ244" s="94"/>
      <c r="CA244" s="88"/>
      <c r="CB244" s="88"/>
      <c r="CC244" s="88"/>
      <c r="CD244" s="94"/>
      <c r="CE244" s="88"/>
      <c r="CF244" s="94"/>
      <c r="CG244" s="88"/>
      <c r="CH244" s="88"/>
      <c r="CI244" s="88"/>
      <c r="CJ244" s="88"/>
    </row>
    <row r="245" spans="1:88" x14ac:dyDescent="0.5">
      <c r="A245" s="227">
        <v>20056575</v>
      </c>
      <c r="B245" s="22">
        <v>20050422</v>
      </c>
      <c r="C245" s="1019" t="s">
        <v>1377</v>
      </c>
      <c r="D245" s="1020" t="s">
        <v>2691</v>
      </c>
      <c r="E245" s="884">
        <v>43983</v>
      </c>
      <c r="F245" s="932" t="s">
        <v>3368</v>
      </c>
      <c r="G245" s="933" t="s">
        <v>1374</v>
      </c>
      <c r="H245" s="884">
        <v>43983</v>
      </c>
      <c r="I245" s="1021">
        <v>63132</v>
      </c>
      <c r="J245" s="931" t="s">
        <v>3423</v>
      </c>
      <c r="K245" s="957">
        <v>43983</v>
      </c>
      <c r="L245" s="22" t="s">
        <v>20</v>
      </c>
      <c r="M245" s="28" t="s">
        <v>160</v>
      </c>
      <c r="N245" s="22" t="s">
        <v>51</v>
      </c>
      <c r="O245" s="29">
        <v>76300</v>
      </c>
      <c r="P245" s="29">
        <f t="shared" si="364"/>
        <v>5341</v>
      </c>
      <c r="Q245" s="29">
        <f t="shared" si="365"/>
        <v>81641</v>
      </c>
      <c r="R245" s="61"/>
      <c r="S245" s="96"/>
      <c r="T245" s="97"/>
      <c r="U245" s="98"/>
      <c r="V245" s="1225"/>
      <c r="W245" s="1225"/>
      <c r="X245" s="100"/>
      <c r="Y245" s="1225"/>
      <c r="Z245" s="1225"/>
      <c r="AA245" s="1225"/>
      <c r="AB245" s="1225"/>
      <c r="AC245" s="100"/>
      <c r="AD245" s="595"/>
      <c r="AE245" s="40">
        <v>20060153</v>
      </c>
      <c r="AF245" s="1186" t="s">
        <v>3423</v>
      </c>
      <c r="AG245" s="41">
        <v>76300</v>
      </c>
      <c r="AH245" s="63">
        <f t="shared" si="369"/>
        <v>5341</v>
      </c>
      <c r="AI245" s="52">
        <f t="shared" si="370"/>
        <v>81641</v>
      </c>
      <c r="AJ245" s="53">
        <v>44022</v>
      </c>
      <c r="AK245" s="39" t="s">
        <v>3423</v>
      </c>
      <c r="AL245" s="39"/>
      <c r="AM245" s="39"/>
      <c r="AN245" s="21" t="s">
        <v>4095</v>
      </c>
      <c r="AO245" s="1369">
        <v>1</v>
      </c>
      <c r="AP245" s="45" t="s">
        <v>3867</v>
      </c>
      <c r="AQ245" s="46"/>
      <c r="AR245" s="46" t="s">
        <v>3423</v>
      </c>
      <c r="AS245" s="47">
        <v>1</v>
      </c>
      <c r="AT245" s="48" t="s">
        <v>633</v>
      </c>
      <c r="AU245" s="1369"/>
      <c r="AV245" s="54"/>
      <c r="AW245" s="1369"/>
      <c r="AX245" s="1369"/>
      <c r="AY245" s="1369"/>
      <c r="AZ245" s="54"/>
      <c r="BA245" s="1369"/>
      <c r="BB245" s="54"/>
      <c r="BC245" s="1369"/>
      <c r="BD245" s="1369"/>
      <c r="BE245" s="1369"/>
      <c r="BF245" s="54"/>
      <c r="BG245" s="1369"/>
      <c r="BH245" s="54"/>
      <c r="BI245" s="1369"/>
      <c r="BJ245" s="1369"/>
      <c r="BK245" s="1369"/>
      <c r="BL245" s="54"/>
      <c r="BM245" s="1369"/>
      <c r="BN245" s="54"/>
      <c r="BO245" s="1369"/>
      <c r="BP245" s="1369"/>
      <c r="BQ245" s="1369"/>
      <c r="BR245" s="54"/>
      <c r="BS245" s="1369"/>
      <c r="BT245" s="54"/>
      <c r="BU245" s="1369"/>
      <c r="BV245" s="1369"/>
      <c r="BW245" s="1369"/>
      <c r="BX245" s="54"/>
      <c r="BY245" s="1369"/>
      <c r="BZ245" s="54"/>
      <c r="CA245" s="1369"/>
      <c r="CB245" s="1369"/>
      <c r="CC245" s="1369"/>
      <c r="CD245" s="54"/>
      <c r="CE245" s="1369"/>
      <c r="CF245" s="54"/>
      <c r="CG245" s="1369"/>
      <c r="CH245" s="1369"/>
      <c r="CI245" s="1369"/>
      <c r="CJ245" s="1369"/>
    </row>
    <row r="246" spans="1:88" x14ac:dyDescent="0.5">
      <c r="A246" s="259">
        <v>20056574</v>
      </c>
      <c r="B246" s="104">
        <v>20050403</v>
      </c>
      <c r="C246" s="1243" t="s">
        <v>1378</v>
      </c>
      <c r="D246" s="1244" t="s">
        <v>2691</v>
      </c>
      <c r="E246" s="302">
        <v>43987</v>
      </c>
      <c r="F246" s="936" t="s">
        <v>3368</v>
      </c>
      <c r="G246" s="937" t="s">
        <v>1373</v>
      </c>
      <c r="H246" s="302">
        <v>43986</v>
      </c>
      <c r="I246" s="1124">
        <v>63134</v>
      </c>
      <c r="J246" s="960" t="s">
        <v>3423</v>
      </c>
      <c r="K246" s="965">
        <v>43987</v>
      </c>
      <c r="L246" s="104" t="s">
        <v>3849</v>
      </c>
      <c r="M246" s="110" t="s">
        <v>3850</v>
      </c>
      <c r="N246" s="104" t="s">
        <v>51</v>
      </c>
      <c r="O246" s="111">
        <v>222400</v>
      </c>
      <c r="P246" s="111">
        <f t="shared" si="364"/>
        <v>15568</v>
      </c>
      <c r="Q246" s="111">
        <f t="shared" si="365"/>
        <v>237968</v>
      </c>
      <c r="R246" s="311">
        <v>17000</v>
      </c>
      <c r="S246" s="113" t="s">
        <v>2795</v>
      </c>
      <c r="T246" s="114">
        <f t="shared" si="379"/>
        <v>205400</v>
      </c>
      <c r="U246" s="167"/>
      <c r="V246" s="1252">
        <v>44200</v>
      </c>
      <c r="W246" s="1302"/>
      <c r="X246" s="231"/>
      <c r="Y246" s="1302"/>
      <c r="Z246" s="1302"/>
      <c r="AA246" s="1302"/>
      <c r="AB246" s="1302"/>
      <c r="AC246" s="231"/>
      <c r="AD246" s="1309"/>
      <c r="AE246" s="229">
        <v>20050139</v>
      </c>
      <c r="AF246" s="1313"/>
      <c r="AG246" s="230">
        <v>69719.63</v>
      </c>
      <c r="AH246" s="233">
        <f t="shared" si="369"/>
        <v>4880.3741</v>
      </c>
      <c r="AI246" s="220">
        <f t="shared" si="370"/>
        <v>74600.004100000006</v>
      </c>
      <c r="AJ246" s="221">
        <v>43973</v>
      </c>
      <c r="AK246" s="121" t="s">
        <v>3423</v>
      </c>
      <c r="AL246" s="121"/>
      <c r="AM246" s="121"/>
      <c r="AN246" s="222" t="s">
        <v>4021</v>
      </c>
      <c r="AO246" s="128"/>
      <c r="AP246" s="129"/>
      <c r="AQ246" s="130"/>
      <c r="AR246" s="130"/>
      <c r="AS246" s="131"/>
      <c r="AT246" s="132"/>
      <c r="AU246" s="128"/>
      <c r="AV246" s="123"/>
      <c r="AW246" s="131"/>
      <c r="AX246" s="131"/>
      <c r="AY246" s="131"/>
      <c r="AZ246" s="169"/>
      <c r="BA246" s="128"/>
      <c r="BB246" s="123"/>
      <c r="BC246" s="131"/>
      <c r="BD246" s="131"/>
      <c r="BE246" s="131"/>
      <c r="BF246" s="169"/>
      <c r="BG246" s="128"/>
      <c r="BH246" s="123"/>
      <c r="BI246" s="131"/>
      <c r="BJ246" s="131"/>
      <c r="BK246" s="131"/>
      <c r="BL246" s="169"/>
      <c r="BM246" s="128"/>
      <c r="BN246" s="123"/>
      <c r="BO246" s="131"/>
      <c r="BP246" s="131"/>
      <c r="BQ246" s="131"/>
      <c r="BR246" s="169"/>
      <c r="BS246" s="128"/>
      <c r="BT246" s="123"/>
      <c r="BU246" s="131"/>
      <c r="BV246" s="131"/>
      <c r="BW246" s="131"/>
      <c r="BX246" s="169"/>
      <c r="BY246" s="128"/>
      <c r="BZ246" s="123"/>
      <c r="CA246" s="131"/>
      <c r="CB246" s="131"/>
      <c r="CC246" s="131"/>
      <c r="CD246" s="169"/>
      <c r="CE246" s="128"/>
      <c r="CF246" s="123"/>
      <c r="CG246" s="131"/>
      <c r="CH246" s="131"/>
      <c r="CI246" s="131"/>
      <c r="CJ246" s="351"/>
    </row>
    <row r="247" spans="1:88" x14ac:dyDescent="0.5">
      <c r="A247" s="268"/>
      <c r="B247" s="181"/>
      <c r="C247" s="1236"/>
      <c r="D247" s="1237"/>
      <c r="E247" s="749"/>
      <c r="F247" s="938"/>
      <c r="G247" s="939"/>
      <c r="H247" s="749">
        <v>43986</v>
      </c>
      <c r="I247" s="1125">
        <v>63135</v>
      </c>
      <c r="J247" s="961"/>
      <c r="K247" s="966"/>
      <c r="L247" s="181"/>
      <c r="M247" s="188"/>
      <c r="N247" s="181"/>
      <c r="O247" s="189"/>
      <c r="P247" s="189"/>
      <c r="Q247" s="189"/>
      <c r="R247" s="190"/>
      <c r="S247" s="215"/>
      <c r="T247" s="216"/>
      <c r="U247" s="193"/>
      <c r="V247" s="1253"/>
      <c r="W247" s="1254"/>
      <c r="X247" s="235"/>
      <c r="Y247" s="1254"/>
      <c r="Z247" s="1254"/>
      <c r="AA247" s="1254"/>
      <c r="AB247" s="1254"/>
      <c r="AC247" s="235"/>
      <c r="AD247" s="1303"/>
      <c r="AE247" s="200">
        <v>20060145</v>
      </c>
      <c r="AF247" s="1242" t="s">
        <v>3423</v>
      </c>
      <c r="AG247" s="201">
        <v>152680.37</v>
      </c>
      <c r="AH247" s="237">
        <f t="shared" ref="AH247" si="382">AG247*7/100</f>
        <v>10687.625899999999</v>
      </c>
      <c r="AI247" s="202">
        <f t="shared" ref="AI247" si="383">AG247+AH247</f>
        <v>163367.99589999998</v>
      </c>
      <c r="AJ247" s="203">
        <v>43983</v>
      </c>
      <c r="AK247" s="199" t="s">
        <v>3423</v>
      </c>
      <c r="AL247" s="199"/>
      <c r="AM247" s="199"/>
      <c r="AN247" s="180" t="s">
        <v>4015</v>
      </c>
      <c r="AO247" s="204"/>
      <c r="AP247" s="205"/>
      <c r="AQ247" s="206"/>
      <c r="AR247" s="206"/>
      <c r="AS247" s="207"/>
      <c r="AT247" s="208"/>
      <c r="AU247" s="204"/>
      <c r="AV247" s="200"/>
      <c r="AW247" s="207"/>
      <c r="AX247" s="207"/>
      <c r="AY247" s="207"/>
      <c r="AZ247" s="209"/>
      <c r="BA247" s="204"/>
      <c r="BB247" s="200"/>
      <c r="BC247" s="207"/>
      <c r="BD247" s="207"/>
      <c r="BE247" s="207"/>
      <c r="BF247" s="209"/>
      <c r="BG247" s="204"/>
      <c r="BH247" s="200"/>
      <c r="BI247" s="207"/>
      <c r="BJ247" s="207"/>
      <c r="BK247" s="207"/>
      <c r="BL247" s="209"/>
      <c r="BM247" s="204"/>
      <c r="BN247" s="200"/>
      <c r="BO247" s="207"/>
      <c r="BP247" s="207"/>
      <c r="BQ247" s="207"/>
      <c r="BR247" s="209"/>
      <c r="BS247" s="204"/>
      <c r="BT247" s="200"/>
      <c r="BU247" s="207"/>
      <c r="BV247" s="207"/>
      <c r="BW247" s="207"/>
      <c r="BX247" s="209"/>
      <c r="BY247" s="204"/>
      <c r="BZ247" s="200"/>
      <c r="CA247" s="207"/>
      <c r="CB247" s="207"/>
      <c r="CC247" s="207"/>
      <c r="CD247" s="209"/>
      <c r="CE247" s="204"/>
      <c r="CF247" s="200"/>
      <c r="CG247" s="207"/>
      <c r="CH247" s="207"/>
      <c r="CI247" s="207"/>
      <c r="CJ247" s="354"/>
    </row>
    <row r="248" spans="1:88" x14ac:dyDescent="0.5">
      <c r="A248" s="21">
        <v>20056573</v>
      </c>
      <c r="B248" s="22">
        <v>20050401</v>
      </c>
      <c r="C248" s="1019" t="s">
        <v>1379</v>
      </c>
      <c r="D248" s="1020" t="s">
        <v>2691</v>
      </c>
      <c r="E248" s="884">
        <v>44042</v>
      </c>
      <c r="F248" s="932"/>
      <c r="G248" s="933"/>
      <c r="H248" s="831"/>
      <c r="I248" s="1021"/>
      <c r="J248" s="931"/>
      <c r="K248" s="40"/>
      <c r="L248" s="22" t="s">
        <v>1562</v>
      </c>
      <c r="M248" s="28" t="s">
        <v>3868</v>
      </c>
      <c r="N248" s="22" t="s">
        <v>1523</v>
      </c>
      <c r="O248" s="29">
        <v>28070.84</v>
      </c>
      <c r="P248" s="29">
        <f t="shared" si="323"/>
        <v>1964.9588000000001</v>
      </c>
      <c r="Q248" s="29">
        <f t="shared" si="362"/>
        <v>30035.7988</v>
      </c>
      <c r="R248" s="61"/>
      <c r="S248" s="31" t="s">
        <v>1569</v>
      </c>
      <c r="T248" s="32">
        <f t="shared" ref="T248:T264" si="384">O248-R248</f>
        <v>28070.84</v>
      </c>
      <c r="U248" s="33">
        <v>5</v>
      </c>
      <c r="V248" s="1251">
        <f t="shared" ref="V248:V264" si="385">T248*U248/100</f>
        <v>1403.5420000000001</v>
      </c>
      <c r="W248" s="1231">
        <v>54.02</v>
      </c>
      <c r="X248" s="1184">
        <f t="shared" ref="X248:X264" si="386">T248-V248</f>
        <v>26667.297999999999</v>
      </c>
      <c r="Y248" s="1223">
        <f t="shared" si="328"/>
        <v>0.39949999999999991</v>
      </c>
      <c r="Z248" s="1223">
        <f>26667.3*0.4/100</f>
        <v>106.6692</v>
      </c>
      <c r="AA248" s="1225"/>
      <c r="AB248" s="1225"/>
      <c r="AC248" s="37">
        <v>0.2</v>
      </c>
      <c r="AD248" s="1234">
        <f t="shared" ref="AD248:AD264" si="387">X248*AC248/100</f>
        <v>53.334596000000005</v>
      </c>
      <c r="AE248" s="40"/>
      <c r="AF248" s="1186"/>
      <c r="AG248" s="41"/>
      <c r="AH248" s="63">
        <f t="shared" si="330"/>
        <v>0</v>
      </c>
      <c r="AI248" s="52">
        <f t="shared" si="363"/>
        <v>0</v>
      </c>
      <c r="AJ248" s="43"/>
      <c r="AK248" s="39"/>
      <c r="AL248" s="39"/>
      <c r="AM248" s="39"/>
      <c r="AN248" s="21"/>
      <c r="AO248" s="1364">
        <v>1</v>
      </c>
      <c r="AP248" s="45" t="s">
        <v>2135</v>
      </c>
      <c r="AQ248" s="46"/>
      <c r="AR248" s="46" t="s">
        <v>3423</v>
      </c>
      <c r="AS248" s="47">
        <v>1</v>
      </c>
      <c r="AT248" s="48" t="s">
        <v>634</v>
      </c>
      <c r="AU248" s="1369"/>
      <c r="AV248" s="54"/>
      <c r="AW248" s="1369"/>
      <c r="AX248" s="1369"/>
      <c r="AY248" s="1369"/>
      <c r="AZ248" s="54"/>
      <c r="BA248" s="1369"/>
      <c r="BB248" s="54"/>
      <c r="BC248" s="1369"/>
      <c r="BD248" s="1369"/>
      <c r="BE248" s="1369"/>
      <c r="BF248" s="54"/>
      <c r="BG248" s="1369"/>
      <c r="BH248" s="54"/>
      <c r="BI248" s="1369"/>
      <c r="BJ248" s="1369"/>
      <c r="BK248" s="1369"/>
      <c r="BL248" s="54"/>
      <c r="BM248" s="1369"/>
      <c r="BN248" s="54"/>
      <c r="BO248" s="1369"/>
      <c r="BP248" s="1369"/>
      <c r="BQ248" s="1369"/>
      <c r="BR248" s="54"/>
      <c r="BS248" s="1369"/>
      <c r="BT248" s="54"/>
      <c r="BU248" s="1369"/>
      <c r="BV248" s="1369"/>
      <c r="BW248" s="1369"/>
      <c r="BX248" s="54"/>
      <c r="BY248" s="1369"/>
      <c r="BZ248" s="54"/>
      <c r="CA248" s="1369"/>
      <c r="CB248" s="1369"/>
      <c r="CC248" s="1369"/>
      <c r="CD248" s="54"/>
      <c r="CE248" s="1369"/>
      <c r="CF248" s="54"/>
      <c r="CG248" s="1369"/>
      <c r="CH248" s="1369"/>
      <c r="CI248" s="1369"/>
      <c r="CJ248" s="1369"/>
    </row>
    <row r="249" spans="1:88" x14ac:dyDescent="0.5">
      <c r="A249" s="21">
        <v>20056572</v>
      </c>
      <c r="B249" s="22">
        <v>20050402</v>
      </c>
      <c r="C249" s="1019" t="s">
        <v>1380</v>
      </c>
      <c r="D249" s="1020" t="s">
        <v>2691</v>
      </c>
      <c r="E249" s="884">
        <v>44042</v>
      </c>
      <c r="F249" s="932"/>
      <c r="G249" s="933"/>
      <c r="H249" s="831"/>
      <c r="I249" s="1021"/>
      <c r="J249" s="931"/>
      <c r="K249" s="40"/>
      <c r="L249" s="22" t="s">
        <v>1562</v>
      </c>
      <c r="M249" s="28" t="s">
        <v>3869</v>
      </c>
      <c r="N249" s="22" t="s">
        <v>1523</v>
      </c>
      <c r="O249" s="29">
        <v>56141.68</v>
      </c>
      <c r="P249" s="29">
        <f t="shared" si="323"/>
        <v>3929.9176000000002</v>
      </c>
      <c r="Q249" s="29">
        <f t="shared" si="362"/>
        <v>60071.597600000001</v>
      </c>
      <c r="R249" s="61"/>
      <c r="S249" s="31" t="s">
        <v>1569</v>
      </c>
      <c r="T249" s="32">
        <f t="shared" si="384"/>
        <v>56141.68</v>
      </c>
      <c r="U249" s="33">
        <v>5</v>
      </c>
      <c r="V249" s="1251">
        <f t="shared" si="385"/>
        <v>2807.0840000000003</v>
      </c>
      <c r="W249" s="1231">
        <v>54.02</v>
      </c>
      <c r="X249" s="1184">
        <f t="shared" si="386"/>
        <v>53334.595999999998</v>
      </c>
      <c r="Y249" s="1223">
        <f t="shared" si="328"/>
        <v>0.39949999999999991</v>
      </c>
      <c r="Z249" s="1223">
        <f>53334.6*0.4/100</f>
        <v>213.33840000000001</v>
      </c>
      <c r="AA249" s="1225"/>
      <c r="AB249" s="1225"/>
      <c r="AC249" s="37">
        <v>0.2</v>
      </c>
      <c r="AD249" s="1234">
        <f t="shared" si="387"/>
        <v>106.66919200000001</v>
      </c>
      <c r="AE249" s="40"/>
      <c r="AF249" s="1186"/>
      <c r="AG249" s="41"/>
      <c r="AH249" s="63">
        <f t="shared" si="330"/>
        <v>0</v>
      </c>
      <c r="AI249" s="52">
        <f t="shared" si="363"/>
        <v>0</v>
      </c>
      <c r="AJ249" s="43"/>
      <c r="AK249" s="39"/>
      <c r="AL249" s="39"/>
      <c r="AM249" s="39"/>
      <c r="AN249" s="21"/>
      <c r="AO249" s="1366">
        <v>1</v>
      </c>
      <c r="AP249" s="45" t="s">
        <v>2135</v>
      </c>
      <c r="AQ249" s="46"/>
      <c r="AR249" s="46" t="s">
        <v>3423</v>
      </c>
      <c r="AS249" s="47">
        <v>2</v>
      </c>
      <c r="AT249" s="48" t="s">
        <v>634</v>
      </c>
      <c r="AU249" s="1369"/>
      <c r="AV249" s="54"/>
      <c r="AW249" s="1369"/>
      <c r="AX249" s="1369"/>
      <c r="AY249" s="1369"/>
      <c r="AZ249" s="54"/>
      <c r="BA249" s="1369"/>
      <c r="BB249" s="54"/>
      <c r="BC249" s="1369"/>
      <c r="BD249" s="1369"/>
      <c r="BE249" s="1369"/>
      <c r="BF249" s="54"/>
      <c r="BG249" s="1369"/>
      <c r="BH249" s="54"/>
      <c r="BI249" s="1369"/>
      <c r="BJ249" s="1369"/>
      <c r="BK249" s="1369"/>
      <c r="BL249" s="54"/>
      <c r="BM249" s="1369"/>
      <c r="BN249" s="54"/>
      <c r="BO249" s="1369"/>
      <c r="BP249" s="1369"/>
      <c r="BQ249" s="1369"/>
      <c r="BR249" s="54"/>
      <c r="BS249" s="1369"/>
      <c r="BT249" s="54"/>
      <c r="BU249" s="1369"/>
      <c r="BV249" s="1369"/>
      <c r="BW249" s="1369"/>
      <c r="BX249" s="54"/>
      <c r="BY249" s="1369"/>
      <c r="BZ249" s="54"/>
      <c r="CA249" s="1369"/>
      <c r="CB249" s="1369"/>
      <c r="CC249" s="1369"/>
      <c r="CD249" s="54"/>
      <c r="CE249" s="1369"/>
      <c r="CF249" s="54"/>
      <c r="CG249" s="1369"/>
      <c r="CH249" s="1369"/>
      <c r="CI249" s="1369"/>
      <c r="CJ249" s="1369"/>
    </row>
    <row r="250" spans="1:88" x14ac:dyDescent="0.5">
      <c r="A250" s="21">
        <v>20056571</v>
      </c>
      <c r="B250" s="22">
        <v>20050399</v>
      </c>
      <c r="C250" s="1019" t="s">
        <v>1381</v>
      </c>
      <c r="D250" s="1020" t="s">
        <v>2691</v>
      </c>
      <c r="E250" s="884">
        <v>44048</v>
      </c>
      <c r="F250" s="932"/>
      <c r="G250" s="933"/>
      <c r="H250" s="831"/>
      <c r="I250" s="1021"/>
      <c r="J250" s="931"/>
      <c r="K250" s="40"/>
      <c r="L250" s="22" t="s">
        <v>1562</v>
      </c>
      <c r="M250" s="28" t="s">
        <v>3870</v>
      </c>
      <c r="N250" s="22" t="s">
        <v>1523</v>
      </c>
      <c r="O250" s="29">
        <v>57500</v>
      </c>
      <c r="P250" s="29">
        <f t="shared" si="323"/>
        <v>4025</v>
      </c>
      <c r="Q250" s="29">
        <f t="shared" si="362"/>
        <v>61525</v>
      </c>
      <c r="R250" s="61"/>
      <c r="S250" s="31" t="s">
        <v>1569</v>
      </c>
      <c r="T250" s="32">
        <f t="shared" si="384"/>
        <v>57500</v>
      </c>
      <c r="U250" s="33">
        <v>5</v>
      </c>
      <c r="V250" s="1251">
        <f t="shared" si="385"/>
        <v>2875</v>
      </c>
      <c r="W250" s="1231">
        <v>52.5</v>
      </c>
      <c r="X250" s="1184">
        <f t="shared" si="386"/>
        <v>54625</v>
      </c>
      <c r="Y250" s="1223">
        <f t="shared" si="328"/>
        <v>0.4375</v>
      </c>
      <c r="Z250" s="1223">
        <f>54625*0.44/100</f>
        <v>240.35</v>
      </c>
      <c r="AA250" s="1225"/>
      <c r="AB250" s="1225"/>
      <c r="AC250" s="37">
        <v>0.2</v>
      </c>
      <c r="AD250" s="1234">
        <f t="shared" si="387"/>
        <v>109.25</v>
      </c>
      <c r="AE250" s="40"/>
      <c r="AF250" s="1186"/>
      <c r="AG250" s="41"/>
      <c r="AH250" s="63">
        <f t="shared" si="330"/>
        <v>0</v>
      </c>
      <c r="AI250" s="52">
        <f t="shared" si="363"/>
        <v>0</v>
      </c>
      <c r="AJ250" s="43"/>
      <c r="AK250" s="39"/>
      <c r="AL250" s="39"/>
      <c r="AM250" s="39"/>
      <c r="AN250" s="21"/>
      <c r="AO250" s="1366">
        <v>1</v>
      </c>
      <c r="AP250" s="45" t="s">
        <v>3871</v>
      </c>
      <c r="AQ250" s="46"/>
      <c r="AR250" s="46" t="s">
        <v>3423</v>
      </c>
      <c r="AS250" s="47">
        <v>1</v>
      </c>
      <c r="AT250" s="48" t="s">
        <v>634</v>
      </c>
      <c r="AU250" s="1369"/>
      <c r="AV250" s="54"/>
      <c r="AW250" s="1369"/>
      <c r="AX250" s="1369"/>
      <c r="AY250" s="1369"/>
      <c r="AZ250" s="54"/>
      <c r="BA250" s="1369"/>
      <c r="BB250" s="54"/>
      <c r="BC250" s="1369"/>
      <c r="BD250" s="1369"/>
      <c r="BE250" s="1369"/>
      <c r="BF250" s="54"/>
      <c r="BG250" s="1369"/>
      <c r="BH250" s="54"/>
      <c r="BI250" s="1369"/>
      <c r="BJ250" s="1369"/>
      <c r="BK250" s="1369"/>
      <c r="BL250" s="54"/>
      <c r="BM250" s="1369"/>
      <c r="BN250" s="54"/>
      <c r="BO250" s="1369"/>
      <c r="BP250" s="1369"/>
      <c r="BQ250" s="1369"/>
      <c r="BR250" s="54"/>
      <c r="BS250" s="1369"/>
      <c r="BT250" s="54"/>
      <c r="BU250" s="1369"/>
      <c r="BV250" s="1369"/>
      <c r="BW250" s="1369"/>
      <c r="BX250" s="54"/>
      <c r="BY250" s="1369"/>
      <c r="BZ250" s="54"/>
      <c r="CA250" s="1369"/>
      <c r="CB250" s="1369"/>
      <c r="CC250" s="1369"/>
      <c r="CD250" s="54"/>
      <c r="CE250" s="1369"/>
      <c r="CF250" s="54"/>
      <c r="CG250" s="1369"/>
      <c r="CH250" s="1369"/>
      <c r="CI250" s="1369"/>
      <c r="CJ250" s="1369"/>
    </row>
    <row r="251" spans="1:88" x14ac:dyDescent="0.5">
      <c r="A251" s="21">
        <v>20056570</v>
      </c>
      <c r="B251" s="22">
        <v>20050398</v>
      </c>
      <c r="C251" s="1019" t="s">
        <v>1382</v>
      </c>
      <c r="D251" s="1020" t="s">
        <v>2691</v>
      </c>
      <c r="E251" s="884">
        <v>44037</v>
      </c>
      <c r="F251" s="932"/>
      <c r="G251" s="933"/>
      <c r="H251" s="831"/>
      <c r="I251" s="1021"/>
      <c r="J251" s="931"/>
      <c r="K251" s="40"/>
      <c r="L251" s="22" t="s">
        <v>1562</v>
      </c>
      <c r="M251" s="28" t="s">
        <v>3872</v>
      </c>
      <c r="N251" s="22" t="s">
        <v>1523</v>
      </c>
      <c r="O251" s="29">
        <v>28070.84</v>
      </c>
      <c r="P251" s="29">
        <f t="shared" si="323"/>
        <v>1964.9588000000001</v>
      </c>
      <c r="Q251" s="29">
        <f t="shared" si="362"/>
        <v>30035.7988</v>
      </c>
      <c r="R251" s="61"/>
      <c r="S251" s="31" t="s">
        <v>1569</v>
      </c>
      <c r="T251" s="32">
        <f t="shared" si="384"/>
        <v>28070.84</v>
      </c>
      <c r="U251" s="33">
        <v>5</v>
      </c>
      <c r="V251" s="1251">
        <f t="shared" si="385"/>
        <v>1403.5420000000001</v>
      </c>
      <c r="W251" s="1231">
        <v>54.02</v>
      </c>
      <c r="X251" s="1184">
        <f t="shared" si="386"/>
        <v>26667.297999999999</v>
      </c>
      <c r="Y251" s="1223">
        <f t="shared" si="328"/>
        <v>0.39949999999999991</v>
      </c>
      <c r="Z251" s="1223">
        <f>26667.3*0.4/100</f>
        <v>106.6692</v>
      </c>
      <c r="AA251" s="1225"/>
      <c r="AB251" s="1225"/>
      <c r="AC251" s="37">
        <v>0.2</v>
      </c>
      <c r="AD251" s="1234">
        <f t="shared" si="387"/>
        <v>53.334596000000005</v>
      </c>
      <c r="AE251" s="40"/>
      <c r="AF251" s="1186"/>
      <c r="AG251" s="41"/>
      <c r="AH251" s="63">
        <f t="shared" si="330"/>
        <v>0</v>
      </c>
      <c r="AI251" s="52">
        <f t="shared" si="363"/>
        <v>0</v>
      </c>
      <c r="AJ251" s="43"/>
      <c r="AK251" s="39"/>
      <c r="AL251" s="39"/>
      <c r="AM251" s="39"/>
      <c r="AN251" s="21"/>
      <c r="AO251" s="1366">
        <v>1</v>
      </c>
      <c r="AP251" s="45" t="s">
        <v>2135</v>
      </c>
      <c r="AQ251" s="46"/>
      <c r="AR251" s="46" t="s">
        <v>3423</v>
      </c>
      <c r="AS251" s="47">
        <v>1</v>
      </c>
      <c r="AT251" s="48" t="s">
        <v>634</v>
      </c>
      <c r="AU251" s="1369"/>
      <c r="AV251" s="54"/>
      <c r="AW251" s="1369"/>
      <c r="AX251" s="1369"/>
      <c r="AY251" s="1369"/>
      <c r="AZ251" s="54"/>
      <c r="BA251" s="1369"/>
      <c r="BB251" s="54"/>
      <c r="BC251" s="1369"/>
      <c r="BD251" s="1369"/>
      <c r="BE251" s="1369"/>
      <c r="BF251" s="54"/>
      <c r="BG251" s="1369"/>
      <c r="BH251" s="54"/>
      <c r="BI251" s="1369"/>
      <c r="BJ251" s="1369"/>
      <c r="BK251" s="1369"/>
      <c r="BL251" s="54"/>
      <c r="BM251" s="1369"/>
      <c r="BN251" s="54"/>
      <c r="BO251" s="1369"/>
      <c r="BP251" s="1369"/>
      <c r="BQ251" s="1369"/>
      <c r="BR251" s="54"/>
      <c r="BS251" s="1369"/>
      <c r="BT251" s="54"/>
      <c r="BU251" s="1369"/>
      <c r="BV251" s="1369"/>
      <c r="BW251" s="1369"/>
      <c r="BX251" s="54"/>
      <c r="BY251" s="1369"/>
      <c r="BZ251" s="54"/>
      <c r="CA251" s="1369"/>
      <c r="CB251" s="1369"/>
      <c r="CC251" s="1369"/>
      <c r="CD251" s="54"/>
      <c r="CE251" s="1369"/>
      <c r="CF251" s="54"/>
      <c r="CG251" s="1369"/>
      <c r="CH251" s="1369"/>
      <c r="CI251" s="1369"/>
      <c r="CJ251" s="1369"/>
    </row>
    <row r="252" spans="1:88" x14ac:dyDescent="0.5">
      <c r="A252" s="21">
        <v>20056569</v>
      </c>
      <c r="B252" s="22">
        <v>20050397</v>
      </c>
      <c r="C252" s="1019" t="s">
        <v>1383</v>
      </c>
      <c r="D252" s="1020" t="s">
        <v>2691</v>
      </c>
      <c r="E252" s="884">
        <v>44002</v>
      </c>
      <c r="F252" s="932"/>
      <c r="G252" s="933"/>
      <c r="H252" s="831"/>
      <c r="I252" s="1021"/>
      <c r="J252" s="931"/>
      <c r="K252" s="40"/>
      <c r="L252" s="22" t="s">
        <v>1562</v>
      </c>
      <c r="M252" s="28" t="s">
        <v>3876</v>
      </c>
      <c r="N252" s="22" t="s">
        <v>1523</v>
      </c>
      <c r="O252" s="29">
        <v>84212.52</v>
      </c>
      <c r="P252" s="29">
        <f t="shared" si="323"/>
        <v>5894.8764000000001</v>
      </c>
      <c r="Q252" s="29">
        <f t="shared" si="362"/>
        <v>90107.396399999998</v>
      </c>
      <c r="R252" s="61"/>
      <c r="S252" s="31" t="s">
        <v>1569</v>
      </c>
      <c r="T252" s="32">
        <f t="shared" si="384"/>
        <v>84212.52</v>
      </c>
      <c r="U252" s="33">
        <v>5</v>
      </c>
      <c r="V252" s="1251">
        <f t="shared" si="385"/>
        <v>4210.6260000000002</v>
      </c>
      <c r="W252" s="1231">
        <v>54.02</v>
      </c>
      <c r="X252" s="1184">
        <f t="shared" si="386"/>
        <v>80001.894</v>
      </c>
      <c r="Y252" s="1223">
        <f t="shared" si="328"/>
        <v>0.39949999999999991</v>
      </c>
      <c r="Z252" s="1223">
        <f>80001.89*0.4/100</f>
        <v>320.00756000000001</v>
      </c>
      <c r="AA252" s="1225"/>
      <c r="AB252" s="1225"/>
      <c r="AC252" s="37">
        <v>0.2</v>
      </c>
      <c r="AD252" s="1234">
        <f t="shared" si="387"/>
        <v>160.00378800000001</v>
      </c>
      <c r="AE252" s="40"/>
      <c r="AF252" s="1186"/>
      <c r="AG252" s="41"/>
      <c r="AH252" s="63">
        <f t="shared" si="330"/>
        <v>0</v>
      </c>
      <c r="AI252" s="52">
        <f t="shared" si="363"/>
        <v>0</v>
      </c>
      <c r="AJ252" s="43"/>
      <c r="AK252" s="39"/>
      <c r="AL252" s="39"/>
      <c r="AM252" s="39"/>
      <c r="AN252" s="21"/>
      <c r="AO252" s="1366">
        <v>1</v>
      </c>
      <c r="AP252" s="45" t="s">
        <v>2135</v>
      </c>
      <c r="AQ252" s="46"/>
      <c r="AR252" s="46" t="s">
        <v>3423</v>
      </c>
      <c r="AS252" s="47">
        <v>3</v>
      </c>
      <c r="AT252" s="48" t="s">
        <v>634</v>
      </c>
      <c r="AU252" s="1369"/>
      <c r="AV252" s="54"/>
      <c r="AW252" s="1369"/>
      <c r="AX252" s="1369"/>
      <c r="AY252" s="1369"/>
      <c r="AZ252" s="54"/>
      <c r="BA252" s="1369"/>
      <c r="BB252" s="54"/>
      <c r="BC252" s="1369"/>
      <c r="BD252" s="1369"/>
      <c r="BE252" s="1369"/>
      <c r="BF252" s="54"/>
      <c r="BG252" s="1369"/>
      <c r="BH252" s="54"/>
      <c r="BI252" s="1369"/>
      <c r="BJ252" s="1369"/>
      <c r="BK252" s="1369"/>
      <c r="BL252" s="54"/>
      <c r="BM252" s="1369"/>
      <c r="BN252" s="54"/>
      <c r="BO252" s="1369"/>
      <c r="BP252" s="1369"/>
      <c r="BQ252" s="1369"/>
      <c r="BR252" s="54"/>
      <c r="BS252" s="1369"/>
      <c r="BT252" s="54"/>
      <c r="BU252" s="1369"/>
      <c r="BV252" s="1369"/>
      <c r="BW252" s="1369"/>
      <c r="BX252" s="54"/>
      <c r="BY252" s="1369"/>
      <c r="BZ252" s="54"/>
      <c r="CA252" s="1369"/>
      <c r="CB252" s="1369"/>
      <c r="CC252" s="1369"/>
      <c r="CD252" s="54"/>
      <c r="CE252" s="1369"/>
      <c r="CF252" s="54"/>
      <c r="CG252" s="1369"/>
      <c r="CH252" s="1369"/>
      <c r="CI252" s="1369"/>
      <c r="CJ252" s="1369"/>
    </row>
    <row r="253" spans="1:88" x14ac:dyDescent="0.5">
      <c r="A253" s="259">
        <v>20056568</v>
      </c>
      <c r="B253" s="104">
        <v>20050396</v>
      </c>
      <c r="C253" s="1243" t="s">
        <v>1384</v>
      </c>
      <c r="D253" s="1244" t="s">
        <v>2691</v>
      </c>
      <c r="E253" s="302">
        <v>43987</v>
      </c>
      <c r="F253" s="936" t="s">
        <v>3368</v>
      </c>
      <c r="G253" s="937" t="s">
        <v>1372</v>
      </c>
      <c r="H253" s="302">
        <v>43987</v>
      </c>
      <c r="I253" s="1124">
        <v>63138</v>
      </c>
      <c r="J253" s="960" t="s">
        <v>3423</v>
      </c>
      <c r="K253" s="965">
        <v>43990</v>
      </c>
      <c r="L253" s="104" t="s">
        <v>1562</v>
      </c>
      <c r="M253" s="110" t="s">
        <v>3877</v>
      </c>
      <c r="N253" s="104" t="s">
        <v>1523</v>
      </c>
      <c r="O253" s="111">
        <v>104733.28</v>
      </c>
      <c r="P253" s="111">
        <f t="shared" ref="P253:P260" si="388">O253*7/100</f>
        <v>7331.3296</v>
      </c>
      <c r="Q253" s="111">
        <f t="shared" ref="Q253:Q260" si="389">O253+P253</f>
        <v>112064.6096</v>
      </c>
      <c r="R253" s="212"/>
      <c r="S253" s="113" t="s">
        <v>1569</v>
      </c>
      <c r="T253" s="114">
        <f t="shared" ref="T253:T260" si="390">O253-R253</f>
        <v>104733.28</v>
      </c>
      <c r="U253" s="115">
        <v>5</v>
      </c>
      <c r="V253" s="1252">
        <f t="shared" ref="V253:V260" si="391">T253*U253/100</f>
        <v>5236.6640000000007</v>
      </c>
      <c r="W253" s="1245">
        <v>54.02</v>
      </c>
      <c r="X253" s="1246">
        <f t="shared" ref="X253" si="392">T253-V253</f>
        <v>99496.615999999995</v>
      </c>
      <c r="Y253" s="1247">
        <f t="shared" ref="Y253" si="393">SUM((50-W253)/(100)*(2.5)+(0.5))</f>
        <v>0.39949999999999991</v>
      </c>
      <c r="Z253" s="1247">
        <f>99496.62*0.4/100</f>
        <v>397.98648000000003</v>
      </c>
      <c r="AA253" s="1302"/>
      <c r="AB253" s="1302"/>
      <c r="AC253" s="119">
        <v>0.2</v>
      </c>
      <c r="AD253" s="1248">
        <f t="shared" ref="AD253" si="394">X253*AC253/100</f>
        <v>198.99323199999998</v>
      </c>
      <c r="AE253" s="229">
        <v>20050138</v>
      </c>
      <c r="AF253" s="1313"/>
      <c r="AG253" s="230">
        <v>31419.98</v>
      </c>
      <c r="AH253" s="233">
        <f t="shared" ref="AH253:AH260" si="395">AG253*7/100</f>
        <v>2199.3986</v>
      </c>
      <c r="AI253" s="220">
        <f t="shared" ref="AI253:AI260" si="396">AG253+AH253</f>
        <v>33619.378599999996</v>
      </c>
      <c r="AJ253" s="221">
        <v>43973</v>
      </c>
      <c r="AK253" s="121" t="s">
        <v>3423</v>
      </c>
      <c r="AL253" s="121"/>
      <c r="AM253" s="121"/>
      <c r="AN253" s="222" t="s">
        <v>4017</v>
      </c>
      <c r="AO253" s="128">
        <v>1</v>
      </c>
      <c r="AP253" s="129" t="s">
        <v>2138</v>
      </c>
      <c r="AQ253" s="130"/>
      <c r="AR253" s="130" t="s">
        <v>3423</v>
      </c>
      <c r="AS253" s="131">
        <v>1</v>
      </c>
      <c r="AT253" s="132" t="s">
        <v>634</v>
      </c>
      <c r="AU253" s="128"/>
      <c r="AV253" s="133"/>
      <c r="AW253" s="128"/>
      <c r="AX253" s="128"/>
      <c r="AY253" s="128"/>
      <c r="AZ253" s="133"/>
      <c r="BA253" s="128"/>
      <c r="BB253" s="133"/>
      <c r="BC253" s="128"/>
      <c r="BD253" s="128"/>
      <c r="BE253" s="128"/>
      <c r="BF253" s="133"/>
      <c r="BG253" s="128"/>
      <c r="BH253" s="133"/>
      <c r="BI253" s="128"/>
      <c r="BJ253" s="128"/>
      <c r="BK253" s="128"/>
      <c r="BL253" s="133"/>
      <c r="BM253" s="128"/>
      <c r="BN253" s="133"/>
      <c r="BO253" s="128"/>
      <c r="BP253" s="128"/>
      <c r="BQ253" s="128"/>
      <c r="BR253" s="133"/>
      <c r="BS253" s="128"/>
      <c r="BT253" s="133"/>
      <c r="BU253" s="128"/>
      <c r="BV253" s="128"/>
      <c r="BW253" s="128"/>
      <c r="BX253" s="133"/>
      <c r="BY253" s="128"/>
      <c r="BZ253" s="133"/>
      <c r="CA253" s="128"/>
      <c r="CB253" s="128"/>
      <c r="CC253" s="128"/>
      <c r="CD253" s="133"/>
      <c r="CE253" s="128"/>
      <c r="CF253" s="133"/>
      <c r="CG253" s="128"/>
      <c r="CH253" s="128"/>
      <c r="CI253" s="128"/>
      <c r="CJ253" s="128"/>
    </row>
    <row r="254" spans="1:88" x14ac:dyDescent="0.5">
      <c r="A254" s="268"/>
      <c r="B254" s="181"/>
      <c r="C254" s="1236"/>
      <c r="D254" s="1237"/>
      <c r="E254" s="749"/>
      <c r="F254" s="938"/>
      <c r="G254" s="939"/>
      <c r="H254" s="304"/>
      <c r="I254" s="1125"/>
      <c r="J254" s="961"/>
      <c r="K254" s="966"/>
      <c r="L254" s="181"/>
      <c r="M254" s="188"/>
      <c r="N254" s="181"/>
      <c r="O254" s="189"/>
      <c r="P254" s="189"/>
      <c r="Q254" s="189"/>
      <c r="R254" s="214"/>
      <c r="S254" s="215"/>
      <c r="T254" s="216"/>
      <c r="U254" s="217"/>
      <c r="V254" s="1253"/>
      <c r="W254" s="1238"/>
      <c r="X254" s="1239"/>
      <c r="Y254" s="1240"/>
      <c r="Z254" s="1240"/>
      <c r="AA254" s="1254"/>
      <c r="AB254" s="1254"/>
      <c r="AC254" s="197"/>
      <c r="AD254" s="1241"/>
      <c r="AE254" s="200">
        <v>20060144</v>
      </c>
      <c r="AF254" s="1242" t="s">
        <v>3423</v>
      </c>
      <c r="AG254" s="201">
        <v>73313.3</v>
      </c>
      <c r="AH254" s="237">
        <f t="shared" si="395"/>
        <v>5131.9310000000005</v>
      </c>
      <c r="AI254" s="202">
        <f t="shared" si="396"/>
        <v>78445.231</v>
      </c>
      <c r="AJ254" s="203">
        <v>43983</v>
      </c>
      <c r="AK254" s="199" t="s">
        <v>3423</v>
      </c>
      <c r="AL254" s="199"/>
      <c r="AM254" s="199"/>
      <c r="AN254" s="180" t="s">
        <v>4004</v>
      </c>
      <c r="AO254" s="204"/>
      <c r="AP254" s="205"/>
      <c r="AQ254" s="206"/>
      <c r="AR254" s="206"/>
      <c r="AS254" s="207"/>
      <c r="AT254" s="208"/>
      <c r="AU254" s="204"/>
      <c r="AV254" s="210"/>
      <c r="AW254" s="204"/>
      <c r="AX254" s="204"/>
      <c r="AY254" s="204"/>
      <c r="AZ254" s="210"/>
      <c r="BA254" s="204"/>
      <c r="BB254" s="210"/>
      <c r="BC254" s="204"/>
      <c r="BD254" s="204"/>
      <c r="BE254" s="204"/>
      <c r="BF254" s="210"/>
      <c r="BG254" s="204"/>
      <c r="BH254" s="210"/>
      <c r="BI254" s="204"/>
      <c r="BJ254" s="204"/>
      <c r="BK254" s="204"/>
      <c r="BL254" s="210"/>
      <c r="BM254" s="204"/>
      <c r="BN254" s="210"/>
      <c r="BO254" s="204"/>
      <c r="BP254" s="204"/>
      <c r="BQ254" s="204"/>
      <c r="BR254" s="210"/>
      <c r="BS254" s="204"/>
      <c r="BT254" s="210"/>
      <c r="BU254" s="204"/>
      <c r="BV254" s="204"/>
      <c r="BW254" s="204"/>
      <c r="BX254" s="210"/>
      <c r="BY254" s="204"/>
      <c r="BZ254" s="210"/>
      <c r="CA254" s="204"/>
      <c r="CB254" s="204"/>
      <c r="CC254" s="204"/>
      <c r="CD254" s="210"/>
      <c r="CE254" s="204"/>
      <c r="CF254" s="210"/>
      <c r="CG254" s="204"/>
      <c r="CH254" s="204"/>
      <c r="CI254" s="204"/>
      <c r="CJ254" s="204"/>
    </row>
    <row r="255" spans="1:88" x14ac:dyDescent="0.5">
      <c r="A255" s="227">
        <v>20056567</v>
      </c>
      <c r="B255" s="22">
        <v>20050394</v>
      </c>
      <c r="C255" s="55"/>
      <c r="D255" s="56"/>
      <c r="E255" s="910"/>
      <c r="F255" s="57"/>
      <c r="G255" s="58"/>
      <c r="H255" s="59"/>
      <c r="I255" s="60"/>
      <c r="J255" s="269"/>
      <c r="K255" s="59"/>
      <c r="L255" s="22" t="s">
        <v>3717</v>
      </c>
      <c r="M255" s="28" t="s">
        <v>404</v>
      </c>
      <c r="N255" s="22" t="s">
        <v>50</v>
      </c>
      <c r="O255" s="29">
        <v>8300</v>
      </c>
      <c r="P255" s="29">
        <f t="shared" si="388"/>
        <v>581</v>
      </c>
      <c r="Q255" s="29">
        <f t="shared" si="389"/>
        <v>8881</v>
      </c>
      <c r="R255" s="61"/>
      <c r="S255" s="96"/>
      <c r="T255" s="97"/>
      <c r="U255" s="98"/>
      <c r="V255" s="1225"/>
      <c r="W255" s="1225"/>
      <c r="X255" s="100"/>
      <c r="Y255" s="1225"/>
      <c r="Z255" s="1225"/>
      <c r="AA255" s="1225"/>
      <c r="AB255" s="1225"/>
      <c r="AC255" s="100"/>
      <c r="AD255" s="595"/>
      <c r="AE255" s="40">
        <v>20060158</v>
      </c>
      <c r="AF255" s="1186" t="s">
        <v>3423</v>
      </c>
      <c r="AG255" s="41">
        <v>8300</v>
      </c>
      <c r="AH255" s="63">
        <f t="shared" si="395"/>
        <v>581</v>
      </c>
      <c r="AI255" s="52">
        <f t="shared" si="396"/>
        <v>8881</v>
      </c>
      <c r="AJ255" s="53">
        <v>43995</v>
      </c>
      <c r="AK255" s="39" t="s">
        <v>3423</v>
      </c>
      <c r="AL255" s="39"/>
      <c r="AM255" s="39"/>
      <c r="AN255" s="21" t="s">
        <v>4320</v>
      </c>
      <c r="AO255" s="1364">
        <v>1</v>
      </c>
      <c r="AP255" s="45" t="s">
        <v>404</v>
      </c>
      <c r="AQ255" s="46"/>
      <c r="AR255" s="46"/>
      <c r="AS255" s="47">
        <v>1</v>
      </c>
      <c r="AT255" s="102"/>
      <c r="AU255" s="1369"/>
      <c r="AV255" s="54"/>
      <c r="AW255" s="1369"/>
      <c r="AX255" s="1369"/>
      <c r="AY255" s="1369"/>
      <c r="AZ255" s="54"/>
      <c r="BA255" s="1369"/>
      <c r="BB255" s="54"/>
      <c r="BC255" s="1369"/>
      <c r="BD255" s="1369"/>
      <c r="BE255" s="1369"/>
      <c r="BF255" s="54"/>
      <c r="BG255" s="1369"/>
      <c r="BH255" s="54"/>
      <c r="BI255" s="1369"/>
      <c r="BJ255" s="1369"/>
      <c r="BK255" s="1369"/>
      <c r="BL255" s="54"/>
      <c r="BM255" s="1369"/>
      <c r="BN255" s="54"/>
      <c r="BO255" s="1369"/>
      <c r="BP255" s="1369"/>
      <c r="BQ255" s="1369"/>
      <c r="BR255" s="54"/>
      <c r="BS255" s="1369"/>
      <c r="BT255" s="54"/>
      <c r="BU255" s="1369"/>
      <c r="BV255" s="1369"/>
      <c r="BW255" s="1369"/>
      <c r="BX255" s="54"/>
      <c r="BY255" s="1369"/>
      <c r="BZ255" s="54"/>
      <c r="CA255" s="1369"/>
      <c r="CB255" s="1369"/>
      <c r="CC255" s="1369"/>
      <c r="CD255" s="54"/>
      <c r="CE255" s="1369"/>
      <c r="CF255" s="54"/>
      <c r="CG255" s="1369"/>
      <c r="CH255" s="1369"/>
      <c r="CI255" s="1369"/>
      <c r="CJ255" s="1369"/>
    </row>
    <row r="256" spans="1:88" x14ac:dyDescent="0.5">
      <c r="A256" s="259">
        <v>20056566</v>
      </c>
      <c r="B256" s="104">
        <v>20050393</v>
      </c>
      <c r="C256" s="1243" t="s">
        <v>1361</v>
      </c>
      <c r="D256" s="1244" t="s">
        <v>2691</v>
      </c>
      <c r="E256" s="302">
        <v>43987</v>
      </c>
      <c r="F256" s="936" t="s">
        <v>3368</v>
      </c>
      <c r="G256" s="937" t="s">
        <v>1370</v>
      </c>
      <c r="H256" s="302">
        <v>43987</v>
      </c>
      <c r="I256" s="1124">
        <v>63137</v>
      </c>
      <c r="J256" s="960" t="s">
        <v>3423</v>
      </c>
      <c r="K256" s="965">
        <v>43990</v>
      </c>
      <c r="L256" s="104" t="s">
        <v>3717</v>
      </c>
      <c r="M256" s="110" t="s">
        <v>3873</v>
      </c>
      <c r="N256" s="104" t="s">
        <v>50</v>
      </c>
      <c r="O256" s="111">
        <v>226400</v>
      </c>
      <c r="P256" s="111">
        <f t="shared" ref="P256" si="397">O256*7/100</f>
        <v>15848</v>
      </c>
      <c r="Q256" s="111">
        <f t="shared" ref="Q256" si="398">O256+P256</f>
        <v>242248</v>
      </c>
      <c r="R256" s="212"/>
      <c r="S256" s="113" t="s">
        <v>3935</v>
      </c>
      <c r="T256" s="114">
        <f t="shared" ref="T256" si="399">O256-R256</f>
        <v>226400</v>
      </c>
      <c r="U256" s="115">
        <v>5</v>
      </c>
      <c r="V256" s="1252">
        <f t="shared" ref="V256" si="400">T256*U256/100</f>
        <v>11320</v>
      </c>
      <c r="W256" s="1417"/>
      <c r="X256" s="1246">
        <f t="shared" ref="X256" si="401">T256-V256</f>
        <v>215080</v>
      </c>
      <c r="Y256" s="1247">
        <f t="shared" ref="Y256" si="402">SUM((50-W256)/(100)*(2.5)+(0.5))</f>
        <v>1.75</v>
      </c>
      <c r="Z256" s="1417" t="s">
        <v>3936</v>
      </c>
      <c r="AA256" s="1302"/>
      <c r="AB256" s="1302">
        <f t="shared" ref="AB256" si="403">X256*AA256/100</f>
        <v>0</v>
      </c>
      <c r="AC256" s="119"/>
      <c r="AD256" s="1248">
        <f t="shared" ref="AD256" si="404">X256*AC256/100</f>
        <v>0</v>
      </c>
      <c r="AE256" s="229">
        <v>20050137</v>
      </c>
      <c r="AF256" s="1313"/>
      <c r="AG256" s="230">
        <v>67920</v>
      </c>
      <c r="AH256" s="233">
        <f t="shared" ref="AH256:AH257" si="405">AG256*7/100</f>
        <v>4754.3999999999996</v>
      </c>
      <c r="AI256" s="220">
        <f t="shared" ref="AI256:AI257" si="406">AG256+AH256</f>
        <v>72674.399999999994</v>
      </c>
      <c r="AJ256" s="221">
        <v>43973</v>
      </c>
      <c r="AK256" s="121" t="s">
        <v>3423</v>
      </c>
      <c r="AL256" s="121"/>
      <c r="AM256" s="121"/>
      <c r="AN256" s="979" t="s">
        <v>4325</v>
      </c>
      <c r="AO256" s="128">
        <v>1</v>
      </c>
      <c r="AP256" s="129" t="s">
        <v>3874</v>
      </c>
      <c r="AQ256" s="130"/>
      <c r="AR256" s="130" t="s">
        <v>3423</v>
      </c>
      <c r="AS256" s="131">
        <v>1</v>
      </c>
      <c r="AT256" s="132" t="s">
        <v>636</v>
      </c>
      <c r="AU256" s="128">
        <v>2</v>
      </c>
      <c r="AV256" s="123" t="s">
        <v>650</v>
      </c>
      <c r="AW256" s="131"/>
      <c r="AX256" s="131" t="s">
        <v>3423</v>
      </c>
      <c r="AY256" s="131">
        <v>1</v>
      </c>
      <c r="AZ256" s="169" t="s">
        <v>634</v>
      </c>
      <c r="BA256" s="128"/>
      <c r="BB256" s="133"/>
      <c r="BC256" s="128"/>
      <c r="BD256" s="128"/>
      <c r="BE256" s="128"/>
      <c r="BF256" s="133"/>
      <c r="BG256" s="128"/>
      <c r="BH256" s="133"/>
      <c r="BI256" s="128"/>
      <c r="BJ256" s="128"/>
      <c r="BK256" s="128"/>
      <c r="BL256" s="133"/>
      <c r="BM256" s="128"/>
      <c r="BN256" s="133"/>
      <c r="BO256" s="128"/>
      <c r="BP256" s="128"/>
      <c r="BQ256" s="128"/>
      <c r="BR256" s="133"/>
      <c r="BS256" s="128"/>
      <c r="BT256" s="133"/>
      <c r="BU256" s="128"/>
      <c r="BV256" s="128"/>
      <c r="BW256" s="128"/>
      <c r="BX256" s="133"/>
      <c r="BY256" s="128"/>
      <c r="BZ256" s="133"/>
      <c r="CA256" s="128"/>
      <c r="CB256" s="128"/>
      <c r="CC256" s="128"/>
      <c r="CD256" s="133"/>
      <c r="CE256" s="128"/>
      <c r="CF256" s="133"/>
      <c r="CG256" s="128"/>
      <c r="CH256" s="128"/>
      <c r="CI256" s="128"/>
      <c r="CJ256" s="128"/>
    </row>
    <row r="257" spans="1:88" x14ac:dyDescent="0.5">
      <c r="A257" s="268"/>
      <c r="B257" s="181"/>
      <c r="C257" s="1236"/>
      <c r="D257" s="1237"/>
      <c r="E257" s="749"/>
      <c r="F257" s="938"/>
      <c r="G257" s="939"/>
      <c r="H257" s="749"/>
      <c r="I257" s="1125"/>
      <c r="J257" s="961"/>
      <c r="K257" s="966"/>
      <c r="L257" s="181"/>
      <c r="M257" s="188"/>
      <c r="N257" s="181"/>
      <c r="O257" s="189"/>
      <c r="P257" s="189"/>
      <c r="Q257" s="189"/>
      <c r="R257" s="214"/>
      <c r="S257" s="215"/>
      <c r="T257" s="216"/>
      <c r="U257" s="217"/>
      <c r="V257" s="1253"/>
      <c r="W257" s="1238"/>
      <c r="X257" s="1239"/>
      <c r="Y257" s="1240"/>
      <c r="Z257" s="1240"/>
      <c r="AA257" s="1254"/>
      <c r="AB257" s="1254"/>
      <c r="AC257" s="197"/>
      <c r="AD257" s="1241"/>
      <c r="AE257" s="200">
        <v>20060159</v>
      </c>
      <c r="AF257" s="1242" t="s">
        <v>3423</v>
      </c>
      <c r="AG257" s="201">
        <v>158480</v>
      </c>
      <c r="AH257" s="237">
        <f t="shared" si="405"/>
        <v>11093.6</v>
      </c>
      <c r="AI257" s="202">
        <f t="shared" si="406"/>
        <v>169573.6</v>
      </c>
      <c r="AJ257" s="203">
        <v>44025</v>
      </c>
      <c r="AK257" s="199" t="s">
        <v>3423</v>
      </c>
      <c r="AL257" s="199"/>
      <c r="AM257" s="199"/>
      <c r="AN257" s="843" t="s">
        <v>4321</v>
      </c>
      <c r="AO257" s="204"/>
      <c r="AP257" s="205"/>
      <c r="AQ257" s="206"/>
      <c r="AR257" s="206"/>
      <c r="AS257" s="207"/>
      <c r="AT257" s="208"/>
      <c r="AU257" s="204"/>
      <c r="AV257" s="200"/>
      <c r="AW257" s="207"/>
      <c r="AX257" s="207"/>
      <c r="AY257" s="207"/>
      <c r="AZ257" s="209"/>
      <c r="BA257" s="204"/>
      <c r="BB257" s="210"/>
      <c r="BC257" s="204"/>
      <c r="BD257" s="204"/>
      <c r="BE257" s="204"/>
      <c r="BF257" s="210"/>
      <c r="BG257" s="204"/>
      <c r="BH257" s="210"/>
      <c r="BI257" s="204"/>
      <c r="BJ257" s="204"/>
      <c r="BK257" s="204"/>
      <c r="BL257" s="210"/>
      <c r="BM257" s="204"/>
      <c r="BN257" s="210"/>
      <c r="BO257" s="204"/>
      <c r="BP257" s="204"/>
      <c r="BQ257" s="204"/>
      <c r="BR257" s="210"/>
      <c r="BS257" s="204"/>
      <c r="BT257" s="210"/>
      <c r="BU257" s="204"/>
      <c r="BV257" s="204"/>
      <c r="BW257" s="204"/>
      <c r="BX257" s="210"/>
      <c r="BY257" s="204"/>
      <c r="BZ257" s="210"/>
      <c r="CA257" s="204"/>
      <c r="CB257" s="204"/>
      <c r="CC257" s="204"/>
      <c r="CD257" s="210"/>
      <c r="CE257" s="204"/>
      <c r="CF257" s="210"/>
      <c r="CG257" s="204"/>
      <c r="CH257" s="204"/>
      <c r="CI257" s="204"/>
      <c r="CJ257" s="204"/>
    </row>
    <row r="258" spans="1:88" x14ac:dyDescent="0.5">
      <c r="A258" s="259">
        <v>20056565</v>
      </c>
      <c r="B258" s="104">
        <v>20050395</v>
      </c>
      <c r="C258" s="242"/>
      <c r="D258" s="243"/>
      <c r="E258" s="912"/>
      <c r="F258" s="244" t="s">
        <v>3878</v>
      </c>
      <c r="G258" s="245"/>
      <c r="H258" s="246"/>
      <c r="I258" s="247"/>
      <c r="J258" s="306"/>
      <c r="K258" s="246"/>
      <c r="L258" s="104" t="s">
        <v>9</v>
      </c>
      <c r="M258" s="110" t="s">
        <v>3875</v>
      </c>
      <c r="N258" s="104" t="s">
        <v>50</v>
      </c>
      <c r="O258" s="111">
        <v>13000</v>
      </c>
      <c r="P258" s="111">
        <f t="shared" si="388"/>
        <v>910</v>
      </c>
      <c r="Q258" s="111">
        <f t="shared" si="389"/>
        <v>13910</v>
      </c>
      <c r="R258" s="212"/>
      <c r="S258" s="165"/>
      <c r="T258" s="166"/>
      <c r="U258" s="167"/>
      <c r="V258" s="1302"/>
      <c r="W258" s="1302"/>
      <c r="X258" s="231"/>
      <c r="Y258" s="1302"/>
      <c r="Z258" s="1302"/>
      <c r="AA258" s="1302"/>
      <c r="AB258" s="1302"/>
      <c r="AC258" s="231"/>
      <c r="AD258" s="1309"/>
      <c r="AE258" s="1648">
        <v>20050136</v>
      </c>
      <c r="AF258" s="1649" t="s">
        <v>3423</v>
      </c>
      <c r="AG258" s="230">
        <v>13000</v>
      </c>
      <c r="AH258" s="233">
        <f t="shared" si="395"/>
        <v>910</v>
      </c>
      <c r="AI258" s="233">
        <f t="shared" si="396"/>
        <v>13910</v>
      </c>
      <c r="AJ258" s="1651">
        <v>44003</v>
      </c>
      <c r="AK258" s="1650"/>
      <c r="AL258" s="1650"/>
      <c r="AM258" s="1650" t="s">
        <v>3423</v>
      </c>
      <c r="AN258" s="623" t="s">
        <v>4114</v>
      </c>
      <c r="AO258" s="128">
        <v>1</v>
      </c>
      <c r="AP258" s="129" t="s">
        <v>407</v>
      </c>
      <c r="AQ258" s="130"/>
      <c r="AR258" s="130"/>
      <c r="AS258" s="131">
        <v>1</v>
      </c>
      <c r="AT258" s="284"/>
      <c r="AU258" s="128"/>
      <c r="AV258" s="133"/>
      <c r="AW258" s="128"/>
      <c r="AX258" s="128"/>
      <c r="AY258" s="128"/>
      <c r="AZ258" s="133"/>
      <c r="BA258" s="128"/>
      <c r="BB258" s="133"/>
      <c r="BC258" s="128"/>
      <c r="BD258" s="128"/>
      <c r="BE258" s="128"/>
      <c r="BF258" s="133"/>
      <c r="BG258" s="128"/>
      <c r="BH258" s="133"/>
      <c r="BI258" s="128"/>
      <c r="BJ258" s="128"/>
      <c r="BK258" s="128"/>
      <c r="BL258" s="133"/>
      <c r="BM258" s="128"/>
      <c r="BN258" s="133"/>
      <c r="BO258" s="128"/>
      <c r="BP258" s="128"/>
      <c r="BQ258" s="128"/>
      <c r="BR258" s="133"/>
      <c r="BS258" s="128"/>
      <c r="BT258" s="133"/>
      <c r="BU258" s="128"/>
      <c r="BV258" s="128"/>
      <c r="BW258" s="128"/>
      <c r="BX258" s="133"/>
      <c r="BY258" s="128"/>
      <c r="BZ258" s="133"/>
      <c r="CA258" s="128"/>
      <c r="CB258" s="128"/>
      <c r="CC258" s="128"/>
      <c r="CD258" s="133"/>
      <c r="CE258" s="128"/>
      <c r="CF258" s="133"/>
      <c r="CG258" s="128"/>
      <c r="CH258" s="128"/>
      <c r="CI258" s="128"/>
      <c r="CJ258" s="128"/>
    </row>
    <row r="259" spans="1:88" x14ac:dyDescent="0.5">
      <c r="A259" s="268"/>
      <c r="B259" s="181"/>
      <c r="C259" s="285"/>
      <c r="D259" s="286"/>
      <c r="E259" s="913"/>
      <c r="F259" s="287"/>
      <c r="G259" s="288"/>
      <c r="H259" s="289"/>
      <c r="I259" s="290"/>
      <c r="J259" s="832"/>
      <c r="K259" s="289"/>
      <c r="L259" s="181"/>
      <c r="M259" s="188"/>
      <c r="N259" s="181"/>
      <c r="O259" s="189"/>
      <c r="P259" s="189"/>
      <c r="Q259" s="189"/>
      <c r="R259" s="214"/>
      <c r="S259" s="191"/>
      <c r="T259" s="192"/>
      <c r="U259" s="193"/>
      <c r="V259" s="1254"/>
      <c r="W259" s="1254"/>
      <c r="X259" s="235"/>
      <c r="Y259" s="1254"/>
      <c r="Z259" s="1254"/>
      <c r="AA259" s="1254"/>
      <c r="AB259" s="1254"/>
      <c r="AC259" s="235"/>
      <c r="AD259" s="1303"/>
      <c r="AE259" s="802" t="s">
        <v>3909</v>
      </c>
      <c r="AF259" s="1398" t="s">
        <v>3423</v>
      </c>
      <c r="AG259" s="838">
        <v>13000</v>
      </c>
      <c r="AH259" s="1399">
        <f t="shared" si="395"/>
        <v>910</v>
      </c>
      <c r="AI259" s="839">
        <f t="shared" si="396"/>
        <v>13910</v>
      </c>
      <c r="AJ259" s="840">
        <v>44027</v>
      </c>
      <c r="AK259" s="801"/>
      <c r="AL259" s="801"/>
      <c r="AM259" s="801" t="s">
        <v>3423</v>
      </c>
      <c r="AN259" s="180"/>
      <c r="AO259" s="204"/>
      <c r="AP259" s="205"/>
      <c r="AQ259" s="206"/>
      <c r="AR259" s="206"/>
      <c r="AS259" s="207"/>
      <c r="AT259" s="291"/>
      <c r="AU259" s="204"/>
      <c r="AV259" s="210"/>
      <c r="AW259" s="204"/>
      <c r="AX259" s="204"/>
      <c r="AY259" s="204"/>
      <c r="AZ259" s="210"/>
      <c r="BA259" s="204"/>
      <c r="BB259" s="210"/>
      <c r="BC259" s="204"/>
      <c r="BD259" s="204"/>
      <c r="BE259" s="204"/>
      <c r="BF259" s="210"/>
      <c r="BG259" s="204"/>
      <c r="BH259" s="210"/>
      <c r="BI259" s="204"/>
      <c r="BJ259" s="204"/>
      <c r="BK259" s="204"/>
      <c r="BL259" s="210"/>
      <c r="BM259" s="204"/>
      <c r="BN259" s="210"/>
      <c r="BO259" s="204"/>
      <c r="BP259" s="204"/>
      <c r="BQ259" s="204"/>
      <c r="BR259" s="210"/>
      <c r="BS259" s="204"/>
      <c r="BT259" s="210"/>
      <c r="BU259" s="204"/>
      <c r="BV259" s="204"/>
      <c r="BW259" s="204"/>
      <c r="BX259" s="210"/>
      <c r="BY259" s="204"/>
      <c r="BZ259" s="210"/>
      <c r="CA259" s="204"/>
      <c r="CB259" s="204"/>
      <c r="CC259" s="204"/>
      <c r="CD259" s="210"/>
      <c r="CE259" s="204"/>
      <c r="CF259" s="210"/>
      <c r="CG259" s="204"/>
      <c r="CH259" s="204"/>
      <c r="CI259" s="204"/>
      <c r="CJ259" s="204"/>
    </row>
    <row r="260" spans="1:88" s="95" customFormat="1" x14ac:dyDescent="0.5">
      <c r="A260" s="65">
        <v>20056564</v>
      </c>
      <c r="B260" s="66">
        <v>20050392</v>
      </c>
      <c r="C260" s="327" t="s">
        <v>1391</v>
      </c>
      <c r="D260" s="328" t="s">
        <v>2691</v>
      </c>
      <c r="E260" s="905">
        <v>43987</v>
      </c>
      <c r="F260" s="934"/>
      <c r="G260" s="935"/>
      <c r="H260" s="326"/>
      <c r="I260" s="331"/>
      <c r="J260" s="958"/>
      <c r="K260" s="84"/>
      <c r="L260" s="66" t="s">
        <v>3849</v>
      </c>
      <c r="M260" s="72" t="s">
        <v>3850</v>
      </c>
      <c r="N260" s="66" t="s">
        <v>51</v>
      </c>
      <c r="O260" s="73">
        <v>232400</v>
      </c>
      <c r="P260" s="73">
        <f t="shared" si="388"/>
        <v>16268</v>
      </c>
      <c r="Q260" s="73">
        <f t="shared" si="389"/>
        <v>248668</v>
      </c>
      <c r="R260" s="74"/>
      <c r="S260" s="75" t="s">
        <v>2795</v>
      </c>
      <c r="T260" s="76">
        <f t="shared" si="390"/>
        <v>232400</v>
      </c>
      <c r="U260" s="77"/>
      <c r="V260" s="1370">
        <f t="shared" si="391"/>
        <v>0</v>
      </c>
      <c r="W260" s="1321"/>
      <c r="X260" s="323"/>
      <c r="Y260" s="1321"/>
      <c r="Z260" s="1321"/>
      <c r="AA260" s="1321"/>
      <c r="AB260" s="1321"/>
      <c r="AC260" s="323"/>
      <c r="AD260" s="1322"/>
      <c r="AE260" s="84">
        <v>20050134</v>
      </c>
      <c r="AF260" s="1323" t="s">
        <v>1205</v>
      </c>
      <c r="AG260" s="85">
        <v>69720</v>
      </c>
      <c r="AH260" s="590">
        <f t="shared" si="395"/>
        <v>4880.3999999999996</v>
      </c>
      <c r="AI260" s="908">
        <f t="shared" si="396"/>
        <v>74600.399999999994</v>
      </c>
      <c r="AJ260" s="909">
        <v>43971</v>
      </c>
      <c r="AK260" s="83"/>
      <c r="AL260" s="83"/>
      <c r="AM260" s="83" t="s">
        <v>3423</v>
      </c>
      <c r="AN260" s="65" t="s">
        <v>3851</v>
      </c>
      <c r="AO260" s="88">
        <v>1</v>
      </c>
      <c r="AP260" s="89" t="s">
        <v>1316</v>
      </c>
      <c r="AQ260" s="90"/>
      <c r="AR260" s="90" t="s">
        <v>3423</v>
      </c>
      <c r="AS260" s="91">
        <v>2</v>
      </c>
      <c r="AT260" s="92" t="s">
        <v>634</v>
      </c>
      <c r="AU260" s="88">
        <v>2</v>
      </c>
      <c r="AV260" s="84" t="s">
        <v>624</v>
      </c>
      <c r="AW260" s="91"/>
      <c r="AX260" s="91" t="s">
        <v>3423</v>
      </c>
      <c r="AY260" s="91">
        <v>2</v>
      </c>
      <c r="AZ260" s="93" t="s">
        <v>634</v>
      </c>
      <c r="BA260" s="88"/>
      <c r="BB260" s="94"/>
      <c r="BC260" s="88"/>
      <c r="BD260" s="88"/>
      <c r="BE260" s="88"/>
      <c r="BF260" s="94"/>
      <c r="BG260" s="88"/>
      <c r="BH260" s="94"/>
      <c r="BI260" s="88"/>
      <c r="BJ260" s="88"/>
      <c r="BK260" s="88"/>
      <c r="BL260" s="94"/>
      <c r="BM260" s="88"/>
      <c r="BN260" s="94"/>
      <c r="BO260" s="88"/>
      <c r="BP260" s="88"/>
      <c r="BQ260" s="88"/>
      <c r="BR260" s="94"/>
      <c r="BS260" s="88"/>
      <c r="BT260" s="94"/>
      <c r="BU260" s="88"/>
      <c r="BV260" s="88"/>
      <c r="BW260" s="88"/>
      <c r="BX260" s="94"/>
      <c r="BY260" s="88"/>
      <c r="BZ260" s="94"/>
      <c r="CA260" s="88"/>
      <c r="CB260" s="88"/>
      <c r="CC260" s="88"/>
      <c r="CD260" s="94"/>
      <c r="CE260" s="88"/>
      <c r="CF260" s="94"/>
      <c r="CG260" s="88"/>
      <c r="CH260" s="88"/>
      <c r="CI260" s="88"/>
      <c r="CJ260" s="88"/>
    </row>
    <row r="261" spans="1:88" x14ac:dyDescent="0.5">
      <c r="A261" s="259">
        <v>20056563</v>
      </c>
      <c r="B261" s="104" t="s">
        <v>3852</v>
      </c>
      <c r="C261" s="1243" t="s">
        <v>1390</v>
      </c>
      <c r="D261" s="1244" t="s">
        <v>2691</v>
      </c>
      <c r="E261" s="302">
        <v>44012</v>
      </c>
      <c r="F261" s="936" t="s">
        <v>3368</v>
      </c>
      <c r="G261" s="937" t="s">
        <v>2145</v>
      </c>
      <c r="H261" s="914">
        <v>44020</v>
      </c>
      <c r="I261" s="1315">
        <v>63171</v>
      </c>
      <c r="J261" s="960" t="s">
        <v>3423</v>
      </c>
      <c r="K261" s="965">
        <v>44021</v>
      </c>
      <c r="L261" s="104" t="s">
        <v>537</v>
      </c>
      <c r="M261" s="104" t="s">
        <v>3853</v>
      </c>
      <c r="N261" s="104" t="s">
        <v>52</v>
      </c>
      <c r="O261" s="111">
        <v>109000</v>
      </c>
      <c r="P261" s="111">
        <f t="shared" si="323"/>
        <v>7630</v>
      </c>
      <c r="Q261" s="111">
        <f t="shared" si="362"/>
        <v>116630</v>
      </c>
      <c r="R261" s="311">
        <v>14000</v>
      </c>
      <c r="S261" s="113" t="s">
        <v>568</v>
      </c>
      <c r="T261" s="114">
        <f t="shared" si="384"/>
        <v>95000</v>
      </c>
      <c r="U261" s="115">
        <v>5</v>
      </c>
      <c r="V261" s="1252">
        <f t="shared" si="385"/>
        <v>4750</v>
      </c>
      <c r="W261" s="1245">
        <v>60.31</v>
      </c>
      <c r="X261" s="1246">
        <f t="shared" si="386"/>
        <v>90250</v>
      </c>
      <c r="Y261" s="1247">
        <f t="shared" si="328"/>
        <v>0.24224999999999997</v>
      </c>
      <c r="Z261" s="1247">
        <f>90250*0.24/100</f>
        <v>216.6</v>
      </c>
      <c r="AA261" s="1265">
        <v>0.5</v>
      </c>
      <c r="AB261" s="1265">
        <f t="shared" ref="AB261:AB264" si="407">X261*AA261/100</f>
        <v>451.25</v>
      </c>
      <c r="AC261" s="119">
        <v>0.2</v>
      </c>
      <c r="AD261" s="1248">
        <f t="shared" si="387"/>
        <v>180.5</v>
      </c>
      <c r="AE261" s="123">
        <v>20070188</v>
      </c>
      <c r="AF261" s="1249" t="s">
        <v>3423</v>
      </c>
      <c r="AG261" s="124">
        <v>109000</v>
      </c>
      <c r="AH261" s="260">
        <f t="shared" si="330"/>
        <v>7630</v>
      </c>
      <c r="AI261" s="125">
        <f t="shared" si="363"/>
        <v>116630</v>
      </c>
      <c r="AJ261" s="126">
        <v>44019</v>
      </c>
      <c r="AK261" s="127" t="s">
        <v>3423</v>
      </c>
      <c r="AL261" s="127"/>
      <c r="AM261" s="127"/>
      <c r="AN261" s="103" t="s">
        <v>4106</v>
      </c>
      <c r="AO261" s="128">
        <v>1</v>
      </c>
      <c r="AP261" s="129" t="s">
        <v>812</v>
      </c>
      <c r="AQ261" s="130"/>
      <c r="AR261" s="130" t="s">
        <v>3423</v>
      </c>
      <c r="AS261" s="131">
        <v>1</v>
      </c>
      <c r="AT261" s="132" t="s">
        <v>634</v>
      </c>
      <c r="AU261" s="128"/>
      <c r="AV261" s="133"/>
      <c r="AW261" s="128"/>
      <c r="AX261" s="128"/>
      <c r="AY261" s="128"/>
      <c r="AZ261" s="133"/>
      <c r="BA261" s="128"/>
      <c r="BB261" s="133"/>
      <c r="BC261" s="128"/>
      <c r="BD261" s="128"/>
      <c r="BE261" s="128"/>
      <c r="BF261" s="133"/>
      <c r="BG261" s="128"/>
      <c r="BH261" s="133"/>
      <c r="BI261" s="128"/>
      <c r="BJ261" s="128"/>
      <c r="BK261" s="128"/>
      <c r="BL261" s="133"/>
      <c r="BM261" s="128"/>
      <c r="BN261" s="133"/>
      <c r="BO261" s="128"/>
      <c r="BP261" s="128"/>
      <c r="BQ261" s="128"/>
      <c r="BR261" s="133"/>
      <c r="BS261" s="128"/>
      <c r="BT261" s="133"/>
      <c r="BU261" s="128"/>
      <c r="BV261" s="128"/>
      <c r="BW261" s="128"/>
      <c r="BX261" s="133"/>
      <c r="BY261" s="128"/>
      <c r="BZ261" s="133"/>
      <c r="CA261" s="128"/>
      <c r="CB261" s="128"/>
      <c r="CC261" s="128"/>
      <c r="CD261" s="133"/>
      <c r="CE261" s="128"/>
      <c r="CF261" s="133"/>
      <c r="CG261" s="128"/>
      <c r="CH261" s="128"/>
      <c r="CI261" s="128"/>
      <c r="CJ261" s="128"/>
    </row>
    <row r="262" spans="1:88" x14ac:dyDescent="0.5">
      <c r="A262" s="268"/>
      <c r="B262" s="181"/>
      <c r="C262" s="1236"/>
      <c r="D262" s="1237"/>
      <c r="E262" s="749"/>
      <c r="F262" s="938"/>
      <c r="G262" s="939"/>
      <c r="H262" s="749">
        <v>44020</v>
      </c>
      <c r="I262" s="1125">
        <v>63172</v>
      </c>
      <c r="J262" s="961"/>
      <c r="K262" s="966"/>
      <c r="L262" s="181"/>
      <c r="M262" s="188"/>
      <c r="N262" s="181"/>
      <c r="O262" s="189"/>
      <c r="P262" s="189"/>
      <c r="Q262" s="189"/>
      <c r="R262" s="190"/>
      <c r="S262" s="215"/>
      <c r="T262" s="216"/>
      <c r="U262" s="217"/>
      <c r="V262" s="1253"/>
      <c r="W262" s="1238"/>
      <c r="X262" s="1239"/>
      <c r="Y262" s="1240"/>
      <c r="Z262" s="1240"/>
      <c r="AA262" s="1263"/>
      <c r="AB262" s="1263"/>
      <c r="AC262" s="197"/>
      <c r="AD262" s="1241"/>
      <c r="AE262" s="200"/>
      <c r="AF262" s="1242"/>
      <c r="AG262" s="201"/>
      <c r="AH262" s="237"/>
      <c r="AI262" s="202"/>
      <c r="AJ262" s="203"/>
      <c r="AK262" s="199"/>
      <c r="AL262" s="199"/>
      <c r="AM262" s="199"/>
      <c r="AN262" s="180"/>
      <c r="AO262" s="204"/>
      <c r="AP262" s="205"/>
      <c r="AQ262" s="206"/>
      <c r="AR262" s="206"/>
      <c r="AS262" s="207"/>
      <c r="AT262" s="208"/>
      <c r="AU262" s="204"/>
      <c r="AV262" s="210"/>
      <c r="AW262" s="204"/>
      <c r="AX262" s="204"/>
      <c r="AY262" s="204"/>
      <c r="AZ262" s="210"/>
      <c r="BA262" s="204"/>
      <c r="BB262" s="210"/>
      <c r="BC262" s="204"/>
      <c r="BD262" s="204"/>
      <c r="BE262" s="204"/>
      <c r="BF262" s="210"/>
      <c r="BG262" s="204"/>
      <c r="BH262" s="210"/>
      <c r="BI262" s="204"/>
      <c r="BJ262" s="204"/>
      <c r="BK262" s="204"/>
      <c r="BL262" s="210"/>
      <c r="BM262" s="204"/>
      <c r="BN262" s="210"/>
      <c r="BO262" s="204"/>
      <c r="BP262" s="204"/>
      <c r="BQ262" s="204"/>
      <c r="BR262" s="210"/>
      <c r="BS262" s="204"/>
      <c r="BT262" s="210"/>
      <c r="BU262" s="204"/>
      <c r="BV262" s="204"/>
      <c r="BW262" s="204"/>
      <c r="BX262" s="210"/>
      <c r="BY262" s="204"/>
      <c r="BZ262" s="210"/>
      <c r="CA262" s="204"/>
      <c r="CB262" s="204"/>
      <c r="CC262" s="204"/>
      <c r="CD262" s="210"/>
      <c r="CE262" s="204"/>
      <c r="CF262" s="210"/>
      <c r="CG262" s="204"/>
      <c r="CH262" s="204"/>
      <c r="CI262" s="204"/>
      <c r="CJ262" s="204"/>
    </row>
    <row r="263" spans="1:88" x14ac:dyDescent="0.5">
      <c r="A263" s="227">
        <v>20056562</v>
      </c>
      <c r="B263" s="22">
        <v>20050382</v>
      </c>
      <c r="C263" s="55"/>
      <c r="D263" s="56"/>
      <c r="E263" s="910"/>
      <c r="F263" s="57"/>
      <c r="G263" s="58"/>
      <c r="H263" s="59"/>
      <c r="I263" s="60"/>
      <c r="J263" s="269"/>
      <c r="K263" s="59"/>
      <c r="L263" s="22" t="s">
        <v>60</v>
      </c>
      <c r="M263" s="28" t="s">
        <v>3848</v>
      </c>
      <c r="N263" s="22" t="s">
        <v>51</v>
      </c>
      <c r="O263" s="29">
        <v>7500</v>
      </c>
      <c r="P263" s="29">
        <f t="shared" si="323"/>
        <v>525</v>
      </c>
      <c r="Q263" s="29">
        <f t="shared" si="362"/>
        <v>8025</v>
      </c>
      <c r="R263" s="61"/>
      <c r="S263" s="96"/>
      <c r="T263" s="97"/>
      <c r="U263" s="98"/>
      <c r="V263" s="1225"/>
      <c r="W263" s="1225"/>
      <c r="X263" s="100"/>
      <c r="Y263" s="1225"/>
      <c r="Z263" s="1225"/>
      <c r="AA263" s="1225"/>
      <c r="AB263" s="1225"/>
      <c r="AC263" s="100"/>
      <c r="AD263" s="595"/>
      <c r="AE263" s="40">
        <v>20050129</v>
      </c>
      <c r="AF263" s="1186" t="s">
        <v>3423</v>
      </c>
      <c r="AG263" s="41">
        <v>7500</v>
      </c>
      <c r="AH263" s="63">
        <f t="shared" si="330"/>
        <v>525</v>
      </c>
      <c r="AI263" s="52">
        <f t="shared" si="363"/>
        <v>8025</v>
      </c>
      <c r="AJ263" s="53">
        <v>44015</v>
      </c>
      <c r="AK263" s="39" t="s">
        <v>3423</v>
      </c>
      <c r="AL263" s="39"/>
      <c r="AM263" s="39"/>
      <c r="AN263" s="21" t="s">
        <v>4121</v>
      </c>
      <c r="AO263" s="1364">
        <v>1</v>
      </c>
      <c r="AP263" s="45" t="s">
        <v>3854</v>
      </c>
      <c r="AQ263" s="46"/>
      <c r="AR263" s="46"/>
      <c r="AS263" s="47">
        <v>1</v>
      </c>
      <c r="AT263" s="48" t="s">
        <v>628</v>
      </c>
      <c r="AU263" s="1366"/>
      <c r="AV263" s="54"/>
      <c r="AW263" s="1366"/>
      <c r="AX263" s="1366"/>
      <c r="AY263" s="1366"/>
      <c r="AZ263" s="54"/>
      <c r="BA263" s="1366"/>
      <c r="BB263" s="54"/>
      <c r="BC263" s="1366"/>
      <c r="BD263" s="1366"/>
      <c r="BE263" s="1366"/>
      <c r="BF263" s="54"/>
      <c r="BG263" s="1366"/>
      <c r="BH263" s="54"/>
      <c r="BI263" s="1366"/>
      <c r="BJ263" s="1366"/>
      <c r="BK263" s="1366"/>
      <c r="BL263" s="54"/>
      <c r="BM263" s="1366"/>
      <c r="BN263" s="54"/>
      <c r="BO263" s="1366"/>
      <c r="BP263" s="1366"/>
      <c r="BQ263" s="1366"/>
      <c r="BR263" s="54"/>
      <c r="BS263" s="1366"/>
      <c r="BT263" s="54"/>
      <c r="BU263" s="1366"/>
      <c r="BV263" s="1366"/>
      <c r="BW263" s="1366"/>
      <c r="BX263" s="54"/>
      <c r="BY263" s="1366"/>
      <c r="BZ263" s="54"/>
      <c r="CA263" s="1366"/>
      <c r="CB263" s="1366"/>
      <c r="CC263" s="1366"/>
      <c r="CD263" s="54"/>
      <c r="CE263" s="1366"/>
      <c r="CF263" s="54"/>
      <c r="CG263" s="1366"/>
      <c r="CH263" s="1366"/>
      <c r="CI263" s="1366"/>
      <c r="CJ263" s="1366"/>
    </row>
    <row r="264" spans="1:88" x14ac:dyDescent="0.5">
      <c r="A264" s="259">
        <v>20056561</v>
      </c>
      <c r="B264" s="104">
        <v>20050366</v>
      </c>
      <c r="C264" s="1243" t="s">
        <v>1389</v>
      </c>
      <c r="D264" s="1244" t="s">
        <v>2691</v>
      </c>
      <c r="E264" s="302">
        <v>43977</v>
      </c>
      <c r="F264" s="936" t="s">
        <v>3368</v>
      </c>
      <c r="G264" s="937" t="s">
        <v>1377</v>
      </c>
      <c r="H264" s="914">
        <v>43976</v>
      </c>
      <c r="I264" s="1315">
        <v>63126</v>
      </c>
      <c r="J264" s="1371" t="s">
        <v>3423</v>
      </c>
      <c r="K264" s="965">
        <v>43977</v>
      </c>
      <c r="L264" s="104" t="s">
        <v>3825</v>
      </c>
      <c r="M264" s="110" t="s">
        <v>3826</v>
      </c>
      <c r="N264" s="104" t="s">
        <v>52</v>
      </c>
      <c r="O264" s="111">
        <v>200000</v>
      </c>
      <c r="P264" s="111">
        <f t="shared" si="323"/>
        <v>14000</v>
      </c>
      <c r="Q264" s="111">
        <f t="shared" si="362"/>
        <v>214000</v>
      </c>
      <c r="R264" s="311">
        <v>28000</v>
      </c>
      <c r="S264" s="113" t="s">
        <v>568</v>
      </c>
      <c r="T264" s="114">
        <f t="shared" si="384"/>
        <v>172000</v>
      </c>
      <c r="U264" s="115">
        <v>2</v>
      </c>
      <c r="V264" s="1252">
        <f t="shared" si="385"/>
        <v>3440</v>
      </c>
      <c r="W264" s="1245">
        <v>60.61</v>
      </c>
      <c r="X264" s="1246">
        <f t="shared" si="386"/>
        <v>168560</v>
      </c>
      <c r="Y264" s="1247">
        <f t="shared" si="328"/>
        <v>0.23475000000000001</v>
      </c>
      <c r="Z264" s="1247">
        <f>168560*0.23/100</f>
        <v>387.68800000000005</v>
      </c>
      <c r="AA264" s="1302"/>
      <c r="AB264" s="1302">
        <f t="shared" si="407"/>
        <v>0</v>
      </c>
      <c r="AC264" s="119">
        <v>0.2</v>
      </c>
      <c r="AD264" s="1248">
        <f t="shared" si="387"/>
        <v>337.12</v>
      </c>
      <c r="AE264" s="229">
        <v>20050130</v>
      </c>
      <c r="AF264" s="1313"/>
      <c r="AG264" s="230">
        <v>60000</v>
      </c>
      <c r="AH264" s="233">
        <f t="shared" si="330"/>
        <v>4200</v>
      </c>
      <c r="AI264" s="220">
        <f t="shared" si="363"/>
        <v>64200</v>
      </c>
      <c r="AJ264" s="221">
        <v>43970</v>
      </c>
      <c r="AK264" s="121" t="s">
        <v>3423</v>
      </c>
      <c r="AL264" s="121"/>
      <c r="AM264" s="121"/>
      <c r="AN264" s="222" t="s">
        <v>4030</v>
      </c>
      <c r="AO264" s="128">
        <v>1</v>
      </c>
      <c r="AP264" s="129" t="s">
        <v>2573</v>
      </c>
      <c r="AQ264" s="130"/>
      <c r="AR264" s="130" t="s">
        <v>3423</v>
      </c>
      <c r="AS264" s="131">
        <v>2</v>
      </c>
      <c r="AT264" s="132" t="s">
        <v>634</v>
      </c>
      <c r="AU264" s="128">
        <v>2</v>
      </c>
      <c r="AV264" s="123" t="s">
        <v>769</v>
      </c>
      <c r="AW264" s="131"/>
      <c r="AX264" s="131" t="s">
        <v>3423</v>
      </c>
      <c r="AY264" s="131">
        <v>2</v>
      </c>
      <c r="AZ264" s="169" t="s">
        <v>634</v>
      </c>
      <c r="BA264" s="128">
        <v>3</v>
      </c>
      <c r="BB264" s="123" t="s">
        <v>3827</v>
      </c>
      <c r="BC264" s="131"/>
      <c r="BD264" s="131" t="s">
        <v>3423</v>
      </c>
      <c r="BE264" s="131">
        <v>2</v>
      </c>
      <c r="BF264" s="169" t="s">
        <v>636</v>
      </c>
      <c r="BG264" s="128"/>
      <c r="BH264" s="133"/>
      <c r="BI264" s="128"/>
      <c r="BJ264" s="128"/>
      <c r="BK264" s="128"/>
      <c r="BL264" s="133"/>
      <c r="BM264" s="128"/>
      <c r="BN264" s="133"/>
      <c r="BO264" s="128"/>
      <c r="BP264" s="128"/>
      <c r="BQ264" s="128"/>
      <c r="BR264" s="133"/>
      <c r="BS264" s="128"/>
      <c r="BT264" s="133"/>
      <c r="BU264" s="128"/>
      <c r="BV264" s="128"/>
      <c r="BW264" s="128"/>
      <c r="BX264" s="133"/>
      <c r="BY264" s="128"/>
      <c r="BZ264" s="133"/>
      <c r="CA264" s="128"/>
      <c r="CB264" s="128"/>
      <c r="CC264" s="128"/>
      <c r="CD264" s="133"/>
      <c r="CE264" s="128"/>
      <c r="CF264" s="133"/>
      <c r="CG264" s="128"/>
      <c r="CH264" s="128"/>
      <c r="CI264" s="128"/>
      <c r="CJ264" s="128"/>
    </row>
    <row r="265" spans="1:88" x14ac:dyDescent="0.5">
      <c r="A265" s="262"/>
      <c r="B265" s="135"/>
      <c r="C265" s="1290"/>
      <c r="D265" s="1291"/>
      <c r="E265" s="906"/>
      <c r="F265" s="940"/>
      <c r="G265" s="941"/>
      <c r="H265" s="1316">
        <v>43976</v>
      </c>
      <c r="I265" s="1317">
        <v>63127</v>
      </c>
      <c r="J265" s="963"/>
      <c r="K265" s="154"/>
      <c r="L265" s="135"/>
      <c r="M265" s="141"/>
      <c r="N265" s="135"/>
      <c r="O265" s="142"/>
      <c r="P265" s="142"/>
      <c r="Q265" s="142"/>
      <c r="R265" s="143"/>
      <c r="S265" s="144"/>
      <c r="T265" s="145"/>
      <c r="U265" s="146"/>
      <c r="V265" s="1292"/>
      <c r="W265" s="1293"/>
      <c r="X265" s="1294"/>
      <c r="Y265" s="1295"/>
      <c r="Z265" s="1295"/>
      <c r="AA265" s="1296"/>
      <c r="AB265" s="1296"/>
      <c r="AC265" s="150"/>
      <c r="AD265" s="1297"/>
      <c r="AE265" s="154">
        <v>20050131</v>
      </c>
      <c r="AF265" s="1298" t="s">
        <v>3423</v>
      </c>
      <c r="AG265" s="155">
        <v>140000</v>
      </c>
      <c r="AH265" s="253">
        <f t="shared" si="330"/>
        <v>9800</v>
      </c>
      <c r="AI265" s="156">
        <f t="shared" si="363"/>
        <v>149800</v>
      </c>
      <c r="AJ265" s="157">
        <v>43970</v>
      </c>
      <c r="AK265" s="152" t="s">
        <v>3423</v>
      </c>
      <c r="AL265" s="152"/>
      <c r="AM265" s="152"/>
      <c r="AN265" s="134" t="s">
        <v>4018</v>
      </c>
      <c r="AO265" s="158"/>
      <c r="AP265" s="159"/>
      <c r="AQ265" s="160"/>
      <c r="AR265" s="160"/>
      <c r="AS265" s="161"/>
      <c r="AT265" s="162"/>
      <c r="AU265" s="158"/>
      <c r="AV265" s="154"/>
      <c r="AW265" s="161"/>
      <c r="AX265" s="161"/>
      <c r="AY265" s="161"/>
      <c r="AZ265" s="177"/>
      <c r="BA265" s="158"/>
      <c r="BB265" s="154"/>
      <c r="BC265" s="161"/>
      <c r="BD265" s="161"/>
      <c r="BE265" s="161"/>
      <c r="BF265" s="177"/>
      <c r="BG265" s="158"/>
      <c r="BH265" s="163"/>
      <c r="BI265" s="158"/>
      <c r="BJ265" s="158"/>
      <c r="BK265" s="158"/>
      <c r="BL265" s="163"/>
      <c r="BM265" s="158"/>
      <c r="BN265" s="163"/>
      <c r="BO265" s="158"/>
      <c r="BP265" s="158"/>
      <c r="BQ265" s="158"/>
      <c r="BR265" s="163"/>
      <c r="BS265" s="158"/>
      <c r="BT265" s="163"/>
      <c r="BU265" s="158"/>
      <c r="BV265" s="158"/>
      <c r="BW265" s="158"/>
      <c r="BX265" s="163"/>
      <c r="BY265" s="158"/>
      <c r="BZ265" s="163"/>
      <c r="CA265" s="158"/>
      <c r="CB265" s="158"/>
      <c r="CC265" s="158"/>
      <c r="CD265" s="163"/>
      <c r="CE265" s="158"/>
      <c r="CF265" s="163"/>
      <c r="CG265" s="158"/>
      <c r="CH265" s="158"/>
      <c r="CI265" s="158"/>
      <c r="CJ265" s="158"/>
    </row>
    <row r="266" spans="1:88" x14ac:dyDescent="0.5">
      <c r="A266" s="268"/>
      <c r="B266" s="181"/>
      <c r="C266" s="1236"/>
      <c r="D266" s="1237"/>
      <c r="E266" s="749"/>
      <c r="F266" s="938"/>
      <c r="G266" s="939"/>
      <c r="H266" s="749">
        <v>43976</v>
      </c>
      <c r="I266" s="1125">
        <v>63128</v>
      </c>
      <c r="J266" s="961"/>
      <c r="K266" s="200"/>
      <c r="L266" s="181"/>
      <c r="M266" s="188"/>
      <c r="N266" s="181"/>
      <c r="O266" s="189"/>
      <c r="P266" s="189"/>
      <c r="Q266" s="189"/>
      <c r="R266" s="190"/>
      <c r="S266" s="215"/>
      <c r="T266" s="216"/>
      <c r="U266" s="217"/>
      <c r="V266" s="1253"/>
      <c r="W266" s="1238"/>
      <c r="X266" s="1239"/>
      <c r="Y266" s="1240"/>
      <c r="Z266" s="1240"/>
      <c r="AA266" s="1254"/>
      <c r="AB266" s="1254"/>
      <c r="AC266" s="197"/>
      <c r="AD266" s="1241"/>
      <c r="AE266" s="200"/>
      <c r="AF266" s="1242"/>
      <c r="AG266" s="201"/>
      <c r="AH266" s="237"/>
      <c r="AI266" s="202"/>
      <c r="AJ266" s="203"/>
      <c r="AK266" s="199"/>
      <c r="AL266" s="199"/>
      <c r="AM266" s="199"/>
      <c r="AN266" s="180"/>
      <c r="AO266" s="204"/>
      <c r="AP266" s="205"/>
      <c r="AQ266" s="206"/>
      <c r="AR266" s="206"/>
      <c r="AS266" s="207"/>
      <c r="AT266" s="208"/>
      <c r="AU266" s="204"/>
      <c r="AV266" s="200"/>
      <c r="AW266" s="207"/>
      <c r="AX266" s="207"/>
      <c r="AY266" s="207"/>
      <c r="AZ266" s="209"/>
      <c r="BA266" s="204"/>
      <c r="BB266" s="200"/>
      <c r="BC266" s="207"/>
      <c r="BD266" s="207"/>
      <c r="BE266" s="207"/>
      <c r="BF266" s="209"/>
      <c r="BG266" s="204"/>
      <c r="BH266" s="210"/>
      <c r="BI266" s="204"/>
      <c r="BJ266" s="204"/>
      <c r="BK266" s="204"/>
      <c r="BL266" s="210"/>
      <c r="BM266" s="204"/>
      <c r="BN266" s="210"/>
      <c r="BO266" s="204"/>
      <c r="BP266" s="204"/>
      <c r="BQ266" s="204"/>
      <c r="BR266" s="210"/>
      <c r="BS266" s="204"/>
      <c r="BT266" s="210"/>
      <c r="BU266" s="204"/>
      <c r="BV266" s="204"/>
      <c r="BW266" s="204"/>
      <c r="BX266" s="210"/>
      <c r="BY266" s="204"/>
      <c r="BZ266" s="210"/>
      <c r="CA266" s="204"/>
      <c r="CB266" s="204"/>
      <c r="CC266" s="204"/>
      <c r="CD266" s="210"/>
      <c r="CE266" s="204"/>
      <c r="CF266" s="210"/>
      <c r="CG266" s="204"/>
      <c r="CH266" s="204"/>
      <c r="CI266" s="204"/>
      <c r="CJ266" s="204"/>
    </row>
    <row r="267" spans="1:88" x14ac:dyDescent="0.5">
      <c r="A267" s="227">
        <v>20056560</v>
      </c>
      <c r="B267" s="22">
        <v>20050364</v>
      </c>
      <c r="C267" s="55"/>
      <c r="D267" s="56"/>
      <c r="E267" s="910"/>
      <c r="F267" s="57"/>
      <c r="G267" s="58"/>
      <c r="H267" s="59"/>
      <c r="I267" s="60"/>
      <c r="J267" s="269"/>
      <c r="K267" s="59"/>
      <c r="L267" s="22" t="s">
        <v>1976</v>
      </c>
      <c r="M267" s="28" t="s">
        <v>3828</v>
      </c>
      <c r="N267" s="22" t="s">
        <v>51</v>
      </c>
      <c r="O267" s="29">
        <v>5000</v>
      </c>
      <c r="P267" s="29">
        <f t="shared" si="323"/>
        <v>350</v>
      </c>
      <c r="Q267" s="29">
        <f t="shared" si="362"/>
        <v>5350</v>
      </c>
      <c r="R267" s="61"/>
      <c r="S267" s="96"/>
      <c r="T267" s="97"/>
      <c r="U267" s="98"/>
      <c r="V267" s="1225"/>
      <c r="W267" s="1225"/>
      <c r="X267" s="100"/>
      <c r="Y267" s="1225"/>
      <c r="Z267" s="1225"/>
      <c r="AA267" s="1225"/>
      <c r="AB267" s="1225"/>
      <c r="AC267" s="100"/>
      <c r="AD267" s="595"/>
      <c r="AE267" s="40">
        <v>20050133</v>
      </c>
      <c r="AF267" s="1186" t="s">
        <v>3423</v>
      </c>
      <c r="AG267" s="41">
        <v>5000</v>
      </c>
      <c r="AH267" s="63">
        <f t="shared" si="330"/>
        <v>350</v>
      </c>
      <c r="AI267" s="52">
        <f t="shared" si="363"/>
        <v>5350</v>
      </c>
      <c r="AJ267" s="53">
        <v>43971</v>
      </c>
      <c r="AK267" s="39" t="s">
        <v>3423</v>
      </c>
      <c r="AL267" s="39"/>
      <c r="AM267" s="39"/>
      <c r="AN267" s="21" t="s">
        <v>4019</v>
      </c>
      <c r="AO267" s="1364">
        <v>1</v>
      </c>
      <c r="AP267" s="45" t="s">
        <v>3828</v>
      </c>
      <c r="AQ267" s="46"/>
      <c r="AR267" s="46"/>
      <c r="AS267" s="47">
        <v>1</v>
      </c>
      <c r="AT267" s="102"/>
      <c r="AU267" s="1365"/>
      <c r="AV267" s="54"/>
      <c r="AW267" s="1365"/>
      <c r="AX267" s="1365"/>
      <c r="AY267" s="1365"/>
      <c r="AZ267" s="54"/>
      <c r="BA267" s="1365"/>
      <c r="BB267" s="54"/>
      <c r="BC267" s="1365"/>
      <c r="BD267" s="1365"/>
      <c r="BE267" s="1365"/>
      <c r="BF267" s="54"/>
      <c r="BG267" s="1365"/>
      <c r="BH267" s="54"/>
      <c r="BI267" s="1365"/>
      <c r="BJ267" s="1365"/>
      <c r="BK267" s="1365"/>
      <c r="BL267" s="54"/>
      <c r="BM267" s="1365"/>
      <c r="BN267" s="54"/>
      <c r="BO267" s="1365"/>
      <c r="BP267" s="1365"/>
      <c r="BQ267" s="1365"/>
      <c r="BR267" s="54"/>
      <c r="BS267" s="1365"/>
      <c r="BT267" s="54"/>
      <c r="BU267" s="1365"/>
      <c r="BV267" s="1365"/>
      <c r="BW267" s="1365"/>
      <c r="BX267" s="54"/>
      <c r="BY267" s="1365"/>
      <c r="BZ267" s="54"/>
      <c r="CA267" s="1365"/>
      <c r="CB267" s="1365"/>
      <c r="CC267" s="1365"/>
      <c r="CD267" s="54"/>
      <c r="CE267" s="1365"/>
      <c r="CF267" s="54"/>
      <c r="CG267" s="1365"/>
      <c r="CH267" s="1365"/>
      <c r="CI267" s="1365"/>
      <c r="CJ267" s="1365"/>
    </row>
    <row r="268" spans="1:88" x14ac:dyDescent="0.5">
      <c r="A268" s="103">
        <v>20056559</v>
      </c>
      <c r="B268" s="104">
        <v>20050362</v>
      </c>
      <c r="C268" s="1243" t="s">
        <v>3829</v>
      </c>
      <c r="D268" s="1244" t="s">
        <v>3830</v>
      </c>
      <c r="E268" s="302">
        <v>43992</v>
      </c>
      <c r="F268" s="936" t="s">
        <v>3368</v>
      </c>
      <c r="G268" s="937" t="s">
        <v>1369</v>
      </c>
      <c r="H268" s="302">
        <v>43991</v>
      </c>
      <c r="I268" s="1124">
        <v>63142</v>
      </c>
      <c r="J268" s="960" t="s">
        <v>3423</v>
      </c>
      <c r="K268" s="965">
        <v>43992</v>
      </c>
      <c r="L268" s="104" t="s">
        <v>2375</v>
      </c>
      <c r="M268" s="104" t="s">
        <v>3831</v>
      </c>
      <c r="N268" s="104" t="s">
        <v>52</v>
      </c>
      <c r="O268" s="111">
        <v>373831.78</v>
      </c>
      <c r="P268" s="111">
        <f t="shared" ref="P268:P271" si="408">O268*7/100</f>
        <v>26168.224600000001</v>
      </c>
      <c r="Q268" s="111">
        <f t="shared" si="324"/>
        <v>400000.00460000004</v>
      </c>
      <c r="R268" s="311">
        <v>28000</v>
      </c>
      <c r="S268" s="113" t="s">
        <v>1619</v>
      </c>
      <c r="T268" s="114">
        <f t="shared" si="325"/>
        <v>345831.78</v>
      </c>
      <c r="U268" s="115">
        <v>5</v>
      </c>
      <c r="V268" s="1252">
        <f t="shared" si="326"/>
        <v>17291.589</v>
      </c>
      <c r="W268" s="1245">
        <v>59.93</v>
      </c>
      <c r="X268" s="1246">
        <f t="shared" si="327"/>
        <v>328540.19100000005</v>
      </c>
      <c r="Y268" s="1247">
        <f t="shared" ref="Y268" si="409">SUM((50-W268)/(100)*(2.5)+(0.5))</f>
        <v>0.25175000000000003</v>
      </c>
      <c r="Z268" s="1247">
        <f>328540.02*0.25/100</f>
        <v>821.35005000000001</v>
      </c>
      <c r="AA268" s="1265">
        <v>0.5</v>
      </c>
      <c r="AB268" s="1265">
        <f t="shared" si="0"/>
        <v>1642.7009550000002</v>
      </c>
      <c r="AC268" s="119">
        <v>0.2</v>
      </c>
      <c r="AD268" s="1248">
        <f t="shared" si="329"/>
        <v>657.0803820000001</v>
      </c>
      <c r="AE268" s="123">
        <v>20060163</v>
      </c>
      <c r="AF268" s="1249" t="s">
        <v>3423</v>
      </c>
      <c r="AG268" s="124">
        <v>373831.78</v>
      </c>
      <c r="AH268" s="260">
        <f t="shared" ref="AH268:AH272" si="410">AG268*7/100</f>
        <v>26168.224600000001</v>
      </c>
      <c r="AI268" s="125">
        <f t="shared" si="331"/>
        <v>400000.00460000004</v>
      </c>
      <c r="AJ268" s="126">
        <v>44042</v>
      </c>
      <c r="AK268" s="127"/>
      <c r="AL268" s="127"/>
      <c r="AM268" s="127" t="s">
        <v>3423</v>
      </c>
      <c r="AN268" s="103"/>
      <c r="AO268" s="128">
        <v>1</v>
      </c>
      <c r="AP268" s="129" t="s">
        <v>815</v>
      </c>
      <c r="AQ268" s="130"/>
      <c r="AR268" s="130" t="s">
        <v>3423</v>
      </c>
      <c r="AS268" s="131">
        <v>2</v>
      </c>
      <c r="AT268" s="132" t="s">
        <v>636</v>
      </c>
      <c r="AU268" s="128"/>
      <c r="AV268" s="133"/>
      <c r="AW268" s="128"/>
      <c r="AX268" s="128"/>
      <c r="AY268" s="128"/>
      <c r="AZ268" s="133"/>
      <c r="BA268" s="128"/>
      <c r="BB268" s="133"/>
      <c r="BC268" s="128"/>
      <c r="BD268" s="128"/>
      <c r="BE268" s="128"/>
      <c r="BF268" s="133"/>
      <c r="BG268" s="128"/>
      <c r="BH268" s="133"/>
      <c r="BI268" s="128"/>
      <c r="BJ268" s="128"/>
      <c r="BK268" s="128"/>
      <c r="BL268" s="133"/>
      <c r="BM268" s="128"/>
      <c r="BN268" s="133"/>
      <c r="BO268" s="128"/>
      <c r="BP268" s="128"/>
      <c r="BQ268" s="128"/>
      <c r="BR268" s="133"/>
      <c r="BS268" s="128"/>
      <c r="BT268" s="133"/>
      <c r="BU268" s="128"/>
      <c r="BV268" s="128"/>
      <c r="BW268" s="128"/>
      <c r="BX268" s="133"/>
      <c r="BY268" s="128"/>
      <c r="BZ268" s="133"/>
      <c r="CA268" s="128"/>
      <c r="CB268" s="128"/>
      <c r="CC268" s="128"/>
      <c r="CD268" s="133"/>
      <c r="CE268" s="128"/>
      <c r="CF268" s="133"/>
      <c r="CG268" s="128"/>
      <c r="CH268" s="128"/>
      <c r="CI268" s="128"/>
      <c r="CJ268" s="128"/>
    </row>
    <row r="269" spans="1:88" x14ac:dyDescent="0.5">
      <c r="A269" s="180"/>
      <c r="B269" s="181"/>
      <c r="C269" s="1236"/>
      <c r="D269" s="1237"/>
      <c r="E269" s="749"/>
      <c r="F269" s="938"/>
      <c r="G269" s="939"/>
      <c r="H269" s="749">
        <v>43991</v>
      </c>
      <c r="I269" s="1125">
        <v>63143</v>
      </c>
      <c r="J269" s="961"/>
      <c r="K269" s="966"/>
      <c r="L269" s="181"/>
      <c r="M269" s="188"/>
      <c r="N269" s="181"/>
      <c r="O269" s="189"/>
      <c r="P269" s="189"/>
      <c r="Q269" s="189"/>
      <c r="R269" s="190"/>
      <c r="S269" s="215"/>
      <c r="T269" s="216"/>
      <c r="U269" s="217"/>
      <c r="V269" s="1253"/>
      <c r="W269" s="1238"/>
      <c r="X269" s="1239"/>
      <c r="Y269" s="1240"/>
      <c r="Z269" s="1240"/>
      <c r="AA269" s="1263"/>
      <c r="AB269" s="1263"/>
      <c r="AC269" s="197"/>
      <c r="AD269" s="1241"/>
      <c r="AE269" s="200"/>
      <c r="AF269" s="1242"/>
      <c r="AG269" s="201"/>
      <c r="AH269" s="237"/>
      <c r="AI269" s="202"/>
      <c r="AJ269" s="203"/>
      <c r="AK269" s="199"/>
      <c r="AL269" s="199"/>
      <c r="AM269" s="199"/>
      <c r="AN269" s="180"/>
      <c r="AO269" s="204"/>
      <c r="AP269" s="205"/>
      <c r="AQ269" s="206"/>
      <c r="AR269" s="206"/>
      <c r="AS269" s="207"/>
      <c r="AT269" s="208"/>
      <c r="AU269" s="204"/>
      <c r="AV269" s="210"/>
      <c r="AW269" s="204"/>
      <c r="AX269" s="204"/>
      <c r="AY269" s="204"/>
      <c r="AZ269" s="210"/>
      <c r="BA269" s="204"/>
      <c r="BB269" s="210"/>
      <c r="BC269" s="204"/>
      <c r="BD269" s="204"/>
      <c r="BE269" s="204"/>
      <c r="BF269" s="210"/>
      <c r="BG269" s="204"/>
      <c r="BH269" s="210"/>
      <c r="BI269" s="204"/>
      <c r="BJ269" s="204"/>
      <c r="BK269" s="204"/>
      <c r="BL269" s="210"/>
      <c r="BM269" s="204"/>
      <c r="BN269" s="210"/>
      <c r="BO269" s="204"/>
      <c r="BP269" s="204"/>
      <c r="BQ269" s="204"/>
      <c r="BR269" s="210"/>
      <c r="BS269" s="204"/>
      <c r="BT269" s="210"/>
      <c r="BU269" s="204"/>
      <c r="BV269" s="204"/>
      <c r="BW269" s="204"/>
      <c r="BX269" s="210"/>
      <c r="BY269" s="204"/>
      <c r="BZ269" s="210"/>
      <c r="CA269" s="204"/>
      <c r="CB269" s="204"/>
      <c r="CC269" s="204"/>
      <c r="CD269" s="210"/>
      <c r="CE269" s="204"/>
      <c r="CF269" s="210"/>
      <c r="CG269" s="204"/>
      <c r="CH269" s="204"/>
      <c r="CI269" s="204"/>
      <c r="CJ269" s="204"/>
    </row>
    <row r="270" spans="1:88" x14ac:dyDescent="0.5">
      <c r="A270" s="227">
        <v>20056558</v>
      </c>
      <c r="B270" s="22">
        <v>20050363</v>
      </c>
      <c r="C270" s="55"/>
      <c r="D270" s="56"/>
      <c r="E270" s="910"/>
      <c r="F270" s="57"/>
      <c r="G270" s="58"/>
      <c r="H270" s="59"/>
      <c r="I270" s="60"/>
      <c r="J270" s="269"/>
      <c r="K270" s="59"/>
      <c r="L270" s="22" t="s">
        <v>545</v>
      </c>
      <c r="M270" s="28" t="s">
        <v>3832</v>
      </c>
      <c r="N270" s="22" t="s">
        <v>51</v>
      </c>
      <c r="O270" s="29">
        <v>6000</v>
      </c>
      <c r="P270" s="29">
        <f t="shared" si="408"/>
        <v>420</v>
      </c>
      <c r="Q270" s="29">
        <f t="shared" si="324"/>
        <v>6420</v>
      </c>
      <c r="R270" s="61"/>
      <c r="S270" s="96"/>
      <c r="T270" s="97"/>
      <c r="U270" s="98"/>
      <c r="V270" s="1225"/>
      <c r="W270" s="1225"/>
      <c r="X270" s="100"/>
      <c r="Y270" s="1225"/>
      <c r="Z270" s="1225"/>
      <c r="AA270" s="1225"/>
      <c r="AB270" s="1225"/>
      <c r="AC270" s="100"/>
      <c r="AD270" s="595"/>
      <c r="AE270" s="40">
        <v>20050125</v>
      </c>
      <c r="AF270" s="1186" t="s">
        <v>3423</v>
      </c>
      <c r="AG270" s="41">
        <v>6000</v>
      </c>
      <c r="AH270" s="63">
        <f t="shared" si="410"/>
        <v>420</v>
      </c>
      <c r="AI270" s="52">
        <f t="shared" si="331"/>
        <v>6420</v>
      </c>
      <c r="AJ270" s="53">
        <v>43995</v>
      </c>
      <c r="AK270" s="39" t="s">
        <v>3423</v>
      </c>
      <c r="AL270" s="39"/>
      <c r="AM270" s="39"/>
      <c r="AN270" s="21" t="s">
        <v>4100</v>
      </c>
      <c r="AO270" s="1327">
        <v>1</v>
      </c>
      <c r="AP270" s="45" t="s">
        <v>3833</v>
      </c>
      <c r="AQ270" s="46"/>
      <c r="AR270" s="46"/>
      <c r="AS270" s="47">
        <v>1</v>
      </c>
      <c r="AT270" s="102"/>
      <c r="AU270" s="1365"/>
      <c r="AV270" s="54"/>
      <c r="AW270" s="1365"/>
      <c r="AX270" s="1365"/>
      <c r="AY270" s="1365"/>
      <c r="AZ270" s="54"/>
      <c r="BA270" s="1365"/>
      <c r="BB270" s="54"/>
      <c r="BC270" s="1365"/>
      <c r="BD270" s="1365"/>
      <c r="BE270" s="1365"/>
      <c r="BF270" s="54"/>
      <c r="BG270" s="1365"/>
      <c r="BH270" s="54"/>
      <c r="BI270" s="1365"/>
      <c r="BJ270" s="1365"/>
      <c r="BK270" s="1365"/>
      <c r="BL270" s="54"/>
      <c r="BM270" s="1365"/>
      <c r="BN270" s="54"/>
      <c r="BO270" s="1365"/>
      <c r="BP270" s="1365"/>
      <c r="BQ270" s="1365"/>
      <c r="BR270" s="54"/>
      <c r="BS270" s="1365"/>
      <c r="BT270" s="54"/>
      <c r="BU270" s="1365"/>
      <c r="BV270" s="1365"/>
      <c r="BW270" s="1365"/>
      <c r="BX270" s="54"/>
      <c r="BY270" s="1365"/>
      <c r="BZ270" s="54"/>
      <c r="CA270" s="1365"/>
      <c r="CB270" s="1365"/>
      <c r="CC270" s="1365"/>
      <c r="CD270" s="54"/>
      <c r="CE270" s="1365"/>
      <c r="CF270" s="54"/>
      <c r="CG270" s="1365"/>
      <c r="CH270" s="1365"/>
      <c r="CI270" s="1365"/>
      <c r="CJ270" s="1365"/>
    </row>
    <row r="271" spans="1:88" x14ac:dyDescent="0.5">
      <c r="A271" s="259">
        <v>20056557</v>
      </c>
      <c r="B271" s="104">
        <v>20050356</v>
      </c>
      <c r="C271" s="1243" t="s">
        <v>3834</v>
      </c>
      <c r="D271" s="1244" t="s">
        <v>3830</v>
      </c>
      <c r="E271" s="302">
        <v>43971</v>
      </c>
      <c r="F271" s="936" t="s">
        <v>3368</v>
      </c>
      <c r="G271" s="937" t="s">
        <v>2071</v>
      </c>
      <c r="H271" s="302">
        <v>44006</v>
      </c>
      <c r="I271" s="1124">
        <v>63154</v>
      </c>
      <c r="J271" s="960" t="s">
        <v>3423</v>
      </c>
      <c r="K271" s="965">
        <v>44006</v>
      </c>
      <c r="L271" s="104" t="s">
        <v>1115</v>
      </c>
      <c r="M271" s="110" t="s">
        <v>160</v>
      </c>
      <c r="N271" s="104" t="s">
        <v>51</v>
      </c>
      <c r="O271" s="111">
        <v>40000</v>
      </c>
      <c r="P271" s="111">
        <f t="shared" si="408"/>
        <v>2800</v>
      </c>
      <c r="Q271" s="111">
        <f t="shared" si="324"/>
        <v>42800</v>
      </c>
      <c r="R271" s="212"/>
      <c r="S271" s="165"/>
      <c r="T271" s="166"/>
      <c r="U271" s="167"/>
      <c r="V271" s="1302"/>
      <c r="W271" s="1302"/>
      <c r="X271" s="231"/>
      <c r="Y271" s="1302"/>
      <c r="Z271" s="1302"/>
      <c r="AA271" s="1302"/>
      <c r="AB271" s="1302"/>
      <c r="AC271" s="231"/>
      <c r="AD271" s="1309"/>
      <c r="AE271" s="123">
        <v>20050127</v>
      </c>
      <c r="AF271" s="1313"/>
      <c r="AG271" s="230">
        <v>12000</v>
      </c>
      <c r="AH271" s="233">
        <f t="shared" si="410"/>
        <v>840</v>
      </c>
      <c r="AI271" s="220">
        <f t="shared" si="331"/>
        <v>12840</v>
      </c>
      <c r="AJ271" s="221">
        <v>43969</v>
      </c>
      <c r="AK271" s="121" t="s">
        <v>3423</v>
      </c>
      <c r="AL271" s="121"/>
      <c r="AM271" s="121"/>
      <c r="AN271" s="222" t="s">
        <v>3994</v>
      </c>
      <c r="AO271" s="128">
        <v>1</v>
      </c>
      <c r="AP271" s="129" t="s">
        <v>3835</v>
      </c>
      <c r="AQ271" s="130"/>
      <c r="AR271" s="130" t="s">
        <v>3423</v>
      </c>
      <c r="AS271" s="131">
        <v>1</v>
      </c>
      <c r="AT271" s="132" t="s">
        <v>634</v>
      </c>
      <c r="AU271" s="128"/>
      <c r="AV271" s="133"/>
      <c r="AW271" s="128"/>
      <c r="AX271" s="128"/>
      <c r="AY271" s="128"/>
      <c r="AZ271" s="133"/>
      <c r="BA271" s="128"/>
      <c r="BB271" s="133"/>
      <c r="BC271" s="128"/>
      <c r="BD271" s="128"/>
      <c r="BE271" s="128"/>
      <c r="BF271" s="133"/>
      <c r="BG271" s="128"/>
      <c r="BH271" s="133"/>
      <c r="BI271" s="128"/>
      <c r="BJ271" s="128"/>
      <c r="BK271" s="128"/>
      <c r="BL271" s="133"/>
      <c r="BM271" s="128"/>
      <c r="BN271" s="133"/>
      <c r="BO271" s="128"/>
      <c r="BP271" s="128"/>
      <c r="BQ271" s="128"/>
      <c r="BR271" s="133"/>
      <c r="BS271" s="128"/>
      <c r="BT271" s="133"/>
      <c r="BU271" s="128"/>
      <c r="BV271" s="128"/>
      <c r="BW271" s="128"/>
      <c r="BX271" s="133"/>
      <c r="BY271" s="128"/>
      <c r="BZ271" s="133"/>
      <c r="CA271" s="128"/>
      <c r="CB271" s="128"/>
      <c r="CC271" s="128"/>
      <c r="CD271" s="133"/>
      <c r="CE271" s="128"/>
      <c r="CF271" s="133"/>
      <c r="CG271" s="128"/>
      <c r="CH271" s="128"/>
      <c r="CI271" s="128"/>
      <c r="CJ271" s="128"/>
    </row>
    <row r="272" spans="1:88" x14ac:dyDescent="0.5">
      <c r="A272" s="268"/>
      <c r="B272" s="181"/>
      <c r="C272" s="1236"/>
      <c r="D272" s="1237"/>
      <c r="E272" s="749"/>
      <c r="F272" s="938"/>
      <c r="G272" s="939"/>
      <c r="H272" s="304"/>
      <c r="I272" s="1125"/>
      <c r="J272" s="961"/>
      <c r="K272" s="200"/>
      <c r="L272" s="181"/>
      <c r="M272" s="188"/>
      <c r="N272" s="181"/>
      <c r="O272" s="189"/>
      <c r="P272" s="189"/>
      <c r="Q272" s="189"/>
      <c r="R272" s="214"/>
      <c r="S272" s="191"/>
      <c r="T272" s="192"/>
      <c r="U272" s="193"/>
      <c r="V272" s="1254"/>
      <c r="W272" s="1254"/>
      <c r="X272" s="235"/>
      <c r="Y272" s="1254"/>
      <c r="Z272" s="1254"/>
      <c r="AA272" s="1254"/>
      <c r="AB272" s="1254"/>
      <c r="AC272" s="235"/>
      <c r="AD272" s="1303"/>
      <c r="AE272" s="223">
        <v>20050128</v>
      </c>
      <c r="AF272" s="1242" t="s">
        <v>3423</v>
      </c>
      <c r="AG272" s="201">
        <v>28000</v>
      </c>
      <c r="AH272" s="237">
        <f t="shared" si="410"/>
        <v>1960</v>
      </c>
      <c r="AI272" s="202">
        <f t="shared" si="331"/>
        <v>29960</v>
      </c>
      <c r="AJ272" s="203">
        <v>43969</v>
      </c>
      <c r="AK272" s="199" t="s">
        <v>3423</v>
      </c>
      <c r="AL272" s="199"/>
      <c r="AM272" s="199"/>
      <c r="AN272" s="180" t="s">
        <v>3994</v>
      </c>
      <c r="AO272" s="204"/>
      <c r="AP272" s="205"/>
      <c r="AQ272" s="206"/>
      <c r="AR272" s="206"/>
      <c r="AS272" s="207"/>
      <c r="AT272" s="208"/>
      <c r="AU272" s="204"/>
      <c r="AV272" s="210"/>
      <c r="AW272" s="204"/>
      <c r="AX272" s="204"/>
      <c r="AY272" s="204"/>
      <c r="AZ272" s="210"/>
      <c r="BA272" s="204"/>
      <c r="BB272" s="210"/>
      <c r="BC272" s="204"/>
      <c r="BD272" s="204"/>
      <c r="BE272" s="204"/>
      <c r="BF272" s="210"/>
      <c r="BG272" s="204"/>
      <c r="BH272" s="210"/>
      <c r="BI272" s="204"/>
      <c r="BJ272" s="204"/>
      <c r="BK272" s="204"/>
      <c r="BL272" s="210"/>
      <c r="BM272" s="204"/>
      <c r="BN272" s="210"/>
      <c r="BO272" s="204"/>
      <c r="BP272" s="204"/>
      <c r="BQ272" s="204"/>
      <c r="BR272" s="210"/>
      <c r="BS272" s="204"/>
      <c r="BT272" s="210"/>
      <c r="BU272" s="204"/>
      <c r="BV272" s="204"/>
      <c r="BW272" s="204"/>
      <c r="BX272" s="210"/>
      <c r="BY272" s="204"/>
      <c r="BZ272" s="210"/>
      <c r="CA272" s="204"/>
      <c r="CB272" s="204"/>
      <c r="CC272" s="204"/>
      <c r="CD272" s="210"/>
      <c r="CE272" s="204"/>
      <c r="CF272" s="210"/>
      <c r="CG272" s="204"/>
      <c r="CH272" s="204"/>
      <c r="CI272" s="204"/>
      <c r="CJ272" s="204"/>
    </row>
    <row r="273" spans="1:88" x14ac:dyDescent="0.5">
      <c r="A273" s="227">
        <v>20056556</v>
      </c>
      <c r="B273" s="22">
        <v>20056556</v>
      </c>
      <c r="C273" s="1019" t="s">
        <v>3836</v>
      </c>
      <c r="D273" s="1020" t="s">
        <v>3830</v>
      </c>
      <c r="E273" s="884">
        <v>43980</v>
      </c>
      <c r="F273" s="932" t="s">
        <v>3368</v>
      </c>
      <c r="G273" s="933" t="s">
        <v>1375</v>
      </c>
      <c r="H273" s="884">
        <v>43983</v>
      </c>
      <c r="I273" s="1021">
        <v>63133</v>
      </c>
      <c r="J273" s="931" t="s">
        <v>3423</v>
      </c>
      <c r="K273" s="957">
        <v>43983</v>
      </c>
      <c r="L273" s="22" t="s">
        <v>1221</v>
      </c>
      <c r="M273" s="28" t="s">
        <v>3837</v>
      </c>
      <c r="N273" s="22" t="s">
        <v>51</v>
      </c>
      <c r="O273" s="29">
        <v>94000</v>
      </c>
      <c r="P273" s="29">
        <f t="shared" si="323"/>
        <v>6580</v>
      </c>
      <c r="Q273" s="29">
        <f t="shared" ref="Q273:Q291" si="411">O273+P273</f>
        <v>100580</v>
      </c>
      <c r="R273" s="61"/>
      <c r="S273" s="96"/>
      <c r="T273" s="97"/>
      <c r="U273" s="98"/>
      <c r="V273" s="1225"/>
      <c r="W273" s="1225"/>
      <c r="X273" s="100"/>
      <c r="Y273" s="1225"/>
      <c r="Z273" s="1225"/>
      <c r="AA273" s="1225"/>
      <c r="AB273" s="1225"/>
      <c r="AC273" s="100"/>
      <c r="AD273" s="595"/>
      <c r="AE273" s="40">
        <v>20060154</v>
      </c>
      <c r="AF273" s="1186" t="s">
        <v>3423</v>
      </c>
      <c r="AG273" s="41">
        <v>94000</v>
      </c>
      <c r="AH273" s="63">
        <f t="shared" si="330"/>
        <v>6580</v>
      </c>
      <c r="AI273" s="52">
        <f t="shared" ref="AI273:AI293" si="412">AG273+AH273</f>
        <v>100580</v>
      </c>
      <c r="AJ273" s="53">
        <v>44037</v>
      </c>
      <c r="AK273" s="39" t="s">
        <v>3423</v>
      </c>
      <c r="AL273" s="39"/>
      <c r="AM273" s="39"/>
      <c r="AN273" s="21" t="s">
        <v>4094</v>
      </c>
      <c r="AO273" s="1312">
        <v>1</v>
      </c>
      <c r="AP273" s="45" t="s">
        <v>3838</v>
      </c>
      <c r="AQ273" s="46" t="s">
        <v>3423</v>
      </c>
      <c r="AR273" s="46"/>
      <c r="AS273" s="47">
        <v>2</v>
      </c>
      <c r="AT273" s="48" t="s">
        <v>636</v>
      </c>
      <c r="AU273" s="1365"/>
      <c r="AV273" s="54"/>
      <c r="AW273" s="1365"/>
      <c r="AX273" s="1365"/>
      <c r="AY273" s="1365"/>
      <c r="AZ273" s="54"/>
      <c r="BA273" s="1365"/>
      <c r="BB273" s="54"/>
      <c r="BC273" s="1365"/>
      <c r="BD273" s="1365"/>
      <c r="BE273" s="1365"/>
      <c r="BF273" s="54"/>
      <c r="BG273" s="1365"/>
      <c r="BH273" s="54"/>
      <c r="BI273" s="1365"/>
      <c r="BJ273" s="1365"/>
      <c r="BK273" s="1365"/>
      <c r="BL273" s="54"/>
      <c r="BM273" s="1365"/>
      <c r="BN273" s="54"/>
      <c r="BO273" s="1365"/>
      <c r="BP273" s="1365"/>
      <c r="BQ273" s="1365"/>
      <c r="BR273" s="54"/>
      <c r="BS273" s="1365"/>
      <c r="BT273" s="54"/>
      <c r="BU273" s="1365"/>
      <c r="BV273" s="1365"/>
      <c r="BW273" s="1365"/>
      <c r="BX273" s="54"/>
      <c r="BY273" s="1365"/>
      <c r="BZ273" s="54"/>
      <c r="CA273" s="1365"/>
      <c r="CB273" s="1365"/>
      <c r="CC273" s="1365"/>
      <c r="CD273" s="54"/>
      <c r="CE273" s="1365"/>
      <c r="CF273" s="54"/>
      <c r="CG273" s="1365"/>
      <c r="CH273" s="1365"/>
      <c r="CI273" s="1365"/>
      <c r="CJ273" s="1365"/>
    </row>
    <row r="274" spans="1:88" x14ac:dyDescent="0.5">
      <c r="A274" s="21">
        <v>20056555</v>
      </c>
      <c r="B274" s="22">
        <v>20050348</v>
      </c>
      <c r="C274" s="1019" t="s">
        <v>1386</v>
      </c>
      <c r="D274" s="1020" t="s">
        <v>2691</v>
      </c>
      <c r="E274" s="884">
        <v>43959</v>
      </c>
      <c r="F274" s="932" t="s">
        <v>3368</v>
      </c>
      <c r="G274" s="933" t="s">
        <v>1361</v>
      </c>
      <c r="H274" s="884">
        <v>43958</v>
      </c>
      <c r="I274" s="1021">
        <v>63111</v>
      </c>
      <c r="J274" s="931" t="s">
        <v>3423</v>
      </c>
      <c r="K274" s="957">
        <v>43959</v>
      </c>
      <c r="L274" s="22" t="s">
        <v>1160</v>
      </c>
      <c r="M274" s="28" t="s">
        <v>3822</v>
      </c>
      <c r="N274" s="22" t="s">
        <v>50</v>
      </c>
      <c r="O274" s="29">
        <v>20140</v>
      </c>
      <c r="P274" s="29">
        <f t="shared" si="323"/>
        <v>1409.8</v>
      </c>
      <c r="Q274" s="29">
        <f t="shared" si="411"/>
        <v>21549.8</v>
      </c>
      <c r="R274" s="61"/>
      <c r="S274" s="96"/>
      <c r="T274" s="97">
        <f t="shared" ref="T274:T291" si="413">O274-R274</f>
        <v>20140</v>
      </c>
      <c r="U274" s="98"/>
      <c r="V274" s="1225">
        <f t="shared" ref="V274" si="414">T274*U274/100</f>
        <v>0</v>
      </c>
      <c r="W274" s="1231">
        <v>62</v>
      </c>
      <c r="X274" s="1184">
        <f t="shared" ref="X274:X291" si="415">T274-V274</f>
        <v>20140</v>
      </c>
      <c r="Y274" s="1223">
        <f t="shared" si="328"/>
        <v>0.2</v>
      </c>
      <c r="Z274" s="1223">
        <f>20140*0.2/100</f>
        <v>40.28</v>
      </c>
      <c r="AA274" s="1225"/>
      <c r="AB274" s="1225"/>
      <c r="AC274" s="37">
        <v>0.2</v>
      </c>
      <c r="AD274" s="1234">
        <f t="shared" ref="AD274:AD291" si="416">X274*AC274/100</f>
        <v>40.28</v>
      </c>
      <c r="AE274" s="40">
        <v>20060142</v>
      </c>
      <c r="AF274" s="1186" t="s">
        <v>3423</v>
      </c>
      <c r="AG274" s="41">
        <v>20140</v>
      </c>
      <c r="AH274" s="63">
        <f t="shared" si="330"/>
        <v>1409.8</v>
      </c>
      <c r="AI274" s="52">
        <f t="shared" si="412"/>
        <v>21549.8</v>
      </c>
      <c r="AJ274" s="53">
        <v>44013</v>
      </c>
      <c r="AK274" s="39"/>
      <c r="AL274" s="39"/>
      <c r="AM274" s="39" t="s">
        <v>3423</v>
      </c>
      <c r="AN274" s="21" t="s">
        <v>3823</v>
      </c>
      <c r="AO274" s="1312">
        <v>1</v>
      </c>
      <c r="AP274" s="45" t="s">
        <v>879</v>
      </c>
      <c r="AQ274" s="46"/>
      <c r="AR274" s="46" t="s">
        <v>3423</v>
      </c>
      <c r="AS274" s="47">
        <v>1</v>
      </c>
      <c r="AT274" s="48" t="s">
        <v>634</v>
      </c>
      <c r="AU274" s="1328"/>
      <c r="AV274" s="54"/>
      <c r="AW274" s="1328"/>
      <c r="AX274" s="1328"/>
      <c r="AY274" s="1328"/>
      <c r="AZ274" s="54"/>
      <c r="BA274" s="1328"/>
      <c r="BB274" s="54"/>
      <c r="BC274" s="1328"/>
      <c r="BD274" s="1328"/>
      <c r="BE274" s="1328"/>
      <c r="BF274" s="54"/>
      <c r="BG274" s="1328"/>
      <c r="BH274" s="54"/>
      <c r="BI274" s="1328"/>
      <c r="BJ274" s="1328"/>
      <c r="BK274" s="1328"/>
      <c r="BL274" s="54"/>
      <c r="BM274" s="1328"/>
      <c r="BN274" s="54"/>
      <c r="BO274" s="1328"/>
      <c r="BP274" s="1328"/>
      <c r="BQ274" s="1328"/>
      <c r="BR274" s="54"/>
      <c r="BS274" s="1328"/>
      <c r="BT274" s="54"/>
      <c r="BU274" s="1328"/>
      <c r="BV274" s="1328"/>
      <c r="BW274" s="1328"/>
      <c r="BX274" s="54"/>
      <c r="BY274" s="1328"/>
      <c r="BZ274" s="54"/>
      <c r="CA274" s="1328"/>
      <c r="CB274" s="1328"/>
      <c r="CC274" s="1328"/>
      <c r="CD274" s="54"/>
      <c r="CE274" s="1328"/>
      <c r="CF274" s="54"/>
      <c r="CG274" s="1328"/>
      <c r="CH274" s="1328"/>
      <c r="CI274" s="1328"/>
      <c r="CJ274" s="1328"/>
    </row>
    <row r="275" spans="1:88" s="1543" customFormat="1" ht="22.5" thickBot="1" x14ac:dyDescent="0.55000000000000004">
      <c r="A275" s="1509" t="s">
        <v>3778</v>
      </c>
      <c r="B275" s="1510">
        <v>20050341</v>
      </c>
      <c r="C275" s="1511" t="s">
        <v>1392</v>
      </c>
      <c r="D275" s="1512" t="s">
        <v>2691</v>
      </c>
      <c r="E275" s="1513">
        <v>43960</v>
      </c>
      <c r="F275" s="1514" t="s">
        <v>3368</v>
      </c>
      <c r="G275" s="1515" t="s">
        <v>1384</v>
      </c>
      <c r="H275" s="1513">
        <v>43958</v>
      </c>
      <c r="I275" s="1516">
        <v>63110</v>
      </c>
      <c r="J275" s="1517" t="s">
        <v>3423</v>
      </c>
      <c r="K275" s="1518">
        <v>43960</v>
      </c>
      <c r="L275" s="1510" t="s">
        <v>3782</v>
      </c>
      <c r="M275" s="1519" t="s">
        <v>3783</v>
      </c>
      <c r="N275" s="1510" t="s">
        <v>51</v>
      </c>
      <c r="O275" s="1520">
        <v>11000</v>
      </c>
      <c r="P275" s="1521"/>
      <c r="Q275" s="1520">
        <f t="shared" ref="Q275:Q284" si="417">O275+P275</f>
        <v>11000</v>
      </c>
      <c r="R275" s="1522"/>
      <c r="S275" s="1523" t="s">
        <v>2795</v>
      </c>
      <c r="T275" s="1524"/>
      <c r="U275" s="1525"/>
      <c r="V275" s="1526">
        <v>2280</v>
      </c>
      <c r="W275" s="1527"/>
      <c r="X275" s="1521"/>
      <c r="Y275" s="1527"/>
      <c r="Z275" s="1527"/>
      <c r="AA275" s="1527"/>
      <c r="AB275" s="1527"/>
      <c r="AC275" s="1521"/>
      <c r="AD275" s="1528"/>
      <c r="AE275" s="1529"/>
      <c r="AF275" s="1530"/>
      <c r="AG275" s="1531"/>
      <c r="AH275" s="1532">
        <f t="shared" ref="AH275:AH284" si="418">AG275*7/100</f>
        <v>0</v>
      </c>
      <c r="AI275" s="1533">
        <f t="shared" ref="AI275:AI284" si="419">AG275+AH275</f>
        <v>0</v>
      </c>
      <c r="AJ275" s="1534"/>
      <c r="AK275" s="1535"/>
      <c r="AL275" s="1535"/>
      <c r="AM275" s="1535"/>
      <c r="AN275" s="1536" t="s">
        <v>3784</v>
      </c>
      <c r="AO275" s="1537">
        <v>1</v>
      </c>
      <c r="AP275" s="1538" t="s">
        <v>728</v>
      </c>
      <c r="AQ275" s="1539" t="s">
        <v>3423</v>
      </c>
      <c r="AR275" s="1539"/>
      <c r="AS275" s="1540">
        <v>2</v>
      </c>
      <c r="AT275" s="1541" t="s">
        <v>636</v>
      </c>
      <c r="AU275" s="1537"/>
      <c r="AV275" s="1542"/>
      <c r="AW275" s="1537"/>
      <c r="AX275" s="1537"/>
      <c r="AY275" s="1537"/>
      <c r="AZ275" s="1542"/>
      <c r="BA275" s="1537"/>
      <c r="BB275" s="1542"/>
      <c r="BC275" s="1537"/>
      <c r="BD275" s="1537"/>
      <c r="BE275" s="1537"/>
      <c r="BF275" s="1542"/>
      <c r="BG275" s="1537"/>
      <c r="BH275" s="1542"/>
      <c r="BI275" s="1537"/>
      <c r="BJ275" s="1537"/>
      <c r="BK275" s="1537"/>
      <c r="BL275" s="1542"/>
      <c r="BM275" s="1537"/>
      <c r="BN275" s="1542"/>
      <c r="BO275" s="1537"/>
      <c r="BP275" s="1537"/>
      <c r="BQ275" s="1537"/>
      <c r="BR275" s="1542"/>
      <c r="BS275" s="1537"/>
      <c r="BT275" s="1542"/>
      <c r="BU275" s="1537"/>
      <c r="BV275" s="1537"/>
      <c r="BW275" s="1537"/>
      <c r="BX275" s="1542"/>
      <c r="BY275" s="1537"/>
      <c r="BZ275" s="1542"/>
      <c r="CA275" s="1537"/>
      <c r="CB275" s="1537"/>
      <c r="CC275" s="1537"/>
      <c r="CD275" s="1542"/>
      <c r="CE275" s="1537"/>
      <c r="CF275" s="1542"/>
      <c r="CG275" s="1537"/>
      <c r="CH275" s="1537"/>
      <c r="CI275" s="1537"/>
      <c r="CJ275" s="1537"/>
    </row>
    <row r="276" spans="1:88" ht="22.5" thickTop="1" x14ac:dyDescent="0.5">
      <c r="A276" s="268">
        <v>20046554</v>
      </c>
      <c r="B276" s="181">
        <v>20040322</v>
      </c>
      <c r="C276" s="1236" t="s">
        <v>1393</v>
      </c>
      <c r="D276" s="1237" t="s">
        <v>2691</v>
      </c>
      <c r="E276" s="749">
        <v>43955</v>
      </c>
      <c r="F276" s="938" t="s">
        <v>3368</v>
      </c>
      <c r="G276" s="939" t="s">
        <v>1389</v>
      </c>
      <c r="H276" s="749">
        <v>43955</v>
      </c>
      <c r="I276" s="1125">
        <v>63106</v>
      </c>
      <c r="J276" s="961" t="s">
        <v>3423</v>
      </c>
      <c r="K276" s="966">
        <v>43955</v>
      </c>
      <c r="L276" s="181" t="s">
        <v>1546</v>
      </c>
      <c r="M276" s="188" t="s">
        <v>3777</v>
      </c>
      <c r="N276" s="181" t="s">
        <v>1523</v>
      </c>
      <c r="O276" s="189">
        <v>5794.39</v>
      </c>
      <c r="P276" s="189">
        <f t="shared" ref="P276:P278" si="420">O276*7/100</f>
        <v>405.60730000000001</v>
      </c>
      <c r="Q276" s="189">
        <f t="shared" ref="Q276:Q278" si="421">O276+P276</f>
        <v>6199.9973</v>
      </c>
      <c r="R276" s="214"/>
      <c r="S276" s="191"/>
      <c r="T276" s="192">
        <f t="shared" ref="T276" si="422">O276-R276</f>
        <v>5794.39</v>
      </c>
      <c r="U276" s="193"/>
      <c r="V276" s="1254">
        <f t="shared" ref="V276" si="423">T276*U276/100</f>
        <v>0</v>
      </c>
      <c r="W276" s="1238">
        <v>62.61</v>
      </c>
      <c r="X276" s="1239">
        <f t="shared" ref="X276" si="424">T276-V276</f>
        <v>5794.39</v>
      </c>
      <c r="Y276" s="1240">
        <f t="shared" ref="Y276" si="425">SUM((50-W276)/(100)*(2.5)+(0.5))</f>
        <v>0.18475000000000003</v>
      </c>
      <c r="Z276" s="1240">
        <f>5794.39*0.18/100</f>
        <v>10.429902</v>
      </c>
      <c r="AA276" s="1263">
        <v>0.2</v>
      </c>
      <c r="AB276" s="1263">
        <f t="shared" ref="AB276" si="426">X276*AA276/100</f>
        <v>11.588780000000002</v>
      </c>
      <c r="AC276" s="197"/>
      <c r="AD276" s="1241">
        <f t="shared" ref="AD276" si="427">X276*AC276/100</f>
        <v>0</v>
      </c>
      <c r="AE276" s="200">
        <v>20040116</v>
      </c>
      <c r="AF276" s="1242" t="s">
        <v>3423</v>
      </c>
      <c r="AG276" s="201">
        <v>5794.4</v>
      </c>
      <c r="AH276" s="237">
        <f t="shared" ref="AH276:AH278" si="428">AG276*7/100</f>
        <v>405.60799999999995</v>
      </c>
      <c r="AI276" s="202">
        <f t="shared" ref="AI276:AI278" si="429">AG276+AH276</f>
        <v>6200.0079999999998</v>
      </c>
      <c r="AJ276" s="203">
        <v>43951</v>
      </c>
      <c r="AK276" s="199" t="s">
        <v>3423</v>
      </c>
      <c r="AL276" s="199"/>
      <c r="AM276" s="199"/>
      <c r="AN276" s="180" t="s">
        <v>4011</v>
      </c>
      <c r="AO276" s="204">
        <v>1</v>
      </c>
      <c r="AP276" s="205" t="s">
        <v>650</v>
      </c>
      <c r="AQ276" s="206"/>
      <c r="AR276" s="206" t="s">
        <v>3423</v>
      </c>
      <c r="AS276" s="207">
        <v>1</v>
      </c>
      <c r="AT276" s="208" t="s">
        <v>634</v>
      </c>
      <c r="AU276" s="204"/>
      <c r="AV276" s="210"/>
      <c r="AW276" s="204"/>
      <c r="AX276" s="204"/>
      <c r="AY276" s="204"/>
      <c r="AZ276" s="210"/>
      <c r="BA276" s="204"/>
      <c r="BB276" s="210"/>
      <c r="BC276" s="204"/>
      <c r="BD276" s="204"/>
      <c r="BE276" s="204"/>
      <c r="BF276" s="210"/>
      <c r="BG276" s="204"/>
      <c r="BH276" s="210"/>
      <c r="BI276" s="204"/>
      <c r="BJ276" s="204"/>
      <c r="BK276" s="204"/>
      <c r="BL276" s="210"/>
      <c r="BM276" s="204"/>
      <c r="BN276" s="210"/>
      <c r="BO276" s="204"/>
      <c r="BP276" s="204"/>
      <c r="BQ276" s="204"/>
      <c r="BR276" s="210"/>
      <c r="BS276" s="204"/>
      <c r="BT276" s="210"/>
      <c r="BU276" s="204"/>
      <c r="BV276" s="204"/>
      <c r="BW276" s="204"/>
      <c r="BX276" s="210"/>
      <c r="BY276" s="204"/>
      <c r="BZ276" s="210"/>
      <c r="CA276" s="204"/>
      <c r="CB276" s="204"/>
      <c r="CC276" s="204"/>
      <c r="CD276" s="210"/>
      <c r="CE276" s="204"/>
      <c r="CF276" s="210"/>
      <c r="CG276" s="204"/>
      <c r="CH276" s="204"/>
      <c r="CI276" s="204"/>
      <c r="CJ276" s="204"/>
    </row>
    <row r="277" spans="1:88" x14ac:dyDescent="0.5">
      <c r="A277" s="227">
        <v>20046553</v>
      </c>
      <c r="B277" s="22">
        <v>20040301</v>
      </c>
      <c r="C277" s="1019" t="s">
        <v>1394</v>
      </c>
      <c r="D277" s="1020" t="s">
        <v>2691</v>
      </c>
      <c r="E277" s="884">
        <v>43961</v>
      </c>
      <c r="F277" s="932" t="s">
        <v>3368</v>
      </c>
      <c r="G277" s="933" t="s">
        <v>1383</v>
      </c>
      <c r="H277" s="884">
        <v>43963</v>
      </c>
      <c r="I277" s="1021">
        <v>63112</v>
      </c>
      <c r="J277" s="931" t="s">
        <v>3423</v>
      </c>
      <c r="K277" s="957">
        <v>43964</v>
      </c>
      <c r="L277" s="22" t="s">
        <v>3370</v>
      </c>
      <c r="M277" s="28" t="s">
        <v>3767</v>
      </c>
      <c r="N277" s="22" t="s">
        <v>51</v>
      </c>
      <c r="O277" s="29">
        <v>42000</v>
      </c>
      <c r="P277" s="29">
        <f t="shared" si="420"/>
        <v>2940</v>
      </c>
      <c r="Q277" s="29">
        <f t="shared" si="421"/>
        <v>44940</v>
      </c>
      <c r="R277" s="61"/>
      <c r="S277" s="96"/>
      <c r="T277" s="97"/>
      <c r="U277" s="98"/>
      <c r="V277" s="1225"/>
      <c r="W277" s="1225"/>
      <c r="X277" s="100"/>
      <c r="Y277" s="1225"/>
      <c r="Z277" s="1225"/>
      <c r="AA277" s="1225"/>
      <c r="AB277" s="1225"/>
      <c r="AC277" s="100"/>
      <c r="AD277" s="595"/>
      <c r="AE277" s="40">
        <v>20050126</v>
      </c>
      <c r="AF277" s="1186" t="s">
        <v>3423</v>
      </c>
      <c r="AG277" s="41">
        <v>42000</v>
      </c>
      <c r="AH277" s="63">
        <f t="shared" si="428"/>
        <v>2940</v>
      </c>
      <c r="AI277" s="52">
        <f t="shared" si="429"/>
        <v>44940</v>
      </c>
      <c r="AJ277" s="53">
        <v>43995</v>
      </c>
      <c r="AK277" s="39" t="s">
        <v>3423</v>
      </c>
      <c r="AL277" s="39"/>
      <c r="AM277" s="39"/>
      <c r="AN277" s="21" t="s">
        <v>3988</v>
      </c>
      <c r="AO277" s="1320">
        <v>1</v>
      </c>
      <c r="AP277" s="45" t="s">
        <v>3592</v>
      </c>
      <c r="AQ277" s="46"/>
      <c r="AR277" s="46"/>
      <c r="AS277" s="47">
        <v>1</v>
      </c>
      <c r="AT277" s="48" t="s">
        <v>633</v>
      </c>
      <c r="AU277" s="1325"/>
      <c r="AV277" s="54"/>
      <c r="AW277" s="1325"/>
      <c r="AX277" s="1325"/>
      <c r="AY277" s="1325"/>
      <c r="AZ277" s="54"/>
      <c r="BA277" s="1325"/>
      <c r="BB277" s="54"/>
      <c r="BC277" s="1325"/>
      <c r="BD277" s="1325"/>
      <c r="BE277" s="1325"/>
      <c r="BF277" s="54"/>
      <c r="BG277" s="1325"/>
      <c r="BH277" s="54"/>
      <c r="BI277" s="1325"/>
      <c r="BJ277" s="1325"/>
      <c r="BK277" s="1325"/>
      <c r="BL277" s="54"/>
      <c r="BM277" s="1325"/>
      <c r="BN277" s="54"/>
      <c r="BO277" s="1325"/>
      <c r="BP277" s="1325"/>
      <c r="BQ277" s="1325"/>
      <c r="BR277" s="54"/>
      <c r="BS277" s="1325"/>
      <c r="BT277" s="54"/>
      <c r="BU277" s="1325"/>
      <c r="BV277" s="1325"/>
      <c r="BW277" s="1325"/>
      <c r="BX277" s="54"/>
      <c r="BY277" s="1325"/>
      <c r="BZ277" s="54"/>
      <c r="CA277" s="1325"/>
      <c r="CB277" s="1325"/>
      <c r="CC277" s="1325"/>
      <c r="CD277" s="54"/>
      <c r="CE277" s="1325"/>
      <c r="CF277" s="54"/>
      <c r="CG277" s="1325"/>
      <c r="CH277" s="1325"/>
      <c r="CI277" s="1325"/>
      <c r="CJ277" s="1325"/>
    </row>
    <row r="278" spans="1:88" x14ac:dyDescent="0.5">
      <c r="A278" s="227">
        <v>20046552</v>
      </c>
      <c r="B278" s="22">
        <v>20040299</v>
      </c>
      <c r="C278" s="55"/>
      <c r="D278" s="56"/>
      <c r="E278" s="910"/>
      <c r="F278" s="57"/>
      <c r="G278" s="58"/>
      <c r="H278" s="59"/>
      <c r="I278" s="60"/>
      <c r="J278" s="269"/>
      <c r="K278" s="59"/>
      <c r="L278" s="22" t="s">
        <v>3008</v>
      </c>
      <c r="M278" s="28" t="s">
        <v>3768</v>
      </c>
      <c r="N278" s="22" t="s">
        <v>51</v>
      </c>
      <c r="O278" s="29">
        <v>32600</v>
      </c>
      <c r="P278" s="29">
        <f t="shared" si="420"/>
        <v>2282</v>
      </c>
      <c r="Q278" s="29">
        <f t="shared" si="421"/>
        <v>34882</v>
      </c>
      <c r="R278" s="61"/>
      <c r="S278" s="96"/>
      <c r="T278" s="97"/>
      <c r="U278" s="98"/>
      <c r="V278" s="1225"/>
      <c r="W278" s="1225"/>
      <c r="X278" s="100"/>
      <c r="Y278" s="1225"/>
      <c r="Z278" s="1225"/>
      <c r="AA278" s="1225"/>
      <c r="AB278" s="1225"/>
      <c r="AC278" s="100"/>
      <c r="AD278" s="595"/>
      <c r="AE278" s="40">
        <v>20050119</v>
      </c>
      <c r="AF278" s="1186" t="s">
        <v>3423</v>
      </c>
      <c r="AG278" s="41">
        <v>32600</v>
      </c>
      <c r="AH278" s="63">
        <f t="shared" si="428"/>
        <v>2282</v>
      </c>
      <c r="AI278" s="52">
        <f t="shared" si="429"/>
        <v>34882</v>
      </c>
      <c r="AJ278" s="53">
        <v>43988</v>
      </c>
      <c r="AK278" s="39" t="s">
        <v>3423</v>
      </c>
      <c r="AL278" s="39"/>
      <c r="AM278" s="39"/>
      <c r="AN278" s="21" t="s">
        <v>4007</v>
      </c>
      <c r="AO278" s="1320">
        <v>1</v>
      </c>
      <c r="AP278" s="45" t="s">
        <v>1681</v>
      </c>
      <c r="AQ278" s="46"/>
      <c r="AR278" s="46"/>
      <c r="AS278" s="47">
        <v>6</v>
      </c>
      <c r="AT278" s="48" t="s">
        <v>1485</v>
      </c>
      <c r="AU278" s="1320">
        <v>2</v>
      </c>
      <c r="AV278" s="40" t="s">
        <v>3769</v>
      </c>
      <c r="AW278" s="47"/>
      <c r="AX278" s="47"/>
      <c r="AY278" s="47">
        <v>1</v>
      </c>
      <c r="AZ278" s="49" t="s">
        <v>1485</v>
      </c>
      <c r="BA278" s="1325"/>
      <c r="BB278" s="54"/>
      <c r="BC278" s="1325"/>
      <c r="BD278" s="1325"/>
      <c r="BE278" s="1325"/>
      <c r="BF278" s="54"/>
      <c r="BG278" s="1325"/>
      <c r="BH278" s="54"/>
      <c r="BI278" s="1325"/>
      <c r="BJ278" s="1325"/>
      <c r="BK278" s="1325"/>
      <c r="BL278" s="54"/>
      <c r="BM278" s="1325"/>
      <c r="BN278" s="54"/>
      <c r="BO278" s="1325"/>
      <c r="BP278" s="1325"/>
      <c r="BQ278" s="1325"/>
      <c r="BR278" s="54"/>
      <c r="BS278" s="1325"/>
      <c r="BT278" s="54"/>
      <c r="BU278" s="1325"/>
      <c r="BV278" s="1325"/>
      <c r="BW278" s="1325"/>
      <c r="BX278" s="54"/>
      <c r="BY278" s="1325"/>
      <c r="BZ278" s="54"/>
      <c r="CA278" s="1325"/>
      <c r="CB278" s="1325"/>
      <c r="CC278" s="1325"/>
      <c r="CD278" s="54"/>
      <c r="CE278" s="1325"/>
      <c r="CF278" s="54"/>
      <c r="CG278" s="1325"/>
      <c r="CH278" s="1325"/>
      <c r="CI278" s="1325"/>
      <c r="CJ278" s="1325"/>
    </row>
    <row r="279" spans="1:88" x14ac:dyDescent="0.5">
      <c r="A279" s="259">
        <v>20046551</v>
      </c>
      <c r="B279" s="104">
        <v>20040292</v>
      </c>
      <c r="C279" s="1243" t="s">
        <v>1395</v>
      </c>
      <c r="D279" s="1244" t="s">
        <v>2691</v>
      </c>
      <c r="E279" s="302">
        <v>43964</v>
      </c>
      <c r="F279" s="936" t="s">
        <v>3368</v>
      </c>
      <c r="G279" s="937" t="s">
        <v>1381</v>
      </c>
      <c r="H279" s="302">
        <v>43965</v>
      </c>
      <c r="I279" s="1124">
        <v>63113</v>
      </c>
      <c r="J279" s="960" t="s">
        <v>3423</v>
      </c>
      <c r="K279" s="965">
        <v>43966</v>
      </c>
      <c r="L279" s="104" t="s">
        <v>3766</v>
      </c>
      <c r="M279" s="110" t="s">
        <v>3770</v>
      </c>
      <c r="N279" s="104" t="s">
        <v>50</v>
      </c>
      <c r="O279" s="111">
        <v>300000</v>
      </c>
      <c r="P279" s="111">
        <f t="shared" ref="P279:P284" si="430">O279*7/100</f>
        <v>21000</v>
      </c>
      <c r="Q279" s="111">
        <f t="shared" si="417"/>
        <v>321000</v>
      </c>
      <c r="R279" s="311">
        <v>30000</v>
      </c>
      <c r="S279" s="113" t="s">
        <v>3410</v>
      </c>
      <c r="T279" s="114">
        <f t="shared" ref="T279:T284" si="431">O279-R279</f>
        <v>270000</v>
      </c>
      <c r="U279" s="167"/>
      <c r="V279" s="1252">
        <v>25000</v>
      </c>
      <c r="W279" s="1245">
        <v>59.87</v>
      </c>
      <c r="X279" s="1246">
        <f t="shared" ref="X279" si="432">T279-V279</f>
        <v>245000</v>
      </c>
      <c r="Y279" s="1247">
        <f t="shared" ref="Y279" si="433">SUM((50-W279)/(100)*(2.5)+(0.5))</f>
        <v>0.25325000000000009</v>
      </c>
      <c r="Z279" s="1247">
        <f>245000*0.25/100</f>
        <v>612.5</v>
      </c>
      <c r="AA279" s="1265">
        <v>0.5</v>
      </c>
      <c r="AB279" s="1265">
        <f t="shared" ref="AB279" si="434">X279*AA279/100</f>
        <v>1225</v>
      </c>
      <c r="AC279" s="119">
        <v>0.2</v>
      </c>
      <c r="AD279" s="1248">
        <f t="shared" ref="AD279" si="435">X279*AC279/100</f>
        <v>490</v>
      </c>
      <c r="AE279" s="229">
        <v>20040107</v>
      </c>
      <c r="AF279" s="1313"/>
      <c r="AG279" s="230">
        <v>90000</v>
      </c>
      <c r="AH279" s="233">
        <f t="shared" si="418"/>
        <v>6300</v>
      </c>
      <c r="AI279" s="220">
        <f t="shared" si="419"/>
        <v>96300</v>
      </c>
      <c r="AJ279" s="221">
        <v>43944</v>
      </c>
      <c r="AK279" s="121" t="s">
        <v>3423</v>
      </c>
      <c r="AL279" s="121"/>
      <c r="AM279" s="121"/>
      <c r="AN279" s="222" t="s">
        <v>4029</v>
      </c>
      <c r="AO279" s="128">
        <v>1</v>
      </c>
      <c r="AP279" s="129" t="s">
        <v>3572</v>
      </c>
      <c r="AQ279" s="130"/>
      <c r="AR279" s="130" t="s">
        <v>3423</v>
      </c>
      <c r="AS279" s="131">
        <v>1</v>
      </c>
      <c r="AT279" s="132" t="s">
        <v>636</v>
      </c>
      <c r="AU279" s="128"/>
      <c r="AV279" s="133"/>
      <c r="AW279" s="128"/>
      <c r="AX279" s="128"/>
      <c r="AY279" s="128"/>
      <c r="AZ279" s="133"/>
      <c r="BA279" s="128"/>
      <c r="BB279" s="133"/>
      <c r="BC279" s="128"/>
      <c r="BD279" s="128"/>
      <c r="BE279" s="128"/>
      <c r="BF279" s="133"/>
      <c r="BG279" s="128"/>
      <c r="BH279" s="133"/>
      <c r="BI279" s="128"/>
      <c r="BJ279" s="128"/>
      <c r="BK279" s="128"/>
      <c r="BL279" s="133"/>
      <c r="BM279" s="128"/>
      <c r="BN279" s="133"/>
      <c r="BO279" s="128"/>
      <c r="BP279" s="128"/>
      <c r="BQ279" s="128"/>
      <c r="BR279" s="133"/>
      <c r="BS279" s="128"/>
      <c r="BT279" s="133"/>
      <c r="BU279" s="128"/>
      <c r="BV279" s="128"/>
      <c r="BW279" s="128"/>
      <c r="BX279" s="133"/>
      <c r="BY279" s="128"/>
      <c r="BZ279" s="133"/>
      <c r="CA279" s="128"/>
      <c r="CB279" s="128"/>
      <c r="CC279" s="128"/>
      <c r="CD279" s="133"/>
      <c r="CE279" s="128"/>
      <c r="CF279" s="133"/>
      <c r="CG279" s="128"/>
      <c r="CH279" s="128"/>
      <c r="CI279" s="128"/>
      <c r="CJ279" s="128"/>
    </row>
    <row r="280" spans="1:88" x14ac:dyDescent="0.5">
      <c r="A280" s="268"/>
      <c r="B280" s="181"/>
      <c r="C280" s="1236"/>
      <c r="D280" s="1237"/>
      <c r="E280" s="749"/>
      <c r="F280" s="938"/>
      <c r="G280" s="939"/>
      <c r="H280" s="304"/>
      <c r="I280" s="1125"/>
      <c r="J280" s="961"/>
      <c r="K280" s="966"/>
      <c r="L280" s="181"/>
      <c r="M280" s="188"/>
      <c r="N280" s="181"/>
      <c r="O280" s="189"/>
      <c r="P280" s="189"/>
      <c r="Q280" s="189"/>
      <c r="R280" s="190"/>
      <c r="S280" s="215"/>
      <c r="T280" s="216"/>
      <c r="U280" s="193"/>
      <c r="V280" s="1253"/>
      <c r="W280" s="1238"/>
      <c r="X280" s="1239"/>
      <c r="Y280" s="1240"/>
      <c r="Z280" s="1240"/>
      <c r="AA280" s="1263"/>
      <c r="AB280" s="1263"/>
      <c r="AC280" s="197"/>
      <c r="AD280" s="1241"/>
      <c r="AE280" s="200">
        <v>20050123</v>
      </c>
      <c r="AF280" s="1242" t="s">
        <v>3423</v>
      </c>
      <c r="AG280" s="201">
        <v>210000</v>
      </c>
      <c r="AH280" s="237">
        <f t="shared" si="418"/>
        <v>14700</v>
      </c>
      <c r="AI280" s="202">
        <f t="shared" si="419"/>
        <v>224700</v>
      </c>
      <c r="AJ280" s="203">
        <v>43963</v>
      </c>
      <c r="AK280" s="199" t="s">
        <v>3423</v>
      </c>
      <c r="AL280" s="199"/>
      <c r="AM280" s="199"/>
      <c r="AN280" s="180" t="s">
        <v>4028</v>
      </c>
      <c r="AO280" s="204"/>
      <c r="AP280" s="205"/>
      <c r="AQ280" s="206"/>
      <c r="AR280" s="206"/>
      <c r="AS280" s="207"/>
      <c r="AT280" s="208"/>
      <c r="AU280" s="204"/>
      <c r="AV280" s="210"/>
      <c r="AW280" s="204"/>
      <c r="AX280" s="204"/>
      <c r="AY280" s="204"/>
      <c r="AZ280" s="210"/>
      <c r="BA280" s="204"/>
      <c r="BB280" s="210"/>
      <c r="BC280" s="204"/>
      <c r="BD280" s="204"/>
      <c r="BE280" s="204"/>
      <c r="BF280" s="210"/>
      <c r="BG280" s="204"/>
      <c r="BH280" s="210"/>
      <c r="BI280" s="204"/>
      <c r="BJ280" s="204"/>
      <c r="BK280" s="204"/>
      <c r="BL280" s="210"/>
      <c r="BM280" s="204"/>
      <c r="BN280" s="210"/>
      <c r="BO280" s="204"/>
      <c r="BP280" s="204"/>
      <c r="BQ280" s="204"/>
      <c r="BR280" s="210"/>
      <c r="BS280" s="204"/>
      <c r="BT280" s="210"/>
      <c r="BU280" s="204"/>
      <c r="BV280" s="204"/>
      <c r="BW280" s="204"/>
      <c r="BX280" s="210"/>
      <c r="BY280" s="204"/>
      <c r="BZ280" s="210"/>
      <c r="CA280" s="204"/>
      <c r="CB280" s="204"/>
      <c r="CC280" s="204"/>
      <c r="CD280" s="210"/>
      <c r="CE280" s="204"/>
      <c r="CF280" s="210"/>
      <c r="CG280" s="204"/>
      <c r="CH280" s="204"/>
      <c r="CI280" s="204"/>
      <c r="CJ280" s="204"/>
    </row>
    <row r="281" spans="1:88" x14ac:dyDescent="0.5">
      <c r="A281" s="227">
        <v>20046550</v>
      </c>
      <c r="B281" s="22">
        <v>20040291</v>
      </c>
      <c r="C281" s="55"/>
      <c r="D281" s="56"/>
      <c r="E281" s="910"/>
      <c r="F281" s="57"/>
      <c r="G281" s="58"/>
      <c r="H281" s="59"/>
      <c r="I281" s="60"/>
      <c r="J281" s="269"/>
      <c r="K281" s="59"/>
      <c r="L281" s="22" t="s">
        <v>3550</v>
      </c>
      <c r="M281" s="28" t="s">
        <v>3771</v>
      </c>
      <c r="N281" s="22" t="s">
        <v>51</v>
      </c>
      <c r="O281" s="29">
        <v>9500</v>
      </c>
      <c r="P281" s="29">
        <f t="shared" si="430"/>
        <v>665</v>
      </c>
      <c r="Q281" s="29">
        <f t="shared" si="417"/>
        <v>10165</v>
      </c>
      <c r="R281" s="61"/>
      <c r="S281" s="96"/>
      <c r="T281" s="97"/>
      <c r="U281" s="98"/>
      <c r="V281" s="1225"/>
      <c r="W281" s="1225"/>
      <c r="X281" s="100"/>
      <c r="Y281" s="1225"/>
      <c r="Z281" s="1225"/>
      <c r="AA281" s="1225"/>
      <c r="AB281" s="1225"/>
      <c r="AC281" s="100"/>
      <c r="AD281" s="595"/>
      <c r="AE281" s="40">
        <v>20040106</v>
      </c>
      <c r="AF281" s="1186" t="s">
        <v>3423</v>
      </c>
      <c r="AG281" s="41">
        <v>9500</v>
      </c>
      <c r="AH281" s="63">
        <f t="shared" si="418"/>
        <v>665</v>
      </c>
      <c r="AI281" s="52">
        <f t="shared" si="419"/>
        <v>10165</v>
      </c>
      <c r="AJ281" s="53">
        <v>43974</v>
      </c>
      <c r="AK281" s="39" t="s">
        <v>3423</v>
      </c>
      <c r="AL281" s="39"/>
      <c r="AM281" s="39"/>
      <c r="AN281" s="21" t="s">
        <v>4012</v>
      </c>
      <c r="AO281" s="1314">
        <v>1</v>
      </c>
      <c r="AP281" s="45" t="s">
        <v>3772</v>
      </c>
      <c r="AQ281" s="46"/>
      <c r="AR281" s="46"/>
      <c r="AS281" s="47">
        <v>1</v>
      </c>
      <c r="AT281" s="48" t="s">
        <v>628</v>
      </c>
      <c r="AU281" s="1326"/>
      <c r="AV281" s="54"/>
      <c r="AW281" s="1326"/>
      <c r="AX281" s="1326"/>
      <c r="AY281" s="1326"/>
      <c r="AZ281" s="54"/>
      <c r="BA281" s="1326"/>
      <c r="BB281" s="54"/>
      <c r="BC281" s="1326"/>
      <c r="BD281" s="1326"/>
      <c r="BE281" s="1326"/>
      <c r="BF281" s="54"/>
      <c r="BG281" s="1326"/>
      <c r="BH281" s="54"/>
      <c r="BI281" s="1326"/>
      <c r="BJ281" s="1326"/>
      <c r="BK281" s="1326"/>
      <c r="BL281" s="54"/>
      <c r="BM281" s="1326"/>
      <c r="BN281" s="54"/>
      <c r="BO281" s="1326"/>
      <c r="BP281" s="1326"/>
      <c r="BQ281" s="1326"/>
      <c r="BR281" s="54"/>
      <c r="BS281" s="1326"/>
      <c r="BT281" s="54"/>
      <c r="BU281" s="1326"/>
      <c r="BV281" s="1326"/>
      <c r="BW281" s="1326"/>
      <c r="BX281" s="54"/>
      <c r="BY281" s="1326"/>
      <c r="BZ281" s="54"/>
      <c r="CA281" s="1326"/>
      <c r="CB281" s="1326"/>
      <c r="CC281" s="1326"/>
      <c r="CD281" s="54"/>
      <c r="CE281" s="1326"/>
      <c r="CF281" s="54"/>
      <c r="CG281" s="1326"/>
      <c r="CH281" s="1326"/>
      <c r="CI281" s="1326"/>
      <c r="CJ281" s="1326"/>
    </row>
    <row r="282" spans="1:88" x14ac:dyDescent="0.5">
      <c r="A282" s="227">
        <v>20046549</v>
      </c>
      <c r="B282" s="22">
        <v>20040270</v>
      </c>
      <c r="C282" s="55"/>
      <c r="D282" s="56"/>
      <c r="E282" s="910"/>
      <c r="F282" s="57"/>
      <c r="G282" s="58"/>
      <c r="H282" s="59"/>
      <c r="I282" s="60"/>
      <c r="J282" s="269"/>
      <c r="K282" s="59"/>
      <c r="L282" s="22" t="s">
        <v>3765</v>
      </c>
      <c r="M282" s="28" t="s">
        <v>3773</v>
      </c>
      <c r="N282" s="22" t="s">
        <v>3646</v>
      </c>
      <c r="O282" s="29">
        <v>3700</v>
      </c>
      <c r="P282" s="29">
        <f t="shared" si="430"/>
        <v>259</v>
      </c>
      <c r="Q282" s="29">
        <f t="shared" si="417"/>
        <v>3959</v>
      </c>
      <c r="R282" s="61"/>
      <c r="S282" s="96"/>
      <c r="T282" s="97"/>
      <c r="U282" s="98"/>
      <c r="V282" s="1225"/>
      <c r="W282" s="1225"/>
      <c r="X282" s="100"/>
      <c r="Y282" s="1225"/>
      <c r="Z282" s="1225"/>
      <c r="AA282" s="1225"/>
      <c r="AB282" s="1225"/>
      <c r="AC282" s="100"/>
      <c r="AD282" s="595"/>
      <c r="AE282" s="40">
        <v>20040105</v>
      </c>
      <c r="AF282" s="1186" t="s">
        <v>3423</v>
      </c>
      <c r="AG282" s="41">
        <v>3700</v>
      </c>
      <c r="AH282" s="63">
        <f t="shared" si="418"/>
        <v>259</v>
      </c>
      <c r="AI282" s="52">
        <f t="shared" si="419"/>
        <v>3959</v>
      </c>
      <c r="AJ282" s="53">
        <v>43944</v>
      </c>
      <c r="AK282" s="39" t="s">
        <v>3423</v>
      </c>
      <c r="AL282" s="39"/>
      <c r="AM282" s="39"/>
      <c r="AN282" s="21" t="s">
        <v>3793</v>
      </c>
      <c r="AO282" s="1314">
        <v>1</v>
      </c>
      <c r="AP282" s="45" t="s">
        <v>3774</v>
      </c>
      <c r="AQ282" s="46"/>
      <c r="AR282" s="46"/>
      <c r="AS282" s="47">
        <v>1</v>
      </c>
      <c r="AT282" s="48" t="s">
        <v>628</v>
      </c>
      <c r="AU282" s="1326"/>
      <c r="AV282" s="54"/>
      <c r="AW282" s="1326"/>
      <c r="AX282" s="1326"/>
      <c r="AY282" s="1326"/>
      <c r="AZ282" s="54"/>
      <c r="BA282" s="1326"/>
      <c r="BB282" s="54"/>
      <c r="BC282" s="1326"/>
      <c r="BD282" s="1326"/>
      <c r="BE282" s="1326"/>
      <c r="BF282" s="54"/>
      <c r="BG282" s="1326"/>
      <c r="BH282" s="54"/>
      <c r="BI282" s="1326"/>
      <c r="BJ282" s="1326"/>
      <c r="BK282" s="1326"/>
      <c r="BL282" s="54"/>
      <c r="BM282" s="1326"/>
      <c r="BN282" s="54"/>
      <c r="BO282" s="1326"/>
      <c r="BP282" s="1326"/>
      <c r="BQ282" s="1326"/>
      <c r="BR282" s="54"/>
      <c r="BS282" s="1326"/>
      <c r="BT282" s="54"/>
      <c r="BU282" s="1326"/>
      <c r="BV282" s="1326"/>
      <c r="BW282" s="1326"/>
      <c r="BX282" s="54"/>
      <c r="BY282" s="1326"/>
      <c r="BZ282" s="54"/>
      <c r="CA282" s="1326"/>
      <c r="CB282" s="1326"/>
      <c r="CC282" s="1326"/>
      <c r="CD282" s="54"/>
      <c r="CE282" s="1326"/>
      <c r="CF282" s="54"/>
      <c r="CG282" s="1326"/>
      <c r="CH282" s="1326"/>
      <c r="CI282" s="1326"/>
      <c r="CJ282" s="1326"/>
    </row>
    <row r="283" spans="1:88" x14ac:dyDescent="0.5">
      <c r="A283" s="227" t="s">
        <v>3779</v>
      </c>
      <c r="B283" s="22">
        <v>20040290</v>
      </c>
      <c r="C283" s="1019" t="s">
        <v>1396</v>
      </c>
      <c r="D283" s="1020" t="s">
        <v>2691</v>
      </c>
      <c r="E283" s="884">
        <v>43959</v>
      </c>
      <c r="F283" s="932" t="s">
        <v>3368</v>
      </c>
      <c r="G283" s="933" t="s">
        <v>1368</v>
      </c>
      <c r="H283" s="884">
        <v>43991</v>
      </c>
      <c r="I283" s="1021">
        <v>63141</v>
      </c>
      <c r="J283" s="931" t="s">
        <v>3423</v>
      </c>
      <c r="K283" s="957">
        <v>43992</v>
      </c>
      <c r="L283" s="22" t="s">
        <v>3780</v>
      </c>
      <c r="M283" s="28" t="s">
        <v>415</v>
      </c>
      <c r="N283" s="22" t="s">
        <v>51</v>
      </c>
      <c r="O283" s="29">
        <v>22000</v>
      </c>
      <c r="P283" s="100"/>
      <c r="Q283" s="29">
        <f t="shared" si="417"/>
        <v>22000</v>
      </c>
      <c r="R283" s="61"/>
      <c r="S283" s="96"/>
      <c r="T283" s="97"/>
      <c r="U283" s="98"/>
      <c r="V283" s="1225"/>
      <c r="W283" s="1225"/>
      <c r="X283" s="100"/>
      <c r="Y283" s="1225"/>
      <c r="Z283" s="1225"/>
      <c r="AA283" s="1225"/>
      <c r="AB283" s="1225"/>
      <c r="AC283" s="100"/>
      <c r="AD283" s="595"/>
      <c r="AE283" s="40"/>
      <c r="AF283" s="1186"/>
      <c r="AG283" s="41"/>
      <c r="AH283" s="63"/>
      <c r="AI283" s="52"/>
      <c r="AJ283" s="53"/>
      <c r="AK283" s="39"/>
      <c r="AL283" s="39"/>
      <c r="AM283" s="39"/>
      <c r="AN283" s="21"/>
      <c r="AO283" s="1327">
        <v>1</v>
      </c>
      <c r="AP283" s="45" t="s">
        <v>3781</v>
      </c>
      <c r="AQ283" s="46" t="s">
        <v>3423</v>
      </c>
      <c r="AR283" s="46"/>
      <c r="AS283" s="47">
        <v>2</v>
      </c>
      <c r="AT283" s="48" t="s">
        <v>636</v>
      </c>
      <c r="AU283" s="1327"/>
      <c r="AV283" s="54"/>
      <c r="AW283" s="1327"/>
      <c r="AX283" s="1327"/>
      <c r="AY283" s="1327"/>
      <c r="AZ283" s="54"/>
      <c r="BA283" s="1327"/>
      <c r="BB283" s="54"/>
      <c r="BC283" s="1327"/>
      <c r="BD283" s="1327"/>
      <c r="BE283" s="1327"/>
      <c r="BF283" s="54"/>
      <c r="BG283" s="1327"/>
      <c r="BH283" s="54"/>
      <c r="BI283" s="1327"/>
      <c r="BJ283" s="1327"/>
      <c r="BK283" s="1327"/>
      <c r="BL283" s="54"/>
      <c r="BM283" s="1327"/>
      <c r="BN283" s="54"/>
      <c r="BO283" s="1327"/>
      <c r="BP283" s="1327"/>
      <c r="BQ283" s="1327"/>
      <c r="BR283" s="54"/>
      <c r="BS283" s="1327"/>
      <c r="BT283" s="54"/>
      <c r="BU283" s="1327"/>
      <c r="BV283" s="1327"/>
      <c r="BW283" s="1327"/>
      <c r="BX283" s="54"/>
      <c r="BY283" s="1327"/>
      <c r="BZ283" s="54"/>
      <c r="CA283" s="1327"/>
      <c r="CB283" s="1327"/>
      <c r="CC283" s="1327"/>
      <c r="CD283" s="54"/>
      <c r="CE283" s="1327"/>
      <c r="CF283" s="54"/>
      <c r="CG283" s="1327"/>
      <c r="CH283" s="1327"/>
      <c r="CI283" s="1327"/>
      <c r="CJ283" s="1327"/>
    </row>
    <row r="284" spans="1:88" x14ac:dyDescent="0.5">
      <c r="A284" s="227">
        <v>20046548</v>
      </c>
      <c r="B284" s="22">
        <v>20040289</v>
      </c>
      <c r="C284" s="1236" t="s">
        <v>1397</v>
      </c>
      <c r="D284" s="1237" t="s">
        <v>2691</v>
      </c>
      <c r="E284" s="749">
        <v>43955</v>
      </c>
      <c r="F284" s="938" t="s">
        <v>3368</v>
      </c>
      <c r="G284" s="939" t="s">
        <v>1391</v>
      </c>
      <c r="H284" s="749">
        <v>43956</v>
      </c>
      <c r="I284" s="1125">
        <v>63108</v>
      </c>
      <c r="J284" s="961" t="s">
        <v>3423</v>
      </c>
      <c r="K284" s="966">
        <v>43958</v>
      </c>
      <c r="L284" s="22" t="s">
        <v>2640</v>
      </c>
      <c r="M284" s="28" t="s">
        <v>3760</v>
      </c>
      <c r="N284" s="22" t="s">
        <v>1523</v>
      </c>
      <c r="O284" s="29">
        <v>50000</v>
      </c>
      <c r="P284" s="29">
        <f t="shared" si="430"/>
        <v>3500</v>
      </c>
      <c r="Q284" s="29">
        <f t="shared" si="417"/>
        <v>53500</v>
      </c>
      <c r="R284" s="61"/>
      <c r="S284" s="31" t="s">
        <v>3735</v>
      </c>
      <c r="T284" s="32">
        <f t="shared" si="431"/>
        <v>50000</v>
      </c>
      <c r="U284" s="33">
        <v>5</v>
      </c>
      <c r="V284" s="1251">
        <f t="shared" ref="V284" si="436">T284*U284/100</f>
        <v>2500</v>
      </c>
      <c r="W284" s="1231">
        <v>75.91</v>
      </c>
      <c r="X284" s="100"/>
      <c r="Y284" s="1225"/>
      <c r="Z284" s="1225"/>
      <c r="AA284" s="1225"/>
      <c r="AB284" s="1225"/>
      <c r="AC284" s="100"/>
      <c r="AD284" s="595"/>
      <c r="AE284" s="40">
        <v>20050118</v>
      </c>
      <c r="AF284" s="1186" t="s">
        <v>3423</v>
      </c>
      <c r="AG284" s="41">
        <v>50000</v>
      </c>
      <c r="AH284" s="63">
        <f t="shared" si="418"/>
        <v>3500</v>
      </c>
      <c r="AI284" s="52">
        <f t="shared" si="419"/>
        <v>53500</v>
      </c>
      <c r="AJ284" s="53">
        <v>43955</v>
      </c>
      <c r="AK284" s="39" t="s">
        <v>3423</v>
      </c>
      <c r="AL284" s="39"/>
      <c r="AM284" s="39"/>
      <c r="AN284" s="21" t="s">
        <v>4043</v>
      </c>
      <c r="AO284" s="1314">
        <v>1</v>
      </c>
      <c r="AP284" s="45" t="s">
        <v>1607</v>
      </c>
      <c r="AQ284" s="46"/>
      <c r="AR284" s="46" t="s">
        <v>3423</v>
      </c>
      <c r="AS284" s="47">
        <v>1</v>
      </c>
      <c r="AT284" s="48" t="s">
        <v>636</v>
      </c>
      <c r="AU284" s="1320"/>
      <c r="AV284" s="54"/>
      <c r="AW284" s="1320"/>
      <c r="AX284" s="1320"/>
      <c r="AY284" s="1320"/>
      <c r="AZ284" s="54"/>
      <c r="BA284" s="1320"/>
      <c r="BB284" s="54"/>
      <c r="BC284" s="1320"/>
      <c r="BD284" s="1320"/>
      <c r="BE284" s="1320"/>
      <c r="BF284" s="54"/>
      <c r="BG284" s="1320"/>
      <c r="BH284" s="54"/>
      <c r="BI284" s="1320"/>
      <c r="BJ284" s="1320"/>
      <c r="BK284" s="1320"/>
      <c r="BL284" s="54"/>
      <c r="BM284" s="1320"/>
      <c r="BN284" s="54"/>
      <c r="BO284" s="1320"/>
      <c r="BP284" s="1320"/>
      <c r="BQ284" s="1320"/>
      <c r="BR284" s="54"/>
      <c r="BS284" s="1320"/>
      <c r="BT284" s="54"/>
      <c r="BU284" s="1320"/>
      <c r="BV284" s="1320"/>
      <c r="BW284" s="1320"/>
      <c r="BX284" s="54"/>
      <c r="BY284" s="1320"/>
      <c r="BZ284" s="54"/>
      <c r="CA284" s="1320"/>
      <c r="CB284" s="1320"/>
      <c r="CC284" s="1320"/>
      <c r="CD284" s="54"/>
      <c r="CE284" s="1320"/>
      <c r="CF284" s="54"/>
      <c r="CG284" s="1320"/>
      <c r="CH284" s="1320"/>
      <c r="CI284" s="1320"/>
      <c r="CJ284" s="1320"/>
    </row>
    <row r="285" spans="1:88" x14ac:dyDescent="0.5">
      <c r="A285" s="103">
        <v>20046547</v>
      </c>
      <c r="B285" s="104">
        <v>20040276</v>
      </c>
      <c r="C285" s="242"/>
      <c r="D285" s="243"/>
      <c r="E285" s="912"/>
      <c r="F285" s="244"/>
      <c r="G285" s="245"/>
      <c r="H285" s="246"/>
      <c r="I285" s="247"/>
      <c r="J285" s="306"/>
      <c r="K285" s="246"/>
      <c r="L285" s="104" t="s">
        <v>2684</v>
      </c>
      <c r="M285" s="110" t="s">
        <v>3137</v>
      </c>
      <c r="N285" s="104" t="s">
        <v>51</v>
      </c>
      <c r="O285" s="111">
        <v>17050</v>
      </c>
      <c r="P285" s="111">
        <f t="shared" si="323"/>
        <v>1193.5</v>
      </c>
      <c r="Q285" s="111">
        <f t="shared" si="411"/>
        <v>18243.5</v>
      </c>
      <c r="R285" s="212"/>
      <c r="S285" s="165"/>
      <c r="T285" s="166"/>
      <c r="U285" s="167"/>
      <c r="V285" s="1302"/>
      <c r="W285" s="1302"/>
      <c r="X285" s="231"/>
      <c r="Y285" s="1302"/>
      <c r="Z285" s="1302"/>
      <c r="AA285" s="1302"/>
      <c r="AB285" s="1302"/>
      <c r="AC285" s="231"/>
      <c r="AD285" s="1309"/>
      <c r="AE285" s="771">
        <v>20040103</v>
      </c>
      <c r="AF285" s="1409" t="s">
        <v>3423</v>
      </c>
      <c r="AG285" s="819">
        <v>17050</v>
      </c>
      <c r="AH285" s="820">
        <f t="shared" si="330"/>
        <v>1193.5</v>
      </c>
      <c r="AI285" s="821">
        <f t="shared" si="412"/>
        <v>18243.5</v>
      </c>
      <c r="AJ285" s="822">
        <v>43972</v>
      </c>
      <c r="AK285" s="775"/>
      <c r="AL285" s="775"/>
      <c r="AM285" s="775" t="s">
        <v>3423</v>
      </c>
      <c r="AN285" s="222"/>
      <c r="AO285" s="128">
        <v>1</v>
      </c>
      <c r="AP285" s="129" t="s">
        <v>3758</v>
      </c>
      <c r="AQ285" s="130"/>
      <c r="AR285" s="130"/>
      <c r="AS285" s="131">
        <v>1</v>
      </c>
      <c r="AT285" s="132" t="s">
        <v>628</v>
      </c>
      <c r="AU285" s="128">
        <v>2</v>
      </c>
      <c r="AV285" s="123" t="s">
        <v>3759</v>
      </c>
      <c r="AW285" s="131"/>
      <c r="AX285" s="131"/>
      <c r="AY285" s="131">
        <v>1</v>
      </c>
      <c r="AZ285" s="169" t="s">
        <v>628</v>
      </c>
      <c r="BA285" s="128"/>
      <c r="BB285" s="133"/>
      <c r="BC285" s="128"/>
      <c r="BD285" s="128"/>
      <c r="BE285" s="128"/>
      <c r="BF285" s="133"/>
      <c r="BG285" s="128"/>
      <c r="BH285" s="133"/>
      <c r="BI285" s="128"/>
      <c r="BJ285" s="128"/>
      <c r="BK285" s="128"/>
      <c r="BL285" s="133"/>
      <c r="BM285" s="128"/>
      <c r="BN285" s="133"/>
      <c r="BO285" s="128"/>
      <c r="BP285" s="128"/>
      <c r="BQ285" s="128"/>
      <c r="BR285" s="133"/>
      <c r="BS285" s="128"/>
      <c r="BT285" s="133"/>
      <c r="BU285" s="128"/>
      <c r="BV285" s="128"/>
      <c r="BW285" s="128"/>
      <c r="BX285" s="133"/>
      <c r="BY285" s="128"/>
      <c r="BZ285" s="133"/>
      <c r="CA285" s="128"/>
      <c r="CB285" s="128"/>
      <c r="CC285" s="128"/>
      <c r="CD285" s="133"/>
      <c r="CE285" s="128"/>
      <c r="CF285" s="133"/>
      <c r="CG285" s="128"/>
      <c r="CH285" s="128"/>
      <c r="CI285" s="128"/>
      <c r="CJ285" s="128"/>
    </row>
    <row r="286" spans="1:88" x14ac:dyDescent="0.5">
      <c r="A286" s="134"/>
      <c r="B286" s="135"/>
      <c r="C286" s="276"/>
      <c r="D286" s="277"/>
      <c r="E286" s="1054"/>
      <c r="F286" s="278"/>
      <c r="G286" s="279"/>
      <c r="H286" s="280"/>
      <c r="I286" s="281"/>
      <c r="J286" s="836"/>
      <c r="K286" s="280"/>
      <c r="L286" s="135"/>
      <c r="M286" s="141"/>
      <c r="N286" s="135"/>
      <c r="O286" s="142"/>
      <c r="P286" s="142"/>
      <c r="Q286" s="142"/>
      <c r="R286" s="213"/>
      <c r="S286" s="172"/>
      <c r="T286" s="173"/>
      <c r="U286" s="174"/>
      <c r="V286" s="1296"/>
      <c r="W286" s="1296"/>
      <c r="X286" s="282"/>
      <c r="Y286" s="1296"/>
      <c r="Z286" s="1296"/>
      <c r="AA286" s="1296"/>
      <c r="AB286" s="1296"/>
      <c r="AC286" s="282"/>
      <c r="AD286" s="1311"/>
      <c r="AE286" s="154" t="s">
        <v>4477</v>
      </c>
      <c r="AF286" s="1298" t="s">
        <v>3423</v>
      </c>
      <c r="AG286" s="155">
        <v>17050</v>
      </c>
      <c r="AH286" s="253">
        <f t="shared" si="330"/>
        <v>1193.5</v>
      </c>
      <c r="AI286" s="156">
        <f t="shared" si="412"/>
        <v>18243.5</v>
      </c>
      <c r="AJ286" s="157">
        <v>44138</v>
      </c>
      <c r="AK286" s="152"/>
      <c r="AL286" s="152"/>
      <c r="AM286" s="152" t="s">
        <v>3423</v>
      </c>
      <c r="AN286" s="134"/>
      <c r="AO286" s="158"/>
      <c r="AP286" s="159"/>
      <c r="AQ286" s="160"/>
      <c r="AR286" s="160"/>
      <c r="AS286" s="161"/>
      <c r="AT286" s="162"/>
      <c r="AU286" s="158"/>
      <c r="AV286" s="154"/>
      <c r="AW286" s="161"/>
      <c r="AX286" s="161"/>
      <c r="AY286" s="161"/>
      <c r="AZ286" s="177"/>
      <c r="BA286" s="158"/>
      <c r="BB286" s="163"/>
      <c r="BC286" s="158"/>
      <c r="BD286" s="158"/>
      <c r="BE286" s="158"/>
      <c r="BF286" s="163"/>
      <c r="BG286" s="158"/>
      <c r="BH286" s="163"/>
      <c r="BI286" s="158"/>
      <c r="BJ286" s="158"/>
      <c r="BK286" s="158"/>
      <c r="BL286" s="163"/>
      <c r="BM286" s="158"/>
      <c r="BN286" s="163"/>
      <c r="BO286" s="158"/>
      <c r="BP286" s="158"/>
      <c r="BQ286" s="158"/>
      <c r="BR286" s="163"/>
      <c r="BS286" s="158"/>
      <c r="BT286" s="163"/>
      <c r="BU286" s="158"/>
      <c r="BV286" s="158"/>
      <c r="BW286" s="158"/>
      <c r="BX286" s="163"/>
      <c r="BY286" s="158"/>
      <c r="BZ286" s="163"/>
      <c r="CA286" s="158"/>
      <c r="CB286" s="158"/>
      <c r="CC286" s="158"/>
      <c r="CD286" s="163"/>
      <c r="CE286" s="158"/>
      <c r="CF286" s="163"/>
      <c r="CG286" s="158"/>
      <c r="CH286" s="158"/>
      <c r="CI286" s="158"/>
      <c r="CJ286" s="158"/>
    </row>
    <row r="287" spans="1:88" s="1213" customFormat="1" ht="43.5" x14ac:dyDescent="0.45">
      <c r="A287" s="369">
        <v>20046546</v>
      </c>
      <c r="B287" s="370">
        <v>20040269</v>
      </c>
      <c r="C287" s="1346" t="s">
        <v>1398</v>
      </c>
      <c r="D287" s="1347" t="s">
        <v>2691</v>
      </c>
      <c r="E287" s="1348" t="s">
        <v>3715</v>
      </c>
      <c r="F287" s="1358" t="s">
        <v>3821</v>
      </c>
      <c r="G287" s="1359" t="s">
        <v>3820</v>
      </c>
      <c r="H287" s="1360">
        <v>43949</v>
      </c>
      <c r="I287" s="1361">
        <v>63104</v>
      </c>
      <c r="J287" s="1362"/>
      <c r="K287" s="1363">
        <v>43950</v>
      </c>
      <c r="L287" s="370" t="s">
        <v>10</v>
      </c>
      <c r="M287" s="1349" t="s">
        <v>3716</v>
      </c>
      <c r="N287" s="370" t="s">
        <v>51</v>
      </c>
      <c r="O287" s="1350">
        <v>252000</v>
      </c>
      <c r="P287" s="1350">
        <f t="shared" ref="P287:P291" si="437">O287*7/100</f>
        <v>17640</v>
      </c>
      <c r="Q287" s="1350">
        <f t="shared" si="411"/>
        <v>269640</v>
      </c>
      <c r="R287" s="1351"/>
      <c r="S287" s="464"/>
      <c r="T287" s="421"/>
      <c r="U287" s="167"/>
      <c r="V287" s="167"/>
      <c r="W287" s="167"/>
      <c r="X287" s="1352"/>
      <c r="Y287" s="167"/>
      <c r="Z287" s="167"/>
      <c r="AA287" s="167"/>
      <c r="AB287" s="167"/>
      <c r="AC287" s="1352"/>
      <c r="AD287" s="1353"/>
      <c r="AE287" s="386">
        <v>20040113</v>
      </c>
      <c r="AF287" s="1450"/>
      <c r="AG287" s="1451">
        <v>126000</v>
      </c>
      <c r="AH287" s="387">
        <f t="shared" ref="AH287:AH293" si="438">AG287*7/100</f>
        <v>8820</v>
      </c>
      <c r="AI287" s="1452">
        <f t="shared" si="412"/>
        <v>134820</v>
      </c>
      <c r="AJ287" s="221">
        <v>43995</v>
      </c>
      <c r="AK287" s="654" t="s">
        <v>3423</v>
      </c>
      <c r="AL287" s="654"/>
      <c r="AM287" s="654"/>
      <c r="AN287" s="656" t="s">
        <v>3997</v>
      </c>
      <c r="AO287" s="390">
        <v>1</v>
      </c>
      <c r="AP287" s="1354" t="s">
        <v>1341</v>
      </c>
      <c r="AQ287" s="1355"/>
      <c r="AR287" s="1355" t="s">
        <v>3423</v>
      </c>
      <c r="AS287" s="392">
        <v>4</v>
      </c>
      <c r="AT287" s="1356" t="s">
        <v>633</v>
      </c>
      <c r="AU287" s="390"/>
      <c r="AV287" s="1357"/>
      <c r="AW287" s="390"/>
      <c r="AX287" s="390"/>
      <c r="AY287" s="390"/>
      <c r="AZ287" s="1357"/>
      <c r="BA287" s="390"/>
      <c r="BB287" s="1357"/>
      <c r="BC287" s="390"/>
      <c r="BD287" s="390"/>
      <c r="BE287" s="390"/>
      <c r="BF287" s="1357"/>
      <c r="BG287" s="390"/>
      <c r="BH287" s="1357"/>
      <c r="BI287" s="390"/>
      <c r="BJ287" s="390"/>
      <c r="BK287" s="390"/>
      <c r="BL287" s="1357"/>
      <c r="BM287" s="390"/>
      <c r="BN287" s="1357"/>
      <c r="BO287" s="390"/>
      <c r="BP287" s="390"/>
      <c r="BQ287" s="390"/>
      <c r="BR287" s="1357"/>
      <c r="BS287" s="390"/>
      <c r="BT287" s="1357"/>
      <c r="BU287" s="390"/>
      <c r="BV287" s="390"/>
      <c r="BW287" s="390"/>
      <c r="BX287" s="1357"/>
      <c r="BY287" s="390"/>
      <c r="BZ287" s="1357"/>
      <c r="CA287" s="390"/>
      <c r="CB287" s="390"/>
      <c r="CC287" s="390"/>
      <c r="CD287" s="1357"/>
      <c r="CE287" s="390"/>
      <c r="CF287" s="1357"/>
      <c r="CG287" s="390"/>
      <c r="CH287" s="390"/>
      <c r="CI287" s="390"/>
      <c r="CJ287" s="390"/>
    </row>
    <row r="288" spans="1:88" s="1213" customFormat="1" x14ac:dyDescent="0.45">
      <c r="A288" s="396"/>
      <c r="B288" s="241"/>
      <c r="C288" s="1329"/>
      <c r="D288" s="1330"/>
      <c r="E288" s="1331"/>
      <c r="F288" s="1332" t="s">
        <v>3368</v>
      </c>
      <c r="G288" s="1333" t="s">
        <v>1390</v>
      </c>
      <c r="H288" s="545">
        <v>43956</v>
      </c>
      <c r="I288" s="1334">
        <v>63107</v>
      </c>
      <c r="J288" s="1335" t="s">
        <v>3423</v>
      </c>
      <c r="K288" s="1336">
        <v>43956</v>
      </c>
      <c r="L288" s="241"/>
      <c r="M288" s="1337"/>
      <c r="N288" s="241"/>
      <c r="O288" s="1338"/>
      <c r="P288" s="1338"/>
      <c r="Q288" s="1338"/>
      <c r="R288" s="1339"/>
      <c r="S288" s="467"/>
      <c r="T288" s="426"/>
      <c r="U288" s="193"/>
      <c r="V288" s="193"/>
      <c r="W288" s="193"/>
      <c r="X288" s="1340"/>
      <c r="Y288" s="193"/>
      <c r="Z288" s="193"/>
      <c r="AA288" s="193"/>
      <c r="AB288" s="193"/>
      <c r="AC288" s="1340"/>
      <c r="AD288" s="1341"/>
      <c r="AE288" s="413">
        <v>20050117</v>
      </c>
      <c r="AF288" s="1342" t="s">
        <v>3423</v>
      </c>
      <c r="AG288" s="1343">
        <v>126000</v>
      </c>
      <c r="AH288" s="402">
        <f t="shared" si="438"/>
        <v>8820</v>
      </c>
      <c r="AI288" s="1344">
        <f t="shared" si="412"/>
        <v>134820</v>
      </c>
      <c r="AJ288" s="203">
        <v>44000</v>
      </c>
      <c r="AK288" s="412" t="s">
        <v>3423</v>
      </c>
      <c r="AL288" s="412"/>
      <c r="AM288" s="412"/>
      <c r="AN288" s="580" t="s">
        <v>3997</v>
      </c>
      <c r="AO288" s="420"/>
      <c r="AP288" s="1345"/>
      <c r="AQ288" s="514"/>
      <c r="AR288" s="514"/>
      <c r="AS288" s="418"/>
      <c r="AT288" s="515"/>
      <c r="AU288" s="420"/>
      <c r="AV288" s="581"/>
      <c r="AW288" s="420"/>
      <c r="AX288" s="420"/>
      <c r="AY288" s="420"/>
      <c r="AZ288" s="581"/>
      <c r="BA288" s="420"/>
      <c r="BB288" s="581"/>
      <c r="BC288" s="420"/>
      <c r="BD288" s="420"/>
      <c r="BE288" s="420"/>
      <c r="BF288" s="581"/>
      <c r="BG288" s="420"/>
      <c r="BH288" s="581"/>
      <c r="BI288" s="420"/>
      <c r="BJ288" s="420"/>
      <c r="BK288" s="420"/>
      <c r="BL288" s="581"/>
      <c r="BM288" s="420"/>
      <c r="BN288" s="581"/>
      <c r="BO288" s="420"/>
      <c r="BP288" s="420"/>
      <c r="BQ288" s="420"/>
      <c r="BR288" s="581"/>
      <c r="BS288" s="420"/>
      <c r="BT288" s="581"/>
      <c r="BU288" s="420"/>
      <c r="BV288" s="420"/>
      <c r="BW288" s="420"/>
      <c r="BX288" s="581"/>
      <c r="BY288" s="420"/>
      <c r="BZ288" s="581"/>
      <c r="CA288" s="420"/>
      <c r="CB288" s="420"/>
      <c r="CC288" s="420"/>
      <c r="CD288" s="581"/>
      <c r="CE288" s="420"/>
      <c r="CF288" s="581"/>
      <c r="CG288" s="420"/>
      <c r="CH288" s="420"/>
      <c r="CI288" s="420"/>
      <c r="CJ288" s="420"/>
    </row>
    <row r="289" spans="1:88" x14ac:dyDescent="0.5">
      <c r="A289" s="103">
        <v>20046545</v>
      </c>
      <c r="B289" s="104">
        <v>20040266</v>
      </c>
      <c r="C289" s="1243" t="s">
        <v>1399</v>
      </c>
      <c r="D289" s="1244" t="s">
        <v>2691</v>
      </c>
      <c r="E289" s="302">
        <v>43955</v>
      </c>
      <c r="F289" s="936" t="s">
        <v>3368</v>
      </c>
      <c r="G289" s="937" t="s">
        <v>1376</v>
      </c>
      <c r="H289" s="302">
        <v>43979</v>
      </c>
      <c r="I289" s="1124">
        <v>63130</v>
      </c>
      <c r="J289" s="960" t="s">
        <v>3423</v>
      </c>
      <c r="K289" s="965">
        <v>43980</v>
      </c>
      <c r="L289" s="104" t="s">
        <v>3717</v>
      </c>
      <c r="M289" s="110" t="s">
        <v>3718</v>
      </c>
      <c r="N289" s="104" t="s">
        <v>50</v>
      </c>
      <c r="O289" s="111">
        <v>470000</v>
      </c>
      <c r="P289" s="111">
        <f t="shared" si="437"/>
        <v>32900</v>
      </c>
      <c r="Q289" s="111">
        <f t="shared" si="411"/>
        <v>502900</v>
      </c>
      <c r="R289" s="212"/>
      <c r="S289" s="113" t="s">
        <v>3839</v>
      </c>
      <c r="T289" s="114">
        <f t="shared" si="413"/>
        <v>470000</v>
      </c>
      <c r="U289" s="167"/>
      <c r="V289" s="1252">
        <v>20000</v>
      </c>
      <c r="W289" s="1245">
        <v>43.81</v>
      </c>
      <c r="X289" s="1246">
        <f t="shared" si="415"/>
        <v>450000</v>
      </c>
      <c r="Y289" s="1247">
        <f t="shared" ref="Y289:Y291" si="439">SUM((50-W289)/(100)*(2.5)+(0.5))</f>
        <v>0.65474999999999994</v>
      </c>
      <c r="Z289" s="1247">
        <f>450000*0.65/100</f>
        <v>2925</v>
      </c>
      <c r="AA289" s="1265">
        <v>0.5</v>
      </c>
      <c r="AB289" s="1265">
        <f t="shared" ref="AB289:AB291" si="440">X289*AA289/100</f>
        <v>2250</v>
      </c>
      <c r="AC289" s="119">
        <v>0.2</v>
      </c>
      <c r="AD289" s="1248">
        <f t="shared" si="416"/>
        <v>900</v>
      </c>
      <c r="AE289" s="123">
        <v>20040097</v>
      </c>
      <c r="AF289" s="1249" t="s">
        <v>1205</v>
      </c>
      <c r="AG289" s="124">
        <v>141000</v>
      </c>
      <c r="AH289" s="260">
        <f t="shared" si="438"/>
        <v>9870</v>
      </c>
      <c r="AI289" s="125">
        <f t="shared" si="412"/>
        <v>150870</v>
      </c>
      <c r="AJ289" s="126">
        <v>43934</v>
      </c>
      <c r="AK289" s="127" t="s">
        <v>3423</v>
      </c>
      <c r="AL289" s="127"/>
      <c r="AM289" s="127"/>
      <c r="AN289" s="103" t="s">
        <v>4036</v>
      </c>
      <c r="AO289" s="128">
        <v>1</v>
      </c>
      <c r="AP289" s="129" t="s">
        <v>3719</v>
      </c>
      <c r="AQ289" s="130" t="s">
        <v>3423</v>
      </c>
      <c r="AR289" s="130"/>
      <c r="AS289" s="131">
        <v>2</v>
      </c>
      <c r="AT289" s="132" t="s">
        <v>636</v>
      </c>
      <c r="AU289" s="128"/>
      <c r="AV289" s="133"/>
      <c r="AW289" s="128"/>
      <c r="AX289" s="128"/>
      <c r="AY289" s="128"/>
      <c r="AZ289" s="133"/>
      <c r="BA289" s="128"/>
      <c r="BB289" s="133"/>
      <c r="BC289" s="128"/>
      <c r="BD289" s="128"/>
      <c r="BE289" s="128"/>
      <c r="BF289" s="133"/>
      <c r="BG289" s="128"/>
      <c r="BH289" s="133"/>
      <c r="BI289" s="128"/>
      <c r="BJ289" s="128"/>
      <c r="BK289" s="128"/>
      <c r="BL289" s="133"/>
      <c r="BM289" s="128"/>
      <c r="BN289" s="133"/>
      <c r="BO289" s="128"/>
      <c r="BP289" s="128"/>
      <c r="BQ289" s="128"/>
      <c r="BR289" s="133"/>
      <c r="BS289" s="128"/>
      <c r="BT289" s="133"/>
      <c r="BU289" s="128"/>
      <c r="BV289" s="128"/>
      <c r="BW289" s="128"/>
      <c r="BX289" s="133"/>
      <c r="BY289" s="128"/>
      <c r="BZ289" s="133"/>
      <c r="CA289" s="128"/>
      <c r="CB289" s="128"/>
      <c r="CC289" s="128"/>
      <c r="CD289" s="133"/>
      <c r="CE289" s="128"/>
      <c r="CF289" s="133"/>
      <c r="CG289" s="128"/>
      <c r="CH289" s="128"/>
      <c r="CI289" s="128"/>
      <c r="CJ289" s="128"/>
    </row>
    <row r="290" spans="1:88" x14ac:dyDescent="0.5">
      <c r="A290" s="134"/>
      <c r="B290" s="135"/>
      <c r="C290" s="1290"/>
      <c r="D290" s="1291"/>
      <c r="E290" s="906"/>
      <c r="F290" s="940"/>
      <c r="G290" s="941"/>
      <c r="H290" s="906">
        <v>43979</v>
      </c>
      <c r="I290" s="1138">
        <v>63131</v>
      </c>
      <c r="J290" s="963"/>
      <c r="K290" s="964"/>
      <c r="L290" s="135"/>
      <c r="M290" s="141"/>
      <c r="N290" s="135"/>
      <c r="O290" s="142"/>
      <c r="P290" s="142"/>
      <c r="Q290" s="142"/>
      <c r="R290" s="213"/>
      <c r="S290" s="144"/>
      <c r="T290" s="145"/>
      <c r="U290" s="174"/>
      <c r="V290" s="1292"/>
      <c r="W290" s="1293"/>
      <c r="X290" s="1294"/>
      <c r="Y290" s="1295"/>
      <c r="Z290" s="1295"/>
      <c r="AA290" s="1308"/>
      <c r="AB290" s="1308"/>
      <c r="AC290" s="150"/>
      <c r="AD290" s="1297"/>
      <c r="AE290" s="154"/>
      <c r="AF290" s="1298"/>
      <c r="AG290" s="155"/>
      <c r="AH290" s="253"/>
      <c r="AI290" s="156"/>
      <c r="AJ290" s="157"/>
      <c r="AK290" s="152"/>
      <c r="AL290" s="152"/>
      <c r="AM290" s="152"/>
      <c r="AN290" s="134"/>
      <c r="AO290" s="158"/>
      <c r="AP290" s="159"/>
      <c r="AQ290" s="160"/>
      <c r="AR290" s="160"/>
      <c r="AS290" s="161"/>
      <c r="AT290" s="162"/>
      <c r="AU290" s="158"/>
      <c r="AV290" s="163"/>
      <c r="AW290" s="158"/>
      <c r="AX290" s="158"/>
      <c r="AY290" s="158"/>
      <c r="AZ290" s="163"/>
      <c r="BA290" s="158"/>
      <c r="BB290" s="163"/>
      <c r="BC290" s="158"/>
      <c r="BD290" s="158"/>
      <c r="BE290" s="158"/>
      <c r="BF290" s="163"/>
      <c r="BG290" s="158"/>
      <c r="BH290" s="163"/>
      <c r="BI290" s="158"/>
      <c r="BJ290" s="158"/>
      <c r="BK290" s="158"/>
      <c r="BL290" s="163"/>
      <c r="BM290" s="158"/>
      <c r="BN290" s="163"/>
      <c r="BO290" s="158"/>
      <c r="BP290" s="158"/>
      <c r="BQ290" s="158"/>
      <c r="BR290" s="163"/>
      <c r="BS290" s="158"/>
      <c r="BT290" s="163"/>
      <c r="BU290" s="158"/>
      <c r="BV290" s="158"/>
      <c r="BW290" s="158"/>
      <c r="BX290" s="163"/>
      <c r="BY290" s="158"/>
      <c r="BZ290" s="163"/>
      <c r="CA290" s="158"/>
      <c r="CB290" s="158"/>
      <c r="CC290" s="158"/>
      <c r="CD290" s="163"/>
      <c r="CE290" s="158"/>
      <c r="CF290" s="163"/>
      <c r="CG290" s="158"/>
      <c r="CH290" s="158"/>
      <c r="CI290" s="158"/>
      <c r="CJ290" s="158"/>
    </row>
    <row r="291" spans="1:88" x14ac:dyDescent="0.5">
      <c r="A291" s="259">
        <v>20046544</v>
      </c>
      <c r="B291" s="104">
        <v>20040262</v>
      </c>
      <c r="C291" s="1243" t="s">
        <v>1400</v>
      </c>
      <c r="D291" s="1244" t="s">
        <v>2691</v>
      </c>
      <c r="E291" s="302">
        <v>43945</v>
      </c>
      <c r="F291" s="936" t="s">
        <v>3368</v>
      </c>
      <c r="G291" s="937" t="s">
        <v>1380</v>
      </c>
      <c r="H291" s="302">
        <v>43969</v>
      </c>
      <c r="I291" s="1124">
        <v>63117</v>
      </c>
      <c r="J291" s="960" t="s">
        <v>3423</v>
      </c>
      <c r="K291" s="965">
        <v>43969</v>
      </c>
      <c r="L291" s="104" t="s">
        <v>3210</v>
      </c>
      <c r="M291" s="110" t="s">
        <v>3720</v>
      </c>
      <c r="N291" s="104" t="s">
        <v>50</v>
      </c>
      <c r="O291" s="111">
        <v>113600</v>
      </c>
      <c r="P291" s="111">
        <f t="shared" si="437"/>
        <v>7952</v>
      </c>
      <c r="Q291" s="111">
        <f t="shared" si="411"/>
        <v>121552</v>
      </c>
      <c r="R291" s="311">
        <v>17500</v>
      </c>
      <c r="S291" s="113" t="s">
        <v>3410</v>
      </c>
      <c r="T291" s="114">
        <f t="shared" si="413"/>
        <v>96100</v>
      </c>
      <c r="U291" s="167"/>
      <c r="V291" s="1252">
        <v>15000</v>
      </c>
      <c r="W291" s="1245">
        <v>58.87</v>
      </c>
      <c r="X291" s="1246">
        <f t="shared" si="415"/>
        <v>81100</v>
      </c>
      <c r="Y291" s="1247">
        <f t="shared" si="439"/>
        <v>0.27825000000000005</v>
      </c>
      <c r="Z291" s="1247">
        <f>X291*0.28/100</f>
        <v>227.08000000000004</v>
      </c>
      <c r="AA291" s="1265">
        <v>0.5</v>
      </c>
      <c r="AB291" s="1265">
        <f t="shared" si="440"/>
        <v>405.5</v>
      </c>
      <c r="AC291" s="119">
        <v>0.2</v>
      </c>
      <c r="AD291" s="1248">
        <f t="shared" si="416"/>
        <v>162.19999999999999</v>
      </c>
      <c r="AE291" s="229">
        <v>20040095</v>
      </c>
      <c r="AF291" s="1313"/>
      <c r="AG291" s="230">
        <v>56800</v>
      </c>
      <c r="AH291" s="233">
        <f t="shared" si="438"/>
        <v>3976</v>
      </c>
      <c r="AI291" s="220">
        <f t="shared" si="412"/>
        <v>60776</v>
      </c>
      <c r="AJ291" s="221">
        <v>43930</v>
      </c>
      <c r="AK291" s="121" t="s">
        <v>3423</v>
      </c>
      <c r="AL291" s="121"/>
      <c r="AM291" s="121"/>
      <c r="AN291" s="222" t="s">
        <v>3801</v>
      </c>
      <c r="AO291" s="128">
        <v>1</v>
      </c>
      <c r="AP291" s="129" t="s">
        <v>1607</v>
      </c>
      <c r="AQ291" s="130"/>
      <c r="AR291" s="130" t="s">
        <v>3423</v>
      </c>
      <c r="AS291" s="131">
        <v>1</v>
      </c>
      <c r="AT291" s="132" t="s">
        <v>636</v>
      </c>
      <c r="AU291" s="128"/>
      <c r="AV291" s="133"/>
      <c r="AW291" s="128"/>
      <c r="AX291" s="128"/>
      <c r="AY291" s="128"/>
      <c r="AZ291" s="133"/>
      <c r="BA291" s="128"/>
      <c r="BB291" s="133"/>
      <c r="BC291" s="128"/>
      <c r="BD291" s="128"/>
      <c r="BE291" s="128"/>
      <c r="BF291" s="133"/>
      <c r="BG291" s="128"/>
      <c r="BH291" s="133"/>
      <c r="BI291" s="128"/>
      <c r="BJ291" s="128"/>
      <c r="BK291" s="128"/>
      <c r="BL291" s="133"/>
      <c r="BM291" s="128"/>
      <c r="BN291" s="133"/>
      <c r="BO291" s="128"/>
      <c r="BP291" s="128"/>
      <c r="BQ291" s="128"/>
      <c r="BR291" s="133"/>
      <c r="BS291" s="128"/>
      <c r="BT291" s="133"/>
      <c r="BU291" s="128"/>
      <c r="BV291" s="128"/>
      <c r="BW291" s="128"/>
      <c r="BX291" s="133"/>
      <c r="BY291" s="128"/>
      <c r="BZ291" s="133"/>
      <c r="CA291" s="128"/>
      <c r="CB291" s="128"/>
      <c r="CC291" s="128"/>
      <c r="CD291" s="133"/>
      <c r="CE291" s="128"/>
      <c r="CF291" s="133"/>
      <c r="CG291" s="128"/>
      <c r="CH291" s="128"/>
      <c r="CI291" s="128"/>
      <c r="CJ291" s="128"/>
    </row>
    <row r="292" spans="1:88" x14ac:dyDescent="0.5">
      <c r="A292" s="262"/>
      <c r="B292" s="135"/>
      <c r="C292" s="1290"/>
      <c r="D292" s="1291"/>
      <c r="E292" s="906"/>
      <c r="F292" s="940"/>
      <c r="G292" s="941"/>
      <c r="H292" s="1307"/>
      <c r="I292" s="1138"/>
      <c r="J292" s="963"/>
      <c r="K292" s="154"/>
      <c r="L292" s="135"/>
      <c r="M292" s="141"/>
      <c r="N292" s="135"/>
      <c r="O292" s="142"/>
      <c r="P292" s="142"/>
      <c r="Q292" s="142"/>
      <c r="R292" s="143"/>
      <c r="S292" s="144"/>
      <c r="T292" s="145"/>
      <c r="U292" s="174"/>
      <c r="V292" s="1292"/>
      <c r="W292" s="1293"/>
      <c r="X292" s="1294"/>
      <c r="Y292" s="1295"/>
      <c r="Z292" s="1295"/>
      <c r="AA292" s="1308"/>
      <c r="AB292" s="1308"/>
      <c r="AC292" s="150"/>
      <c r="AD292" s="1297"/>
      <c r="AE292" s="292">
        <v>20040096</v>
      </c>
      <c r="AF292" s="1413"/>
      <c r="AG292" s="293">
        <v>45440</v>
      </c>
      <c r="AH292" s="294">
        <f t="shared" si="438"/>
        <v>3180.8</v>
      </c>
      <c r="AI292" s="307">
        <f t="shared" si="412"/>
        <v>48620.800000000003</v>
      </c>
      <c r="AJ292" s="295">
        <v>43931</v>
      </c>
      <c r="AK292" s="296" t="s">
        <v>3423</v>
      </c>
      <c r="AL292" s="296"/>
      <c r="AM292" s="296"/>
      <c r="AN292" s="308" t="s">
        <v>3802</v>
      </c>
      <c r="AO292" s="158"/>
      <c r="AP292" s="159"/>
      <c r="AQ292" s="160"/>
      <c r="AR292" s="160"/>
      <c r="AS292" s="161"/>
      <c r="AT292" s="162"/>
      <c r="AU292" s="158"/>
      <c r="AV292" s="163"/>
      <c r="AW292" s="158"/>
      <c r="AX292" s="158"/>
      <c r="AY292" s="158"/>
      <c r="AZ292" s="163"/>
      <c r="BA292" s="158"/>
      <c r="BB292" s="163"/>
      <c r="BC292" s="158"/>
      <c r="BD292" s="158"/>
      <c r="BE292" s="158"/>
      <c r="BF292" s="163"/>
      <c r="BG292" s="158"/>
      <c r="BH292" s="163"/>
      <c r="BI292" s="158"/>
      <c r="BJ292" s="158"/>
      <c r="BK292" s="158"/>
      <c r="BL292" s="163"/>
      <c r="BM292" s="158"/>
      <c r="BN292" s="163"/>
      <c r="BO292" s="158"/>
      <c r="BP292" s="158"/>
      <c r="BQ292" s="158"/>
      <c r="BR292" s="163"/>
      <c r="BS292" s="158"/>
      <c r="BT292" s="163"/>
      <c r="BU292" s="158"/>
      <c r="BV292" s="158"/>
      <c r="BW292" s="158"/>
      <c r="BX292" s="163"/>
      <c r="BY292" s="158"/>
      <c r="BZ292" s="163"/>
      <c r="CA292" s="158"/>
      <c r="CB292" s="158"/>
      <c r="CC292" s="158"/>
      <c r="CD292" s="163"/>
      <c r="CE292" s="158"/>
      <c r="CF292" s="163"/>
      <c r="CG292" s="158"/>
      <c r="CH292" s="158"/>
      <c r="CI292" s="158"/>
      <c r="CJ292" s="158"/>
    </row>
    <row r="293" spans="1:88" x14ac:dyDescent="0.5">
      <c r="A293" s="268"/>
      <c r="B293" s="181"/>
      <c r="C293" s="1236"/>
      <c r="D293" s="1237"/>
      <c r="E293" s="749"/>
      <c r="F293" s="938"/>
      <c r="G293" s="939"/>
      <c r="H293" s="304"/>
      <c r="I293" s="1125"/>
      <c r="J293" s="961"/>
      <c r="K293" s="200"/>
      <c r="L293" s="181"/>
      <c r="M293" s="188"/>
      <c r="N293" s="181"/>
      <c r="O293" s="189"/>
      <c r="P293" s="189"/>
      <c r="Q293" s="189"/>
      <c r="R293" s="190"/>
      <c r="S293" s="215"/>
      <c r="T293" s="216"/>
      <c r="U293" s="193"/>
      <c r="V293" s="1253"/>
      <c r="W293" s="1238"/>
      <c r="X293" s="1239"/>
      <c r="Y293" s="1240"/>
      <c r="Z293" s="1240"/>
      <c r="AA293" s="1263"/>
      <c r="AB293" s="1263"/>
      <c r="AC293" s="197"/>
      <c r="AD293" s="1241"/>
      <c r="AE293" s="200">
        <v>20050124</v>
      </c>
      <c r="AF293" s="1242" t="s">
        <v>3423</v>
      </c>
      <c r="AG293" s="201">
        <v>11360</v>
      </c>
      <c r="AH293" s="237">
        <f t="shared" si="438"/>
        <v>795.2</v>
      </c>
      <c r="AI293" s="202">
        <f t="shared" si="412"/>
        <v>12155.2</v>
      </c>
      <c r="AJ293" s="203">
        <v>43965</v>
      </c>
      <c r="AK293" s="199" t="s">
        <v>3423</v>
      </c>
      <c r="AL293" s="199"/>
      <c r="AM293" s="199"/>
      <c r="AN293" s="180" t="s">
        <v>4023</v>
      </c>
      <c r="AO293" s="204"/>
      <c r="AP293" s="205"/>
      <c r="AQ293" s="206"/>
      <c r="AR293" s="206"/>
      <c r="AS293" s="207"/>
      <c r="AT293" s="208"/>
      <c r="AU293" s="204"/>
      <c r="AV293" s="210"/>
      <c r="AW293" s="204"/>
      <c r="AX293" s="204"/>
      <c r="AY293" s="204"/>
      <c r="AZ293" s="210"/>
      <c r="BA293" s="204"/>
      <c r="BB293" s="210"/>
      <c r="BC293" s="204"/>
      <c r="BD293" s="204"/>
      <c r="BE293" s="204"/>
      <c r="BF293" s="210"/>
      <c r="BG293" s="204"/>
      <c r="BH293" s="210"/>
      <c r="BI293" s="204"/>
      <c r="BJ293" s="204"/>
      <c r="BK293" s="204"/>
      <c r="BL293" s="210"/>
      <c r="BM293" s="204"/>
      <c r="BN293" s="210"/>
      <c r="BO293" s="204"/>
      <c r="BP293" s="204"/>
      <c r="BQ293" s="204"/>
      <c r="BR293" s="210"/>
      <c r="BS293" s="204"/>
      <c r="BT293" s="210"/>
      <c r="BU293" s="204"/>
      <c r="BV293" s="204"/>
      <c r="BW293" s="204"/>
      <c r="BX293" s="210"/>
      <c r="BY293" s="204"/>
      <c r="BZ293" s="210"/>
      <c r="CA293" s="204"/>
      <c r="CB293" s="204"/>
      <c r="CC293" s="204"/>
      <c r="CD293" s="210"/>
      <c r="CE293" s="204"/>
      <c r="CF293" s="210"/>
      <c r="CG293" s="204"/>
      <c r="CH293" s="204"/>
      <c r="CI293" s="204"/>
      <c r="CJ293" s="204"/>
    </row>
    <row r="294" spans="1:88" x14ac:dyDescent="0.5">
      <c r="A294" s="227">
        <v>20046543</v>
      </c>
      <c r="B294" s="22">
        <v>20040263</v>
      </c>
      <c r="C294" s="1019" t="s">
        <v>1401</v>
      </c>
      <c r="D294" s="1020" t="s">
        <v>2691</v>
      </c>
      <c r="E294" s="884">
        <v>43942</v>
      </c>
      <c r="F294" s="932" t="s">
        <v>3368</v>
      </c>
      <c r="G294" s="933" t="s">
        <v>1386</v>
      </c>
      <c r="H294" s="884">
        <v>43943</v>
      </c>
      <c r="I294" s="1021">
        <v>63100</v>
      </c>
      <c r="J294" s="931" t="s">
        <v>3423</v>
      </c>
      <c r="K294" s="957">
        <v>43944</v>
      </c>
      <c r="L294" s="22" t="s">
        <v>20</v>
      </c>
      <c r="M294" s="28" t="s">
        <v>160</v>
      </c>
      <c r="N294" s="22" t="s">
        <v>51</v>
      </c>
      <c r="O294" s="29">
        <v>42000</v>
      </c>
      <c r="P294" s="29">
        <f t="shared" ref="P294:P296" si="441">O294*7/100</f>
        <v>2940</v>
      </c>
      <c r="Q294" s="29">
        <f t="shared" si="324"/>
        <v>44940</v>
      </c>
      <c r="R294" s="61"/>
      <c r="S294" s="96"/>
      <c r="T294" s="97"/>
      <c r="U294" s="98"/>
      <c r="V294" s="1225"/>
      <c r="W294" s="1225"/>
      <c r="X294" s="100"/>
      <c r="Y294" s="1225"/>
      <c r="Z294" s="1225"/>
      <c r="AA294" s="1225"/>
      <c r="AB294" s="1225"/>
      <c r="AC294" s="100"/>
      <c r="AD294" s="595"/>
      <c r="AE294" s="40">
        <v>20040110</v>
      </c>
      <c r="AF294" s="1186" t="s">
        <v>3423</v>
      </c>
      <c r="AG294" s="41">
        <v>42000</v>
      </c>
      <c r="AH294" s="63">
        <f t="shared" ref="AH294:AH296" si="442">AG294*7/100</f>
        <v>2940</v>
      </c>
      <c r="AI294" s="52">
        <f t="shared" si="331"/>
        <v>44940</v>
      </c>
      <c r="AJ294" s="53">
        <v>43978</v>
      </c>
      <c r="AK294" s="39" t="s">
        <v>3423</v>
      </c>
      <c r="AL294" s="39"/>
      <c r="AM294" s="39"/>
      <c r="AN294" s="21" t="s">
        <v>4006</v>
      </c>
      <c r="AO294" s="1312">
        <v>1</v>
      </c>
      <c r="AP294" s="45" t="s">
        <v>2922</v>
      </c>
      <c r="AQ294" s="46"/>
      <c r="AR294" s="46" t="s">
        <v>3423</v>
      </c>
      <c r="AS294" s="47">
        <v>1</v>
      </c>
      <c r="AT294" s="48" t="s">
        <v>633</v>
      </c>
      <c r="AU294" s="1314"/>
      <c r="AV294" s="54"/>
      <c r="AW294" s="1314"/>
      <c r="AX294" s="1314"/>
      <c r="AY294" s="1314"/>
      <c r="AZ294" s="54"/>
      <c r="BA294" s="1314"/>
      <c r="BB294" s="54"/>
      <c r="BC294" s="1314"/>
      <c r="BD294" s="1314"/>
      <c r="BE294" s="1314"/>
      <c r="BF294" s="54"/>
      <c r="BG294" s="1314"/>
      <c r="BH294" s="54"/>
      <c r="BI294" s="1314"/>
      <c r="BJ294" s="1314"/>
      <c r="BK294" s="1314"/>
      <c r="BL294" s="54"/>
      <c r="BM294" s="1314"/>
      <c r="BN294" s="54"/>
      <c r="BO294" s="1314"/>
      <c r="BP294" s="1314"/>
      <c r="BQ294" s="1314"/>
      <c r="BR294" s="54"/>
      <c r="BS294" s="1314"/>
      <c r="BT294" s="54"/>
      <c r="BU294" s="1314"/>
      <c r="BV294" s="1314"/>
      <c r="BW294" s="1314"/>
      <c r="BX294" s="54"/>
      <c r="BY294" s="1314"/>
      <c r="BZ294" s="54"/>
      <c r="CA294" s="1314"/>
      <c r="CB294" s="1314"/>
      <c r="CC294" s="1314"/>
      <c r="CD294" s="54"/>
      <c r="CE294" s="1314"/>
      <c r="CF294" s="54"/>
      <c r="CG294" s="1314"/>
      <c r="CH294" s="1314"/>
      <c r="CI294" s="1314"/>
      <c r="CJ294" s="1314"/>
    </row>
    <row r="295" spans="1:88" x14ac:dyDescent="0.5">
      <c r="A295" s="227">
        <v>20046542</v>
      </c>
      <c r="B295" s="22">
        <v>20040259</v>
      </c>
      <c r="C295" s="1019" t="s">
        <v>1402</v>
      </c>
      <c r="D295" s="1020" t="s">
        <v>2691</v>
      </c>
      <c r="E295" s="884">
        <v>43941</v>
      </c>
      <c r="F295" s="932" t="s">
        <v>3368</v>
      </c>
      <c r="G295" s="933" t="s">
        <v>1385</v>
      </c>
      <c r="H295" s="884">
        <v>43945</v>
      </c>
      <c r="I295" s="1021">
        <v>63103</v>
      </c>
      <c r="J295" s="931" t="s">
        <v>3423</v>
      </c>
      <c r="K295" s="957">
        <v>43948</v>
      </c>
      <c r="L295" s="22" t="s">
        <v>1160</v>
      </c>
      <c r="M295" s="28" t="s">
        <v>1161</v>
      </c>
      <c r="N295" s="22" t="s">
        <v>50</v>
      </c>
      <c r="O295" s="29">
        <v>10982</v>
      </c>
      <c r="P295" s="29">
        <f t="shared" si="441"/>
        <v>768.74</v>
      </c>
      <c r="Q295" s="29">
        <f t="shared" si="324"/>
        <v>11750.74</v>
      </c>
      <c r="R295" s="61"/>
      <c r="S295" s="96"/>
      <c r="T295" s="97"/>
      <c r="U295" s="98"/>
      <c r="V295" s="1225"/>
      <c r="W295" s="1231">
        <v>62</v>
      </c>
      <c r="X295" s="1184">
        <f>O295</f>
        <v>10982</v>
      </c>
      <c r="Y295" s="1223">
        <f t="shared" ref="Y295:Y296" si="443">SUM((50-W295)/(100)*(2.5)+(0.5))</f>
        <v>0.2</v>
      </c>
      <c r="Z295" s="1223">
        <f>X295*Y295/100</f>
        <v>21.964000000000002</v>
      </c>
      <c r="AA295" s="1228">
        <v>0.5</v>
      </c>
      <c r="AB295" s="1228">
        <f t="shared" si="0"/>
        <v>54.91</v>
      </c>
      <c r="AC295" s="37">
        <v>0.2</v>
      </c>
      <c r="AD295" s="1234">
        <f t="shared" si="329"/>
        <v>21.964000000000002</v>
      </c>
      <c r="AE295" s="40">
        <v>20050120</v>
      </c>
      <c r="AF295" s="1186" t="s">
        <v>3423</v>
      </c>
      <c r="AG295" s="41">
        <v>10982</v>
      </c>
      <c r="AH295" s="63">
        <f t="shared" si="442"/>
        <v>768.74</v>
      </c>
      <c r="AI295" s="52">
        <f t="shared" si="331"/>
        <v>11750.74</v>
      </c>
      <c r="AJ295" s="53">
        <v>43992</v>
      </c>
      <c r="AK295" s="39" t="s">
        <v>3423</v>
      </c>
      <c r="AL295" s="39"/>
      <c r="AM295" s="39"/>
      <c r="AN295" s="21" t="s">
        <v>3996</v>
      </c>
      <c r="AO295" s="1312">
        <v>1</v>
      </c>
      <c r="AP295" s="45" t="s">
        <v>883</v>
      </c>
      <c r="AQ295" s="46"/>
      <c r="AR295" s="46" t="s">
        <v>3423</v>
      </c>
      <c r="AS295" s="47">
        <v>1</v>
      </c>
      <c r="AT295" s="48" t="s">
        <v>636</v>
      </c>
      <c r="AU295" s="1314"/>
      <c r="AV295" s="54"/>
      <c r="AW295" s="1314"/>
      <c r="AX295" s="1314"/>
      <c r="AY295" s="1314"/>
      <c r="AZ295" s="54"/>
      <c r="BA295" s="1314"/>
      <c r="BB295" s="54"/>
      <c r="BC295" s="1314"/>
      <c r="BD295" s="1314"/>
      <c r="BE295" s="1314"/>
      <c r="BF295" s="54"/>
      <c r="BG295" s="1314"/>
      <c r="BH295" s="54"/>
      <c r="BI295" s="1314"/>
      <c r="BJ295" s="1314"/>
      <c r="BK295" s="1314"/>
      <c r="BL295" s="54"/>
      <c r="BM295" s="1314"/>
      <c r="BN295" s="54"/>
      <c r="BO295" s="1314"/>
      <c r="BP295" s="1314"/>
      <c r="BQ295" s="1314"/>
      <c r="BR295" s="54"/>
      <c r="BS295" s="1314"/>
      <c r="BT295" s="54"/>
      <c r="BU295" s="1314"/>
      <c r="BV295" s="1314"/>
      <c r="BW295" s="1314"/>
      <c r="BX295" s="54"/>
      <c r="BY295" s="1314"/>
      <c r="BZ295" s="54"/>
      <c r="CA295" s="1314"/>
      <c r="CB295" s="1314"/>
      <c r="CC295" s="1314"/>
      <c r="CD295" s="54"/>
      <c r="CE295" s="1314"/>
      <c r="CF295" s="54"/>
      <c r="CG295" s="1314"/>
      <c r="CH295" s="1314"/>
      <c r="CI295" s="1314"/>
      <c r="CJ295" s="1314"/>
    </row>
    <row r="296" spans="1:88" x14ac:dyDescent="0.5">
      <c r="A296" s="103">
        <v>20046541</v>
      </c>
      <c r="B296" s="104">
        <v>20040250</v>
      </c>
      <c r="C296" s="1243" t="s">
        <v>1403</v>
      </c>
      <c r="D296" s="1244" t="s">
        <v>2691</v>
      </c>
      <c r="E296" s="302">
        <v>43938</v>
      </c>
      <c r="F296" s="936" t="s">
        <v>3368</v>
      </c>
      <c r="G296" s="937" t="s">
        <v>1364</v>
      </c>
      <c r="H296" s="302">
        <v>44004</v>
      </c>
      <c r="I296" s="1124">
        <v>63151</v>
      </c>
      <c r="J296" s="960" t="s">
        <v>3423</v>
      </c>
      <c r="K296" s="965">
        <v>44005</v>
      </c>
      <c r="L296" s="104" t="s">
        <v>2640</v>
      </c>
      <c r="M296" s="110" t="s">
        <v>3721</v>
      </c>
      <c r="N296" s="104" t="s">
        <v>1523</v>
      </c>
      <c r="O296" s="111">
        <v>58000</v>
      </c>
      <c r="P296" s="111">
        <f t="shared" si="441"/>
        <v>4060</v>
      </c>
      <c r="Q296" s="111">
        <f t="shared" si="324"/>
        <v>62060</v>
      </c>
      <c r="R296" s="212"/>
      <c r="S296" s="113" t="s">
        <v>3735</v>
      </c>
      <c r="T296" s="114" t="s">
        <v>3736</v>
      </c>
      <c r="U296" s="115" t="s">
        <v>1994</v>
      </c>
      <c r="V296" s="1252">
        <f>2650+5000</f>
        <v>7650</v>
      </c>
      <c r="W296" s="1245">
        <v>54.96</v>
      </c>
      <c r="X296" s="1246">
        <f>53000-5167.5</f>
        <v>47832.5</v>
      </c>
      <c r="Y296" s="1247">
        <f t="shared" si="443"/>
        <v>0.376</v>
      </c>
      <c r="Z296" s="1247">
        <f>47832.5*0.38/100</f>
        <v>181.76349999999999</v>
      </c>
      <c r="AA296" s="1302"/>
      <c r="AB296" s="1302">
        <f t="shared" si="0"/>
        <v>0</v>
      </c>
      <c r="AC296" s="119">
        <v>0.2</v>
      </c>
      <c r="AD296" s="1248">
        <f t="shared" si="329"/>
        <v>95.665000000000006</v>
      </c>
      <c r="AE296" s="123">
        <v>20040099</v>
      </c>
      <c r="AF296" s="1249" t="s">
        <v>3423</v>
      </c>
      <c r="AG296" s="124">
        <v>58000</v>
      </c>
      <c r="AH296" s="260">
        <f t="shared" si="442"/>
        <v>4060</v>
      </c>
      <c r="AI296" s="125">
        <f t="shared" si="331"/>
        <v>62060</v>
      </c>
      <c r="AJ296" s="126">
        <v>43966</v>
      </c>
      <c r="AK296" s="127"/>
      <c r="AL296" s="127"/>
      <c r="AM296" s="127" t="s">
        <v>3423</v>
      </c>
      <c r="AN296" s="103" t="s">
        <v>3775</v>
      </c>
      <c r="AO296" s="128">
        <v>1</v>
      </c>
      <c r="AP296" s="129" t="s">
        <v>1834</v>
      </c>
      <c r="AQ296" s="130"/>
      <c r="AR296" s="130" t="s">
        <v>3423</v>
      </c>
      <c r="AS296" s="131">
        <v>1</v>
      </c>
      <c r="AT296" s="132" t="s">
        <v>634</v>
      </c>
      <c r="AU296" s="128"/>
      <c r="AV296" s="133"/>
      <c r="AW296" s="128"/>
      <c r="AX296" s="128"/>
      <c r="AY296" s="128"/>
      <c r="AZ296" s="133"/>
      <c r="BA296" s="128"/>
      <c r="BB296" s="133"/>
      <c r="BC296" s="128"/>
      <c r="BD296" s="128"/>
      <c r="BE296" s="128"/>
      <c r="BF296" s="133"/>
      <c r="BG296" s="128"/>
      <c r="BH296" s="133"/>
      <c r="BI296" s="128"/>
      <c r="BJ296" s="128"/>
      <c r="BK296" s="128"/>
      <c r="BL296" s="133"/>
      <c r="BM296" s="128"/>
      <c r="BN296" s="133"/>
      <c r="BO296" s="128"/>
      <c r="BP296" s="128"/>
      <c r="BQ296" s="128"/>
      <c r="BR296" s="133"/>
      <c r="BS296" s="128"/>
      <c r="BT296" s="133"/>
      <c r="BU296" s="128"/>
      <c r="BV296" s="128"/>
      <c r="BW296" s="128"/>
      <c r="BX296" s="133"/>
      <c r="BY296" s="128"/>
      <c r="BZ296" s="133"/>
      <c r="CA296" s="128"/>
      <c r="CB296" s="128"/>
      <c r="CC296" s="128"/>
      <c r="CD296" s="133"/>
      <c r="CE296" s="128"/>
      <c r="CF296" s="133"/>
      <c r="CG296" s="128"/>
      <c r="CH296" s="128"/>
      <c r="CI296" s="128"/>
      <c r="CJ296" s="128"/>
    </row>
    <row r="297" spans="1:88" x14ac:dyDescent="0.5">
      <c r="A297" s="180"/>
      <c r="B297" s="181"/>
      <c r="C297" s="1236"/>
      <c r="D297" s="1237"/>
      <c r="E297" s="749"/>
      <c r="F297" s="938"/>
      <c r="G297" s="939"/>
      <c r="H297" s="304"/>
      <c r="I297" s="1125"/>
      <c r="J297" s="961"/>
      <c r="K297" s="200"/>
      <c r="L297" s="181"/>
      <c r="M297" s="188"/>
      <c r="N297" s="181"/>
      <c r="O297" s="189"/>
      <c r="P297" s="189"/>
      <c r="Q297" s="189"/>
      <c r="R297" s="214"/>
      <c r="S297" s="215" t="s">
        <v>3452</v>
      </c>
      <c r="T297" s="216">
        <v>53000</v>
      </c>
      <c r="U297" s="217"/>
      <c r="V297" s="1253">
        <v>2517.5</v>
      </c>
      <c r="W297" s="1238"/>
      <c r="X297" s="1239"/>
      <c r="Y297" s="1240"/>
      <c r="Z297" s="1240"/>
      <c r="AA297" s="1254"/>
      <c r="AB297" s="1254"/>
      <c r="AC297" s="197"/>
      <c r="AD297" s="1241"/>
      <c r="AE297" s="200"/>
      <c r="AF297" s="1242"/>
      <c r="AG297" s="201"/>
      <c r="AH297" s="237"/>
      <c r="AI297" s="202"/>
      <c r="AJ297" s="241"/>
      <c r="AK297" s="199"/>
      <c r="AL297" s="199"/>
      <c r="AM297" s="199"/>
      <c r="AN297" s="180"/>
      <c r="AO297" s="204"/>
      <c r="AP297" s="205"/>
      <c r="AQ297" s="206"/>
      <c r="AR297" s="206"/>
      <c r="AS297" s="207"/>
      <c r="AT297" s="208"/>
      <c r="AU297" s="204"/>
      <c r="AV297" s="210"/>
      <c r="AW297" s="204"/>
      <c r="AX297" s="204"/>
      <c r="AY297" s="204"/>
      <c r="AZ297" s="210"/>
      <c r="BA297" s="204"/>
      <c r="BB297" s="210"/>
      <c r="BC297" s="204"/>
      <c r="BD297" s="204"/>
      <c r="BE297" s="204"/>
      <c r="BF297" s="210"/>
      <c r="BG297" s="204"/>
      <c r="BH297" s="210"/>
      <c r="BI297" s="204"/>
      <c r="BJ297" s="204"/>
      <c r="BK297" s="204"/>
      <c r="BL297" s="210"/>
      <c r="BM297" s="204"/>
      <c r="BN297" s="210"/>
      <c r="BO297" s="204"/>
      <c r="BP297" s="204"/>
      <c r="BQ297" s="204"/>
      <c r="BR297" s="210"/>
      <c r="BS297" s="204"/>
      <c r="BT297" s="210"/>
      <c r="BU297" s="204"/>
      <c r="BV297" s="204"/>
      <c r="BW297" s="204"/>
      <c r="BX297" s="210"/>
      <c r="BY297" s="204"/>
      <c r="BZ297" s="210"/>
      <c r="CA297" s="204"/>
      <c r="CB297" s="204"/>
      <c r="CC297" s="204"/>
      <c r="CD297" s="210"/>
      <c r="CE297" s="204"/>
      <c r="CF297" s="210"/>
      <c r="CG297" s="204"/>
      <c r="CH297" s="204"/>
      <c r="CI297" s="204"/>
      <c r="CJ297" s="204"/>
    </row>
    <row r="298" spans="1:88" x14ac:dyDescent="0.5">
      <c r="A298" s="227">
        <v>20046540</v>
      </c>
      <c r="B298" s="22">
        <v>20040247</v>
      </c>
      <c r="C298" s="55"/>
      <c r="D298" s="56"/>
      <c r="E298" s="910"/>
      <c r="F298" s="57"/>
      <c r="G298" s="58"/>
      <c r="H298" s="59"/>
      <c r="I298" s="60"/>
      <c r="J298" s="269"/>
      <c r="K298" s="59"/>
      <c r="L298" s="22" t="s">
        <v>3722</v>
      </c>
      <c r="M298" s="28" t="s">
        <v>3723</v>
      </c>
      <c r="N298" s="22" t="s">
        <v>51</v>
      </c>
      <c r="O298" s="29">
        <v>8700</v>
      </c>
      <c r="P298" s="29">
        <f t="shared" si="323"/>
        <v>609</v>
      </c>
      <c r="Q298" s="29">
        <f t="shared" ref="Q298:Q310" si="444">O298+P298</f>
        <v>9309</v>
      </c>
      <c r="R298" s="61"/>
      <c r="S298" s="96"/>
      <c r="T298" s="97"/>
      <c r="U298" s="98"/>
      <c r="V298" s="1225"/>
      <c r="W298" s="1225"/>
      <c r="X298" s="100"/>
      <c r="Y298" s="1225"/>
      <c r="Z298" s="1225"/>
      <c r="AA298" s="1225"/>
      <c r="AB298" s="1225"/>
      <c r="AC298" s="100"/>
      <c r="AD298" s="595"/>
      <c r="AE298" s="40">
        <v>20060161</v>
      </c>
      <c r="AF298" s="1186" t="s">
        <v>3423</v>
      </c>
      <c r="AG298" s="41">
        <v>8700</v>
      </c>
      <c r="AH298" s="63">
        <f t="shared" si="330"/>
        <v>609</v>
      </c>
      <c r="AI298" s="52">
        <f t="shared" ref="AI298:AI310" si="445">AG298+AH298</f>
        <v>9309</v>
      </c>
      <c r="AJ298" s="53">
        <v>44027</v>
      </c>
      <c r="AK298" s="39" t="s">
        <v>3423</v>
      </c>
      <c r="AL298" s="39"/>
      <c r="AM298" s="39"/>
      <c r="AN298" s="21" t="s">
        <v>4355</v>
      </c>
      <c r="AO298" s="1306">
        <v>1</v>
      </c>
      <c r="AP298" s="45" t="s">
        <v>3724</v>
      </c>
      <c r="AQ298" s="46"/>
      <c r="AR298" s="46"/>
      <c r="AS298" s="47">
        <v>1</v>
      </c>
      <c r="AT298" s="48" t="s">
        <v>628</v>
      </c>
      <c r="AU298" s="1306">
        <v>2</v>
      </c>
      <c r="AV298" s="40" t="s">
        <v>3725</v>
      </c>
      <c r="AW298" s="47"/>
      <c r="AX298" s="47"/>
      <c r="AY298" s="47">
        <v>1</v>
      </c>
      <c r="AZ298" s="49" t="s">
        <v>628</v>
      </c>
      <c r="BA298" s="1314"/>
      <c r="BB298" s="54"/>
      <c r="BC298" s="1314"/>
      <c r="BD298" s="1314"/>
      <c r="BE298" s="1314"/>
      <c r="BF298" s="54"/>
      <c r="BG298" s="1314"/>
      <c r="BH298" s="54"/>
      <c r="BI298" s="1314"/>
      <c r="BJ298" s="1314"/>
      <c r="BK298" s="1314"/>
      <c r="BL298" s="54"/>
      <c r="BM298" s="1314"/>
      <c r="BN298" s="54"/>
      <c r="BO298" s="1314"/>
      <c r="BP298" s="1314"/>
      <c r="BQ298" s="1314"/>
      <c r="BR298" s="54"/>
      <c r="BS298" s="1314"/>
      <c r="BT298" s="54"/>
      <c r="BU298" s="1314"/>
      <c r="BV298" s="1314"/>
      <c r="BW298" s="1314"/>
      <c r="BX298" s="54"/>
      <c r="BY298" s="1314"/>
      <c r="BZ298" s="54"/>
      <c r="CA298" s="1314"/>
      <c r="CB298" s="1314"/>
      <c r="CC298" s="1314"/>
      <c r="CD298" s="54"/>
      <c r="CE298" s="1314"/>
      <c r="CF298" s="54"/>
      <c r="CG298" s="1314"/>
      <c r="CH298" s="1314"/>
      <c r="CI298" s="1314"/>
      <c r="CJ298" s="1314"/>
    </row>
    <row r="299" spans="1:88" x14ac:dyDescent="0.5">
      <c r="A299" s="227">
        <v>20046539</v>
      </c>
      <c r="B299" s="22">
        <v>20040246</v>
      </c>
      <c r="C299" s="55"/>
      <c r="D299" s="56"/>
      <c r="E299" s="910"/>
      <c r="F299" s="57"/>
      <c r="G299" s="58"/>
      <c r="H299" s="59"/>
      <c r="I299" s="60"/>
      <c r="J299" s="269"/>
      <c r="K299" s="59"/>
      <c r="L299" s="22" t="s">
        <v>3726</v>
      </c>
      <c r="M299" s="28" t="s">
        <v>3727</v>
      </c>
      <c r="N299" s="22" t="s">
        <v>51</v>
      </c>
      <c r="O299" s="29">
        <v>76000</v>
      </c>
      <c r="P299" s="29">
        <f t="shared" ref="P299:P304" si="446">O299*7/100</f>
        <v>5320</v>
      </c>
      <c r="Q299" s="29">
        <f t="shared" ref="Q299:Q304" si="447">O299+P299</f>
        <v>81320</v>
      </c>
      <c r="R299" s="61"/>
      <c r="S299" s="96"/>
      <c r="T299" s="97"/>
      <c r="U299" s="98"/>
      <c r="V299" s="1225"/>
      <c r="W299" s="1225"/>
      <c r="X299" s="100"/>
      <c r="Y299" s="1225"/>
      <c r="Z299" s="1225"/>
      <c r="AA299" s="1225"/>
      <c r="AB299" s="1225"/>
      <c r="AC299" s="100"/>
      <c r="AD299" s="595"/>
      <c r="AE299" s="40">
        <v>20040100</v>
      </c>
      <c r="AF299" s="1186" t="s">
        <v>3423</v>
      </c>
      <c r="AG299" s="41">
        <v>76000</v>
      </c>
      <c r="AH299" s="63">
        <f t="shared" ref="AH299:AH304" si="448">AG299*7/100</f>
        <v>5320</v>
      </c>
      <c r="AI299" s="52">
        <f t="shared" ref="AI299:AI304" si="449">AG299+AH299</f>
        <v>81320</v>
      </c>
      <c r="AJ299" s="53">
        <v>43967</v>
      </c>
      <c r="AK299" s="39" t="s">
        <v>3423</v>
      </c>
      <c r="AL299" s="39"/>
      <c r="AM299" s="39"/>
      <c r="AN299" s="21" t="s">
        <v>4350</v>
      </c>
      <c r="AO299" s="1306">
        <v>1</v>
      </c>
      <c r="AP299" s="45" t="s">
        <v>3728</v>
      </c>
      <c r="AQ299" s="46"/>
      <c r="AR299" s="46"/>
      <c r="AS299" s="47">
        <v>1</v>
      </c>
      <c r="AT299" s="48" t="s">
        <v>628</v>
      </c>
      <c r="AU299" s="1306">
        <v>2</v>
      </c>
      <c r="AV299" s="40" t="s">
        <v>3729</v>
      </c>
      <c r="AW299" s="47"/>
      <c r="AX299" s="47"/>
      <c r="AY299" s="47">
        <v>1</v>
      </c>
      <c r="AZ299" s="49" t="s">
        <v>628</v>
      </c>
      <c r="BA299" s="1318"/>
      <c r="BB299" s="54"/>
      <c r="BC299" s="1318"/>
      <c r="BD299" s="1318"/>
      <c r="BE299" s="1318"/>
      <c r="BF299" s="54"/>
      <c r="BG299" s="1318"/>
      <c r="BH299" s="54"/>
      <c r="BI299" s="1318"/>
      <c r="BJ299" s="1318"/>
      <c r="BK299" s="1318"/>
      <c r="BL299" s="54"/>
      <c r="BM299" s="1318"/>
      <c r="BN299" s="54"/>
      <c r="BO299" s="1318"/>
      <c r="BP299" s="1318"/>
      <c r="BQ299" s="1318"/>
      <c r="BR299" s="54"/>
      <c r="BS299" s="1318"/>
      <c r="BT299" s="54"/>
      <c r="BU299" s="1318"/>
      <c r="BV299" s="1318"/>
      <c r="BW299" s="1318"/>
      <c r="BX299" s="54"/>
      <c r="BY299" s="1318"/>
      <c r="BZ299" s="54"/>
      <c r="CA299" s="1318"/>
      <c r="CB299" s="1318"/>
      <c r="CC299" s="1318"/>
      <c r="CD299" s="54"/>
      <c r="CE299" s="1318"/>
      <c r="CF299" s="54"/>
      <c r="CG299" s="1318"/>
      <c r="CH299" s="1318"/>
      <c r="CI299" s="1318"/>
      <c r="CJ299" s="1318"/>
    </row>
    <row r="300" spans="1:88" x14ac:dyDescent="0.5">
      <c r="A300" s="259">
        <v>20046538</v>
      </c>
      <c r="B300" s="104" t="s">
        <v>3730</v>
      </c>
      <c r="C300" s="1243" t="s">
        <v>1404</v>
      </c>
      <c r="D300" s="1244" t="s">
        <v>2691</v>
      </c>
      <c r="E300" s="302">
        <v>43945</v>
      </c>
      <c r="F300" s="936" t="s">
        <v>3368</v>
      </c>
      <c r="G300" s="937" t="s">
        <v>1387</v>
      </c>
      <c r="H300" s="302">
        <v>43950</v>
      </c>
      <c r="I300" s="1124">
        <v>63105</v>
      </c>
      <c r="J300" s="960" t="s">
        <v>3423</v>
      </c>
      <c r="K300" s="965">
        <v>43950</v>
      </c>
      <c r="L300" s="104" t="s">
        <v>1115</v>
      </c>
      <c r="M300" s="110" t="s">
        <v>3731</v>
      </c>
      <c r="N300" s="104" t="s">
        <v>52</v>
      </c>
      <c r="O300" s="111">
        <v>258000</v>
      </c>
      <c r="P300" s="111">
        <f t="shared" si="446"/>
        <v>18060</v>
      </c>
      <c r="Q300" s="111">
        <f t="shared" si="447"/>
        <v>276060</v>
      </c>
      <c r="R300" s="212"/>
      <c r="S300" s="113" t="s">
        <v>2052</v>
      </c>
      <c r="T300" s="114">
        <f t="shared" ref="T300:T304" si="450">O300-R300</f>
        <v>258000</v>
      </c>
      <c r="U300" s="115">
        <v>5</v>
      </c>
      <c r="V300" s="1252">
        <f t="shared" ref="V300:V304" si="451">T300*U300/100</f>
        <v>12900</v>
      </c>
      <c r="W300" s="1245">
        <v>60.24</v>
      </c>
      <c r="X300" s="1246">
        <f t="shared" ref="X300:X304" si="452">T300-V300</f>
        <v>245100</v>
      </c>
      <c r="Y300" s="1247">
        <f t="shared" ref="Y300:Y304" si="453">SUM((50-W300)/(100)*(2.5)+(0.5))</f>
        <v>0.24399999999999994</v>
      </c>
      <c r="Z300" s="1247">
        <f>X300*Y300/100</f>
        <v>598.04399999999987</v>
      </c>
      <c r="AA300" s="1302"/>
      <c r="AB300" s="1302">
        <f t="shared" ref="AB300:AB304" si="454">X300*AA300/100</f>
        <v>0</v>
      </c>
      <c r="AC300" s="119">
        <v>0.2</v>
      </c>
      <c r="AD300" s="1248">
        <f t="shared" ref="AD300:AD304" si="455">X300*AC300/100</f>
        <v>490.2</v>
      </c>
      <c r="AE300" s="123">
        <v>20040112</v>
      </c>
      <c r="AF300" s="1249" t="s">
        <v>3423</v>
      </c>
      <c r="AG300" s="124">
        <v>258000</v>
      </c>
      <c r="AH300" s="260">
        <f t="shared" si="448"/>
        <v>18060</v>
      </c>
      <c r="AI300" s="125">
        <f t="shared" si="449"/>
        <v>276060</v>
      </c>
      <c r="AJ300" s="126">
        <v>43950</v>
      </c>
      <c r="AK300" s="127" t="s">
        <v>3423</v>
      </c>
      <c r="AL300" s="127"/>
      <c r="AM300" s="127"/>
      <c r="AN300" s="103" t="s">
        <v>3787</v>
      </c>
      <c r="AO300" s="128">
        <v>1</v>
      </c>
      <c r="AP300" s="129" t="s">
        <v>2791</v>
      </c>
      <c r="AQ300" s="130"/>
      <c r="AR300" s="130" t="s">
        <v>3423</v>
      </c>
      <c r="AS300" s="131">
        <v>2</v>
      </c>
      <c r="AT300" s="132" t="s">
        <v>634</v>
      </c>
      <c r="AU300" s="128">
        <v>2</v>
      </c>
      <c r="AV300" s="123" t="s">
        <v>2025</v>
      </c>
      <c r="AW300" s="131"/>
      <c r="AX300" s="131" t="s">
        <v>3423</v>
      </c>
      <c r="AY300" s="131">
        <v>1</v>
      </c>
      <c r="AZ300" s="169" t="s">
        <v>634</v>
      </c>
      <c r="BA300" s="128">
        <v>3</v>
      </c>
      <c r="BB300" s="123" t="s">
        <v>3732</v>
      </c>
      <c r="BC300" s="131"/>
      <c r="BD300" s="131" t="s">
        <v>3423</v>
      </c>
      <c r="BE300" s="131">
        <v>1</v>
      </c>
      <c r="BF300" s="169" t="s">
        <v>634</v>
      </c>
      <c r="BG300" s="128">
        <v>4</v>
      </c>
      <c r="BH300" s="123" t="s">
        <v>3733</v>
      </c>
      <c r="BI300" s="131"/>
      <c r="BJ300" s="131" t="s">
        <v>3423</v>
      </c>
      <c r="BK300" s="131">
        <v>1</v>
      </c>
      <c r="BL300" s="169" t="s">
        <v>636</v>
      </c>
      <c r="BM300" s="128"/>
      <c r="BN300" s="133"/>
      <c r="BO300" s="128"/>
      <c r="BP300" s="128"/>
      <c r="BQ300" s="128"/>
      <c r="BR300" s="133"/>
      <c r="BS300" s="128"/>
      <c r="BT300" s="133"/>
      <c r="BU300" s="128"/>
      <c r="BV300" s="128"/>
      <c r="BW300" s="128"/>
      <c r="BX300" s="133"/>
      <c r="BY300" s="128"/>
      <c r="BZ300" s="133"/>
      <c r="CA300" s="128"/>
      <c r="CB300" s="128"/>
      <c r="CC300" s="128"/>
      <c r="CD300" s="133"/>
      <c r="CE300" s="128"/>
      <c r="CF300" s="133"/>
      <c r="CG300" s="128"/>
      <c r="CH300" s="128"/>
      <c r="CI300" s="128"/>
      <c r="CJ300" s="128"/>
    </row>
    <row r="301" spans="1:88" x14ac:dyDescent="0.5">
      <c r="A301" s="262"/>
      <c r="B301" s="135"/>
      <c r="C301" s="1290"/>
      <c r="D301" s="1291"/>
      <c r="E301" s="906"/>
      <c r="F301" s="940"/>
      <c r="G301" s="941"/>
      <c r="H301" s="906">
        <v>43966</v>
      </c>
      <c r="I301" s="1138">
        <v>63116</v>
      </c>
      <c r="J301" s="963"/>
      <c r="K301" s="964"/>
      <c r="L301" s="134" t="s">
        <v>1784</v>
      </c>
      <c r="M301" s="141"/>
      <c r="N301" s="135"/>
      <c r="O301" s="142"/>
      <c r="P301" s="142"/>
      <c r="Q301" s="142"/>
      <c r="R301" s="213"/>
      <c r="S301" s="144"/>
      <c r="T301" s="145"/>
      <c r="U301" s="146"/>
      <c r="V301" s="1292"/>
      <c r="W301" s="1293"/>
      <c r="X301" s="1294"/>
      <c r="Y301" s="1295"/>
      <c r="Z301" s="1295"/>
      <c r="AA301" s="1296"/>
      <c r="AB301" s="1296"/>
      <c r="AC301" s="150"/>
      <c r="AD301" s="1297"/>
      <c r="AE301" s="154"/>
      <c r="AF301" s="1298"/>
      <c r="AG301" s="155"/>
      <c r="AH301" s="253"/>
      <c r="AI301" s="156"/>
      <c r="AJ301" s="157"/>
      <c r="AK301" s="152"/>
      <c r="AL301" s="152"/>
      <c r="AM301" s="152"/>
      <c r="AN301" s="134"/>
      <c r="AO301" s="158"/>
      <c r="AP301" s="159"/>
      <c r="AQ301" s="160"/>
      <c r="AR301" s="160"/>
      <c r="AS301" s="161"/>
      <c r="AT301" s="162"/>
      <c r="AU301" s="158"/>
      <c r="AV301" s="154"/>
      <c r="AW301" s="161"/>
      <c r="AX301" s="161"/>
      <c r="AY301" s="161"/>
      <c r="AZ301" s="177"/>
      <c r="BA301" s="158"/>
      <c r="BB301" s="154"/>
      <c r="BC301" s="161"/>
      <c r="BD301" s="161"/>
      <c r="BE301" s="161"/>
      <c r="BF301" s="177"/>
      <c r="BG301" s="158"/>
      <c r="BH301" s="154"/>
      <c r="BI301" s="161"/>
      <c r="BJ301" s="161"/>
      <c r="BK301" s="161"/>
      <c r="BL301" s="177"/>
      <c r="BM301" s="158"/>
      <c r="BN301" s="163"/>
      <c r="BO301" s="158"/>
      <c r="BP301" s="158"/>
      <c r="BQ301" s="158"/>
      <c r="BR301" s="163"/>
      <c r="BS301" s="158"/>
      <c r="BT301" s="163"/>
      <c r="BU301" s="158"/>
      <c r="BV301" s="158"/>
      <c r="BW301" s="158"/>
      <c r="BX301" s="163"/>
      <c r="BY301" s="158"/>
      <c r="BZ301" s="163"/>
      <c r="CA301" s="158"/>
      <c r="CB301" s="158"/>
      <c r="CC301" s="158"/>
      <c r="CD301" s="163"/>
      <c r="CE301" s="158"/>
      <c r="CF301" s="163"/>
      <c r="CG301" s="158"/>
      <c r="CH301" s="158"/>
      <c r="CI301" s="158"/>
      <c r="CJ301" s="158"/>
    </row>
    <row r="302" spans="1:88" x14ac:dyDescent="0.5">
      <c r="A302" s="259">
        <v>20046537</v>
      </c>
      <c r="B302" s="104">
        <v>20040237</v>
      </c>
      <c r="C302" s="1243" t="s">
        <v>1405</v>
      </c>
      <c r="D302" s="1244" t="s">
        <v>2691</v>
      </c>
      <c r="E302" s="302">
        <v>43931</v>
      </c>
      <c r="F302" s="936" t="s">
        <v>3368</v>
      </c>
      <c r="G302" s="937" t="s">
        <v>1395</v>
      </c>
      <c r="H302" s="302">
        <v>43929</v>
      </c>
      <c r="I302" s="1124">
        <v>63091</v>
      </c>
      <c r="J302" s="960" t="s">
        <v>3423</v>
      </c>
      <c r="K302" s="965">
        <v>43931</v>
      </c>
      <c r="L302" s="104" t="s">
        <v>3693</v>
      </c>
      <c r="M302" s="110" t="s">
        <v>3692</v>
      </c>
      <c r="N302" s="104" t="s">
        <v>51</v>
      </c>
      <c r="O302" s="111">
        <v>60000</v>
      </c>
      <c r="P302" s="111">
        <f t="shared" si="446"/>
        <v>4200</v>
      </c>
      <c r="Q302" s="111">
        <f t="shared" si="447"/>
        <v>64200</v>
      </c>
      <c r="R302" s="311">
        <v>17500</v>
      </c>
      <c r="S302" s="113" t="s">
        <v>2795</v>
      </c>
      <c r="T302" s="166"/>
      <c r="U302" s="167"/>
      <c r="V302" s="1252">
        <v>3140</v>
      </c>
      <c r="W302" s="1302"/>
      <c r="X302" s="231"/>
      <c r="Y302" s="1302"/>
      <c r="Z302" s="1302"/>
      <c r="AA302" s="1302"/>
      <c r="AB302" s="1302"/>
      <c r="AC302" s="231"/>
      <c r="AD302" s="1309"/>
      <c r="AE302" s="229">
        <v>20040088</v>
      </c>
      <c r="AF302" s="1313"/>
      <c r="AG302" s="230">
        <v>18000</v>
      </c>
      <c r="AH302" s="233">
        <f t="shared" si="448"/>
        <v>1260</v>
      </c>
      <c r="AI302" s="220">
        <f t="shared" si="449"/>
        <v>19260</v>
      </c>
      <c r="AJ302" s="221">
        <v>43922</v>
      </c>
      <c r="AK302" s="121" t="s">
        <v>3423</v>
      </c>
      <c r="AL302" s="121"/>
      <c r="AM302" s="121"/>
      <c r="AN302" s="222" t="s">
        <v>3819</v>
      </c>
      <c r="AO302" s="128">
        <v>1</v>
      </c>
      <c r="AP302" s="129" t="s">
        <v>3713</v>
      </c>
      <c r="AQ302" s="130"/>
      <c r="AR302" s="130" t="s">
        <v>3423</v>
      </c>
      <c r="AS302" s="131">
        <v>1</v>
      </c>
      <c r="AT302" s="132" t="s">
        <v>634</v>
      </c>
      <c r="AU302" s="128">
        <v>2</v>
      </c>
      <c r="AV302" s="123" t="s">
        <v>624</v>
      </c>
      <c r="AW302" s="131"/>
      <c r="AX302" s="131" t="s">
        <v>3423</v>
      </c>
      <c r="AY302" s="131">
        <v>1</v>
      </c>
      <c r="AZ302" s="169" t="s">
        <v>634</v>
      </c>
      <c r="BA302" s="128">
        <v>3</v>
      </c>
      <c r="BB302" s="123" t="s">
        <v>404</v>
      </c>
      <c r="BC302" s="131"/>
      <c r="BD302" s="131"/>
      <c r="BE302" s="131">
        <v>1</v>
      </c>
      <c r="BF302" s="246"/>
      <c r="BG302" s="128"/>
      <c r="BH302" s="133"/>
      <c r="BI302" s="128"/>
      <c r="BJ302" s="128"/>
      <c r="BK302" s="128"/>
      <c r="BL302" s="133"/>
      <c r="BM302" s="128"/>
      <c r="BN302" s="133"/>
      <c r="BO302" s="128"/>
      <c r="BP302" s="128"/>
      <c r="BQ302" s="128"/>
      <c r="BR302" s="133"/>
      <c r="BS302" s="128"/>
      <c r="BT302" s="133"/>
      <c r="BU302" s="128"/>
      <c r="BV302" s="128"/>
      <c r="BW302" s="128"/>
      <c r="BX302" s="133"/>
      <c r="BY302" s="128"/>
      <c r="BZ302" s="133"/>
      <c r="CA302" s="128"/>
      <c r="CB302" s="128"/>
      <c r="CC302" s="128"/>
      <c r="CD302" s="133"/>
      <c r="CE302" s="128"/>
      <c r="CF302" s="133"/>
      <c r="CG302" s="128"/>
      <c r="CH302" s="128"/>
      <c r="CI302" s="128"/>
      <c r="CJ302" s="128"/>
    </row>
    <row r="303" spans="1:88" s="1580" customFormat="1" ht="22.5" thickBot="1" x14ac:dyDescent="0.55000000000000004">
      <c r="A303" s="1544"/>
      <c r="B303" s="1545"/>
      <c r="C303" s="1546"/>
      <c r="D303" s="1547"/>
      <c r="E303" s="1548"/>
      <c r="F303" s="1549"/>
      <c r="G303" s="1550"/>
      <c r="H303" s="1551"/>
      <c r="I303" s="1552"/>
      <c r="J303" s="1553"/>
      <c r="K303" s="1554"/>
      <c r="L303" s="1545"/>
      <c r="M303" s="1555"/>
      <c r="N303" s="1545"/>
      <c r="O303" s="1556"/>
      <c r="P303" s="1556"/>
      <c r="Q303" s="1556"/>
      <c r="R303" s="1557"/>
      <c r="S303" s="1558"/>
      <c r="T303" s="1559"/>
      <c r="U303" s="1560"/>
      <c r="V303" s="1561"/>
      <c r="W303" s="1562"/>
      <c r="X303" s="1563"/>
      <c r="Y303" s="1562"/>
      <c r="Z303" s="1562"/>
      <c r="AA303" s="1562"/>
      <c r="AB303" s="1562"/>
      <c r="AC303" s="1563"/>
      <c r="AD303" s="1564"/>
      <c r="AE303" s="1554">
        <v>20040090</v>
      </c>
      <c r="AF303" s="1565" t="s">
        <v>3423</v>
      </c>
      <c r="AG303" s="1566">
        <v>42000</v>
      </c>
      <c r="AH303" s="1567">
        <f t="shared" si="448"/>
        <v>2940</v>
      </c>
      <c r="AI303" s="1568">
        <f t="shared" si="449"/>
        <v>44940</v>
      </c>
      <c r="AJ303" s="1569">
        <v>43928</v>
      </c>
      <c r="AK303" s="1570" t="s">
        <v>3423</v>
      </c>
      <c r="AL303" s="1570"/>
      <c r="AM303" s="1570"/>
      <c r="AN303" s="1571" t="s">
        <v>3816</v>
      </c>
      <c r="AO303" s="1572"/>
      <c r="AP303" s="1573"/>
      <c r="AQ303" s="1574"/>
      <c r="AR303" s="1574"/>
      <c r="AS303" s="1575"/>
      <c r="AT303" s="1576"/>
      <c r="AU303" s="1572"/>
      <c r="AV303" s="1554"/>
      <c r="AW303" s="1575"/>
      <c r="AX303" s="1575"/>
      <c r="AY303" s="1575"/>
      <c r="AZ303" s="1577"/>
      <c r="BA303" s="1572"/>
      <c r="BB303" s="1554"/>
      <c r="BC303" s="1575"/>
      <c r="BD303" s="1575"/>
      <c r="BE303" s="1575"/>
      <c r="BF303" s="1578"/>
      <c r="BG303" s="1572"/>
      <c r="BH303" s="1579"/>
      <c r="BI303" s="1572"/>
      <c r="BJ303" s="1572"/>
      <c r="BK303" s="1572"/>
      <c r="BL303" s="1579"/>
      <c r="BM303" s="1572"/>
      <c r="BN303" s="1579"/>
      <c r="BO303" s="1572"/>
      <c r="BP303" s="1572"/>
      <c r="BQ303" s="1572"/>
      <c r="BR303" s="1579"/>
      <c r="BS303" s="1572"/>
      <c r="BT303" s="1579"/>
      <c r="BU303" s="1572"/>
      <c r="BV303" s="1572"/>
      <c r="BW303" s="1572"/>
      <c r="BX303" s="1579"/>
      <c r="BY303" s="1572"/>
      <c r="BZ303" s="1579"/>
      <c r="CA303" s="1572"/>
      <c r="CB303" s="1572"/>
      <c r="CC303" s="1572"/>
      <c r="CD303" s="1579"/>
      <c r="CE303" s="1572"/>
      <c r="CF303" s="1579"/>
      <c r="CG303" s="1572"/>
      <c r="CH303" s="1572"/>
      <c r="CI303" s="1572"/>
      <c r="CJ303" s="1572"/>
    </row>
    <row r="304" spans="1:88" ht="22.5" thickTop="1" x14ac:dyDescent="0.5">
      <c r="A304" s="262">
        <v>20036536</v>
      </c>
      <c r="B304" s="135">
        <v>20030229</v>
      </c>
      <c r="C304" s="1290" t="s">
        <v>1406</v>
      </c>
      <c r="D304" s="1291" t="s">
        <v>2691</v>
      </c>
      <c r="E304" s="906">
        <v>43966</v>
      </c>
      <c r="F304" s="940" t="s">
        <v>3368</v>
      </c>
      <c r="G304" s="941" t="s">
        <v>1378</v>
      </c>
      <c r="H304" s="309">
        <v>43973</v>
      </c>
      <c r="I304" s="310">
        <v>63123</v>
      </c>
      <c r="J304" s="963" t="s">
        <v>3423</v>
      </c>
      <c r="K304" s="964">
        <v>43975</v>
      </c>
      <c r="L304" s="135" t="s">
        <v>435</v>
      </c>
      <c r="M304" s="141" t="s">
        <v>3669</v>
      </c>
      <c r="N304" s="135" t="s">
        <v>3653</v>
      </c>
      <c r="O304" s="142">
        <v>2150150</v>
      </c>
      <c r="P304" s="142">
        <f t="shared" si="446"/>
        <v>150510.5</v>
      </c>
      <c r="Q304" s="142">
        <f t="shared" si="447"/>
        <v>2300660.5</v>
      </c>
      <c r="R304" s="213"/>
      <c r="S304" s="144" t="s">
        <v>2090</v>
      </c>
      <c r="T304" s="145">
        <f t="shared" si="450"/>
        <v>2150150</v>
      </c>
      <c r="U304" s="146">
        <v>5</v>
      </c>
      <c r="V304" s="1292">
        <f t="shared" si="451"/>
        <v>107507.5</v>
      </c>
      <c r="W304" s="1293">
        <v>55.2</v>
      </c>
      <c r="X304" s="1294">
        <f t="shared" si="452"/>
        <v>2042642.5</v>
      </c>
      <c r="Y304" s="1295">
        <f t="shared" si="453"/>
        <v>0.36999999999999994</v>
      </c>
      <c r="Z304" s="1295">
        <f>X304*Y304/100</f>
        <v>7557.7772499999983</v>
      </c>
      <c r="AA304" s="1308">
        <v>1</v>
      </c>
      <c r="AB304" s="1308">
        <f t="shared" si="454"/>
        <v>20426.424999999999</v>
      </c>
      <c r="AC304" s="150">
        <v>0.5</v>
      </c>
      <c r="AD304" s="1297">
        <f t="shared" si="455"/>
        <v>10213.2125</v>
      </c>
      <c r="AE304" s="154">
        <v>20050140</v>
      </c>
      <c r="AF304" s="1298" t="s">
        <v>3423</v>
      </c>
      <c r="AG304" s="155">
        <v>2150150</v>
      </c>
      <c r="AH304" s="253">
        <f t="shared" si="448"/>
        <v>150510.5</v>
      </c>
      <c r="AI304" s="156">
        <f t="shared" si="449"/>
        <v>2300660.5</v>
      </c>
      <c r="AJ304" s="157">
        <v>44006</v>
      </c>
      <c r="AK304" s="152" t="s">
        <v>3423</v>
      </c>
      <c r="AL304" s="152"/>
      <c r="AM304" s="152"/>
      <c r="AN304" s="134" t="s">
        <v>4349</v>
      </c>
      <c r="AO304" s="158">
        <v>1</v>
      </c>
      <c r="AP304" s="159" t="s">
        <v>624</v>
      </c>
      <c r="AQ304" s="160"/>
      <c r="AR304" s="160" t="s">
        <v>3423</v>
      </c>
      <c r="AS304" s="161">
        <v>1</v>
      </c>
      <c r="AT304" s="162" t="s">
        <v>634</v>
      </c>
      <c r="AU304" s="158">
        <v>2</v>
      </c>
      <c r="AV304" s="154" t="s">
        <v>3670</v>
      </c>
      <c r="AW304" s="161"/>
      <c r="AX304" s="161" t="s">
        <v>3423</v>
      </c>
      <c r="AY304" s="161">
        <v>1</v>
      </c>
      <c r="AZ304" s="177" t="s">
        <v>2959</v>
      </c>
      <c r="BA304" s="158">
        <v>3</v>
      </c>
      <c r="BB304" s="154" t="s">
        <v>3671</v>
      </c>
      <c r="BC304" s="161"/>
      <c r="BD304" s="161" t="s">
        <v>3423</v>
      </c>
      <c r="BE304" s="161">
        <v>1</v>
      </c>
      <c r="BF304" s="177" t="s">
        <v>636</v>
      </c>
      <c r="BG304" s="158"/>
      <c r="BH304" s="163"/>
      <c r="BI304" s="158"/>
      <c r="BJ304" s="158"/>
      <c r="BK304" s="158"/>
      <c r="BL304" s="163"/>
      <c r="BM304" s="158"/>
      <c r="BN304" s="163"/>
      <c r="BO304" s="158"/>
      <c r="BP304" s="158"/>
      <c r="BQ304" s="158"/>
      <c r="BR304" s="163"/>
      <c r="BS304" s="158"/>
      <c r="BT304" s="163"/>
      <c r="BU304" s="158"/>
      <c r="BV304" s="158"/>
      <c r="BW304" s="158"/>
      <c r="BX304" s="163"/>
      <c r="BY304" s="158"/>
      <c r="BZ304" s="163"/>
      <c r="CA304" s="158"/>
      <c r="CB304" s="158"/>
      <c r="CC304" s="158"/>
      <c r="CD304" s="163"/>
      <c r="CE304" s="158"/>
      <c r="CF304" s="163"/>
      <c r="CG304" s="158"/>
      <c r="CH304" s="158"/>
      <c r="CI304" s="158"/>
      <c r="CJ304" s="158"/>
    </row>
    <row r="305" spans="1:88" x14ac:dyDescent="0.5">
      <c r="A305" s="262"/>
      <c r="B305" s="135"/>
      <c r="C305" s="1290"/>
      <c r="D305" s="1291"/>
      <c r="E305" s="906"/>
      <c r="F305" s="940"/>
      <c r="G305" s="941"/>
      <c r="H305" s="1316">
        <v>43973</v>
      </c>
      <c r="I305" s="1317">
        <v>63124</v>
      </c>
      <c r="J305" s="963"/>
      <c r="K305" s="964"/>
      <c r="L305" s="135"/>
      <c r="M305" s="141"/>
      <c r="N305" s="135"/>
      <c r="O305" s="142"/>
      <c r="P305" s="142"/>
      <c r="Q305" s="142"/>
      <c r="R305" s="213"/>
      <c r="S305" s="144"/>
      <c r="T305" s="145"/>
      <c r="U305" s="146"/>
      <c r="V305" s="1292"/>
      <c r="W305" s="1293"/>
      <c r="X305" s="1294"/>
      <c r="Y305" s="1295"/>
      <c r="Z305" s="1295"/>
      <c r="AA305" s="1308"/>
      <c r="AB305" s="1308"/>
      <c r="AC305" s="150"/>
      <c r="AD305" s="1297"/>
      <c r="AE305" s="154"/>
      <c r="AF305" s="1298"/>
      <c r="AG305" s="155"/>
      <c r="AH305" s="253"/>
      <c r="AI305" s="156"/>
      <c r="AJ305" s="157"/>
      <c r="AK305" s="152"/>
      <c r="AL305" s="152"/>
      <c r="AM305" s="152"/>
      <c r="AN305" s="134"/>
      <c r="AO305" s="158"/>
      <c r="AP305" s="159"/>
      <c r="AQ305" s="160"/>
      <c r="AR305" s="160"/>
      <c r="AS305" s="161"/>
      <c r="AT305" s="162"/>
      <c r="AU305" s="158"/>
      <c r="AV305" s="154"/>
      <c r="AW305" s="161"/>
      <c r="AX305" s="161"/>
      <c r="AY305" s="161"/>
      <c r="AZ305" s="177"/>
      <c r="BA305" s="158"/>
      <c r="BB305" s="154"/>
      <c r="BC305" s="161"/>
      <c r="BD305" s="161"/>
      <c r="BE305" s="161"/>
      <c r="BF305" s="177"/>
      <c r="BG305" s="158"/>
      <c r="BH305" s="163"/>
      <c r="BI305" s="158"/>
      <c r="BJ305" s="158"/>
      <c r="BK305" s="158"/>
      <c r="BL305" s="163"/>
      <c r="BM305" s="158"/>
      <c r="BN305" s="163"/>
      <c r="BO305" s="158"/>
      <c r="BP305" s="158"/>
      <c r="BQ305" s="158"/>
      <c r="BR305" s="163"/>
      <c r="BS305" s="158"/>
      <c r="BT305" s="163"/>
      <c r="BU305" s="158"/>
      <c r="BV305" s="158"/>
      <c r="BW305" s="158"/>
      <c r="BX305" s="163"/>
      <c r="BY305" s="158"/>
      <c r="BZ305" s="163"/>
      <c r="CA305" s="158"/>
      <c r="CB305" s="158"/>
      <c r="CC305" s="158"/>
      <c r="CD305" s="163"/>
      <c r="CE305" s="158"/>
      <c r="CF305" s="163"/>
      <c r="CG305" s="158"/>
      <c r="CH305" s="158"/>
      <c r="CI305" s="158"/>
      <c r="CJ305" s="158"/>
    </row>
    <row r="306" spans="1:88" x14ac:dyDescent="0.5">
      <c r="A306" s="262"/>
      <c r="B306" s="135"/>
      <c r="C306" s="1290"/>
      <c r="D306" s="1291"/>
      <c r="E306" s="906"/>
      <c r="F306" s="940"/>
      <c r="G306" s="941"/>
      <c r="H306" s="906">
        <v>43973</v>
      </c>
      <c r="I306" s="1138">
        <v>63125</v>
      </c>
      <c r="J306" s="963"/>
      <c r="K306" s="964"/>
      <c r="L306" s="135"/>
      <c r="M306" s="141"/>
      <c r="N306" s="135"/>
      <c r="O306" s="142"/>
      <c r="P306" s="142"/>
      <c r="Q306" s="142"/>
      <c r="R306" s="213"/>
      <c r="S306" s="144"/>
      <c r="T306" s="145"/>
      <c r="U306" s="146"/>
      <c r="V306" s="1292"/>
      <c r="W306" s="1293"/>
      <c r="X306" s="1294"/>
      <c r="Y306" s="1295"/>
      <c r="Z306" s="1295"/>
      <c r="AA306" s="1308"/>
      <c r="AB306" s="1308"/>
      <c r="AC306" s="150"/>
      <c r="AD306" s="1297"/>
      <c r="AE306" s="154"/>
      <c r="AF306" s="1298"/>
      <c r="AG306" s="155"/>
      <c r="AH306" s="253"/>
      <c r="AI306" s="156"/>
      <c r="AJ306" s="157"/>
      <c r="AK306" s="152"/>
      <c r="AL306" s="152"/>
      <c r="AM306" s="152"/>
      <c r="AN306" s="134"/>
      <c r="AO306" s="158"/>
      <c r="AP306" s="159"/>
      <c r="AQ306" s="160"/>
      <c r="AR306" s="160"/>
      <c r="AS306" s="161"/>
      <c r="AT306" s="162"/>
      <c r="AU306" s="158"/>
      <c r="AV306" s="154"/>
      <c r="AW306" s="161"/>
      <c r="AX306" s="161"/>
      <c r="AY306" s="161"/>
      <c r="AZ306" s="177"/>
      <c r="BA306" s="158"/>
      <c r="BB306" s="154"/>
      <c r="BC306" s="161"/>
      <c r="BD306" s="161"/>
      <c r="BE306" s="161"/>
      <c r="BF306" s="177"/>
      <c r="BG306" s="158"/>
      <c r="BH306" s="163"/>
      <c r="BI306" s="158"/>
      <c r="BJ306" s="158"/>
      <c r="BK306" s="158"/>
      <c r="BL306" s="163"/>
      <c r="BM306" s="158"/>
      <c r="BN306" s="163"/>
      <c r="BO306" s="158"/>
      <c r="BP306" s="158"/>
      <c r="BQ306" s="158"/>
      <c r="BR306" s="163"/>
      <c r="BS306" s="158"/>
      <c r="BT306" s="163"/>
      <c r="BU306" s="158"/>
      <c r="BV306" s="158"/>
      <c r="BW306" s="158"/>
      <c r="BX306" s="163"/>
      <c r="BY306" s="158"/>
      <c r="BZ306" s="163"/>
      <c r="CA306" s="158"/>
      <c r="CB306" s="158"/>
      <c r="CC306" s="158"/>
      <c r="CD306" s="163"/>
      <c r="CE306" s="158"/>
      <c r="CF306" s="163"/>
      <c r="CG306" s="158"/>
      <c r="CH306" s="158"/>
      <c r="CI306" s="158"/>
      <c r="CJ306" s="158"/>
    </row>
    <row r="307" spans="1:88" s="95" customFormat="1" x14ac:dyDescent="0.5">
      <c r="A307" s="754">
        <v>20036535</v>
      </c>
      <c r="B307" s="755">
        <v>19121168</v>
      </c>
      <c r="C307" s="1389" t="s">
        <v>1407</v>
      </c>
      <c r="D307" s="1390" t="s">
        <v>2691</v>
      </c>
      <c r="E307" s="899">
        <v>43951</v>
      </c>
      <c r="F307" s="942"/>
      <c r="G307" s="943"/>
      <c r="H307" s="1391"/>
      <c r="I307" s="1392"/>
      <c r="J307" s="967"/>
      <c r="K307" s="782"/>
      <c r="L307" s="755" t="s">
        <v>3672</v>
      </c>
      <c r="M307" s="759" t="s">
        <v>3673</v>
      </c>
      <c r="N307" s="755" t="s">
        <v>52</v>
      </c>
      <c r="O307" s="760">
        <v>80000</v>
      </c>
      <c r="P307" s="760">
        <f t="shared" si="323"/>
        <v>5600</v>
      </c>
      <c r="Q307" s="760">
        <f t="shared" si="444"/>
        <v>85600</v>
      </c>
      <c r="R307" s="919"/>
      <c r="S307" s="1400" t="s">
        <v>568</v>
      </c>
      <c r="T307" s="1401">
        <f t="shared" ref="T307:T310" si="456">O307-R307</f>
        <v>80000</v>
      </c>
      <c r="U307" s="1402">
        <v>5</v>
      </c>
      <c r="V307" s="1403">
        <f t="shared" ref="V307:V310" si="457">T307*U307/100</f>
        <v>4000</v>
      </c>
      <c r="W307" s="1404">
        <v>61.49</v>
      </c>
      <c r="X307" s="1405">
        <f t="shared" ref="X307:X310" si="458">T307-V307</f>
        <v>76000</v>
      </c>
      <c r="Y307" s="1406">
        <f t="shared" si="328"/>
        <v>0.21274999999999994</v>
      </c>
      <c r="Z307" s="1406">
        <f>76000*0.21/100</f>
        <v>159.6</v>
      </c>
      <c r="AA307" s="1407">
        <v>0.5</v>
      </c>
      <c r="AB307" s="1407">
        <f t="shared" ref="AB307:AB310" si="459">X307*AA307/100</f>
        <v>380</v>
      </c>
      <c r="AC307" s="768">
        <v>0.2</v>
      </c>
      <c r="AD307" s="1408">
        <f t="shared" ref="AD307:AD310" si="460">X307*AC307/100</f>
        <v>152</v>
      </c>
      <c r="AE307" s="771">
        <v>20060147</v>
      </c>
      <c r="AF307" s="1409"/>
      <c r="AG307" s="819">
        <v>24000</v>
      </c>
      <c r="AH307" s="820">
        <f t="shared" si="330"/>
        <v>1680</v>
      </c>
      <c r="AI307" s="821">
        <f t="shared" si="445"/>
        <v>25680</v>
      </c>
      <c r="AJ307" s="822">
        <v>43986</v>
      </c>
      <c r="AK307" s="775"/>
      <c r="AL307" s="775"/>
      <c r="AM307" s="775"/>
      <c r="AN307" s="776"/>
      <c r="AO307" s="777">
        <v>1</v>
      </c>
      <c r="AP307" s="778" t="s">
        <v>715</v>
      </c>
      <c r="AQ307" s="779"/>
      <c r="AR307" s="779" t="s">
        <v>3423</v>
      </c>
      <c r="AS307" s="780">
        <v>1</v>
      </c>
      <c r="AT307" s="781" t="s">
        <v>634</v>
      </c>
      <c r="AU307" s="777">
        <v>2</v>
      </c>
      <c r="AV307" s="782" t="s">
        <v>3674</v>
      </c>
      <c r="AW307" s="780"/>
      <c r="AX307" s="780" t="s">
        <v>3423</v>
      </c>
      <c r="AY307" s="780">
        <v>1</v>
      </c>
      <c r="AZ307" s="783" t="s">
        <v>636</v>
      </c>
      <c r="BA307" s="777"/>
      <c r="BB307" s="784"/>
      <c r="BC307" s="777"/>
      <c r="BD307" s="777"/>
      <c r="BE307" s="777"/>
      <c r="BF307" s="784"/>
      <c r="BG307" s="777"/>
      <c r="BH307" s="784"/>
      <c r="BI307" s="777"/>
      <c r="BJ307" s="777"/>
      <c r="BK307" s="777"/>
      <c r="BL307" s="784"/>
      <c r="BM307" s="777"/>
      <c r="BN307" s="784"/>
      <c r="BO307" s="777"/>
      <c r="BP307" s="777"/>
      <c r="BQ307" s="777"/>
      <c r="BR307" s="784"/>
      <c r="BS307" s="777"/>
      <c r="BT307" s="784"/>
      <c r="BU307" s="777"/>
      <c r="BV307" s="777"/>
      <c r="BW307" s="777"/>
      <c r="BX307" s="784"/>
      <c r="BY307" s="777"/>
      <c r="BZ307" s="784"/>
      <c r="CA307" s="777"/>
      <c r="CB307" s="777"/>
      <c r="CC307" s="777"/>
      <c r="CD307" s="784"/>
      <c r="CE307" s="777"/>
      <c r="CF307" s="784"/>
      <c r="CG307" s="777"/>
      <c r="CH307" s="777"/>
      <c r="CI307" s="777"/>
      <c r="CJ307" s="777"/>
    </row>
    <row r="308" spans="1:88" s="95" customFormat="1" x14ac:dyDescent="0.5">
      <c r="A308" s="785"/>
      <c r="B308" s="786"/>
      <c r="C308" s="1385"/>
      <c r="D308" s="1386"/>
      <c r="E308" s="907"/>
      <c r="F308" s="944"/>
      <c r="G308" s="945"/>
      <c r="H308" s="1387"/>
      <c r="I308" s="1388"/>
      <c r="J308" s="968"/>
      <c r="K308" s="802"/>
      <c r="L308" s="786"/>
      <c r="M308" s="790"/>
      <c r="N308" s="786"/>
      <c r="O308" s="791"/>
      <c r="P308" s="791"/>
      <c r="Q308" s="791"/>
      <c r="R308" s="1042"/>
      <c r="S308" s="924"/>
      <c r="T308" s="925"/>
      <c r="U308" s="926"/>
      <c r="V308" s="1393"/>
      <c r="W308" s="1394"/>
      <c r="X308" s="1395"/>
      <c r="Y308" s="1374"/>
      <c r="Z308" s="1374"/>
      <c r="AA308" s="1396"/>
      <c r="AB308" s="1396"/>
      <c r="AC308" s="799"/>
      <c r="AD308" s="1397"/>
      <c r="AE308" s="802">
        <v>20060148</v>
      </c>
      <c r="AF308" s="1398" t="s">
        <v>3423</v>
      </c>
      <c r="AG308" s="838">
        <v>56000</v>
      </c>
      <c r="AH308" s="1399">
        <f t="shared" si="330"/>
        <v>3920</v>
      </c>
      <c r="AI308" s="839">
        <f t="shared" si="445"/>
        <v>59920</v>
      </c>
      <c r="AJ308" s="840">
        <v>43986</v>
      </c>
      <c r="AK308" s="801"/>
      <c r="AL308" s="801"/>
      <c r="AM308" s="801"/>
      <c r="AN308" s="785"/>
      <c r="AO308" s="806"/>
      <c r="AP308" s="807"/>
      <c r="AQ308" s="808"/>
      <c r="AR308" s="808"/>
      <c r="AS308" s="809"/>
      <c r="AT308" s="810"/>
      <c r="AU308" s="806"/>
      <c r="AV308" s="802"/>
      <c r="AW308" s="809"/>
      <c r="AX308" s="809"/>
      <c r="AY308" s="809"/>
      <c r="AZ308" s="811"/>
      <c r="BA308" s="806"/>
      <c r="BB308" s="812"/>
      <c r="BC308" s="806"/>
      <c r="BD308" s="806"/>
      <c r="BE308" s="806"/>
      <c r="BF308" s="812"/>
      <c r="BG308" s="806"/>
      <c r="BH308" s="812"/>
      <c r="BI308" s="806"/>
      <c r="BJ308" s="806"/>
      <c r="BK308" s="806"/>
      <c r="BL308" s="812"/>
      <c r="BM308" s="806"/>
      <c r="BN308" s="812"/>
      <c r="BO308" s="806"/>
      <c r="BP308" s="806"/>
      <c r="BQ308" s="806"/>
      <c r="BR308" s="812"/>
      <c r="BS308" s="806"/>
      <c r="BT308" s="812"/>
      <c r="BU308" s="806"/>
      <c r="BV308" s="806"/>
      <c r="BW308" s="806"/>
      <c r="BX308" s="812"/>
      <c r="BY308" s="806"/>
      <c r="BZ308" s="812"/>
      <c r="CA308" s="806"/>
      <c r="CB308" s="806"/>
      <c r="CC308" s="806"/>
      <c r="CD308" s="812"/>
      <c r="CE308" s="806"/>
      <c r="CF308" s="812"/>
      <c r="CG308" s="806"/>
      <c r="CH308" s="806"/>
      <c r="CI308" s="806"/>
      <c r="CJ308" s="806"/>
    </row>
    <row r="309" spans="1:88" x14ac:dyDescent="0.5">
      <c r="A309" s="227">
        <v>20036534</v>
      </c>
      <c r="B309" s="22">
        <v>20030220</v>
      </c>
      <c r="C309" s="1019" t="s">
        <v>1408</v>
      </c>
      <c r="D309" s="1020" t="s">
        <v>2691</v>
      </c>
      <c r="E309" s="884">
        <v>43917</v>
      </c>
      <c r="F309" s="932" t="s">
        <v>3368</v>
      </c>
      <c r="G309" s="933" t="s">
        <v>1402</v>
      </c>
      <c r="H309" s="884">
        <v>43916</v>
      </c>
      <c r="I309" s="1021">
        <v>63085</v>
      </c>
      <c r="J309" s="931" t="s">
        <v>3423</v>
      </c>
      <c r="K309" s="957">
        <v>43917</v>
      </c>
      <c r="L309" s="22" t="s">
        <v>1160</v>
      </c>
      <c r="M309" s="28" t="s">
        <v>3675</v>
      </c>
      <c r="N309" s="22" t="s">
        <v>50</v>
      </c>
      <c r="O309" s="29">
        <v>9690</v>
      </c>
      <c r="P309" s="29">
        <f t="shared" si="323"/>
        <v>678.3</v>
      </c>
      <c r="Q309" s="29">
        <f t="shared" si="444"/>
        <v>10368.299999999999</v>
      </c>
      <c r="R309" s="61"/>
      <c r="S309" s="96"/>
      <c r="T309" s="97"/>
      <c r="U309" s="98"/>
      <c r="V309" s="1225"/>
      <c r="W309" s="1231">
        <v>62</v>
      </c>
      <c r="X309" s="1184">
        <f>O309</f>
        <v>9690</v>
      </c>
      <c r="Y309" s="1223">
        <f t="shared" si="328"/>
        <v>0.2</v>
      </c>
      <c r="Z309" s="1240">
        <f t="shared" ref="Z309" si="461">X309*Y309/100</f>
        <v>19.38</v>
      </c>
      <c r="AA309" s="1225"/>
      <c r="AB309" s="1225"/>
      <c r="AC309" s="37">
        <v>0.2</v>
      </c>
      <c r="AD309" s="1234">
        <f t="shared" si="460"/>
        <v>19.38</v>
      </c>
      <c r="AE309" s="40">
        <v>20040089</v>
      </c>
      <c r="AF309" s="1186" t="s">
        <v>3423</v>
      </c>
      <c r="AG309" s="41">
        <v>9690</v>
      </c>
      <c r="AH309" s="63">
        <f t="shared" si="330"/>
        <v>678.3</v>
      </c>
      <c r="AI309" s="52">
        <f t="shared" si="445"/>
        <v>10368.299999999999</v>
      </c>
      <c r="AJ309" s="53">
        <v>43958</v>
      </c>
      <c r="AK309" s="39" t="s">
        <v>3423</v>
      </c>
      <c r="AL309" s="39"/>
      <c r="AM309" s="39"/>
      <c r="AN309" s="21" t="s">
        <v>4024</v>
      </c>
      <c r="AO309" s="1306">
        <v>1</v>
      </c>
      <c r="AP309" s="45" t="s">
        <v>3676</v>
      </c>
      <c r="AQ309" s="46"/>
      <c r="AR309" s="46" t="s">
        <v>3423</v>
      </c>
      <c r="AS309" s="47">
        <v>1</v>
      </c>
      <c r="AT309" s="48" t="s">
        <v>634</v>
      </c>
      <c r="AU309" s="1310"/>
      <c r="AV309" s="54"/>
      <c r="AW309" s="1310"/>
      <c r="AX309" s="1310"/>
      <c r="AY309" s="1310"/>
      <c r="AZ309" s="54"/>
      <c r="BA309" s="1310"/>
      <c r="BB309" s="54"/>
      <c r="BC309" s="1310"/>
      <c r="BD309" s="1310"/>
      <c r="BE309" s="1310"/>
      <c r="BF309" s="54"/>
      <c r="BG309" s="1310"/>
      <c r="BH309" s="54"/>
      <c r="BI309" s="1310"/>
      <c r="BJ309" s="1310"/>
      <c r="BK309" s="1310"/>
      <c r="BL309" s="54"/>
      <c r="BM309" s="1310"/>
      <c r="BN309" s="54"/>
      <c r="BO309" s="1310"/>
      <c r="BP309" s="1310"/>
      <c r="BQ309" s="1310"/>
      <c r="BR309" s="54"/>
      <c r="BS309" s="1310"/>
      <c r="BT309" s="54"/>
      <c r="BU309" s="1310"/>
      <c r="BV309" s="1310"/>
      <c r="BW309" s="1310"/>
      <c r="BX309" s="54"/>
      <c r="BY309" s="1310"/>
      <c r="BZ309" s="54"/>
      <c r="CA309" s="1310"/>
      <c r="CB309" s="1310"/>
      <c r="CC309" s="1310"/>
      <c r="CD309" s="54"/>
      <c r="CE309" s="1310"/>
      <c r="CF309" s="54"/>
      <c r="CG309" s="1310"/>
      <c r="CH309" s="1310"/>
      <c r="CI309" s="1310"/>
      <c r="CJ309" s="1310"/>
    </row>
    <row r="310" spans="1:88" x14ac:dyDescent="0.5">
      <c r="A310" s="227">
        <v>20036533</v>
      </c>
      <c r="B310" s="22">
        <v>20030211</v>
      </c>
      <c r="C310" s="1019" t="s">
        <v>1409</v>
      </c>
      <c r="D310" s="1020" t="s">
        <v>2691</v>
      </c>
      <c r="E310" s="884">
        <v>43923</v>
      </c>
      <c r="F310" s="932" t="s">
        <v>3368</v>
      </c>
      <c r="G310" s="933" t="s">
        <v>1399</v>
      </c>
      <c r="H310" s="884">
        <v>43923</v>
      </c>
      <c r="I310" s="1021">
        <v>63089</v>
      </c>
      <c r="J310" s="931" t="s">
        <v>3423</v>
      </c>
      <c r="K310" s="957">
        <v>43924</v>
      </c>
      <c r="L310" s="22" t="s">
        <v>537</v>
      </c>
      <c r="M310" s="28" t="s">
        <v>3690</v>
      </c>
      <c r="N310" s="22" t="s">
        <v>52</v>
      </c>
      <c r="O310" s="29">
        <v>68000</v>
      </c>
      <c r="P310" s="29">
        <f t="shared" si="323"/>
        <v>4760</v>
      </c>
      <c r="Q310" s="29">
        <f t="shared" si="444"/>
        <v>72760</v>
      </c>
      <c r="R310" s="30">
        <v>7000</v>
      </c>
      <c r="S310" s="31" t="s">
        <v>568</v>
      </c>
      <c r="T310" s="32">
        <f t="shared" si="456"/>
        <v>61000</v>
      </c>
      <c r="U310" s="33">
        <v>5</v>
      </c>
      <c r="V310" s="1251">
        <f t="shared" si="457"/>
        <v>3050</v>
      </c>
      <c r="W310" s="1231">
        <v>58.54</v>
      </c>
      <c r="X310" s="1184">
        <f t="shared" si="458"/>
        <v>57950</v>
      </c>
      <c r="Y310" s="1223">
        <f t="shared" si="328"/>
        <v>0.28650000000000003</v>
      </c>
      <c r="Z310" s="1223">
        <f>X310*0.28/100</f>
        <v>162.26000000000002</v>
      </c>
      <c r="AA310" s="1228">
        <v>0.5</v>
      </c>
      <c r="AB310" s="1228">
        <f t="shared" si="459"/>
        <v>289.75</v>
      </c>
      <c r="AC310" s="37">
        <v>0.2</v>
      </c>
      <c r="AD310" s="1234">
        <f t="shared" si="460"/>
        <v>115.9</v>
      </c>
      <c r="AE310" s="40">
        <v>20040087</v>
      </c>
      <c r="AF310" s="1186" t="s">
        <v>3423</v>
      </c>
      <c r="AG310" s="41">
        <v>68000</v>
      </c>
      <c r="AH310" s="63">
        <f t="shared" si="330"/>
        <v>4760</v>
      </c>
      <c r="AI310" s="52">
        <f t="shared" si="445"/>
        <v>72760</v>
      </c>
      <c r="AJ310" s="53">
        <v>43922</v>
      </c>
      <c r="AK310" s="39" t="s">
        <v>3423</v>
      </c>
      <c r="AL310" s="39"/>
      <c r="AM310" s="39"/>
      <c r="AN310" s="21" t="s">
        <v>3817</v>
      </c>
      <c r="AO310" s="1306">
        <v>1</v>
      </c>
      <c r="AP310" s="45" t="s">
        <v>599</v>
      </c>
      <c r="AQ310" s="46"/>
      <c r="AR310" s="46" t="s">
        <v>3423</v>
      </c>
      <c r="AS310" s="47">
        <v>1</v>
      </c>
      <c r="AT310" s="48" t="s">
        <v>634</v>
      </c>
      <c r="AU310" s="1306">
        <v>2</v>
      </c>
      <c r="AV310" s="40" t="s">
        <v>600</v>
      </c>
      <c r="AW310" s="47"/>
      <c r="AX310" s="47" t="s">
        <v>3423</v>
      </c>
      <c r="AY310" s="47">
        <v>1</v>
      </c>
      <c r="AZ310" s="49" t="s">
        <v>636</v>
      </c>
      <c r="BA310" s="1310"/>
      <c r="BB310" s="54"/>
      <c r="BC310" s="1310"/>
      <c r="BD310" s="1310"/>
      <c r="BE310" s="1310"/>
      <c r="BF310" s="54"/>
      <c r="BG310" s="1310"/>
      <c r="BH310" s="54"/>
      <c r="BI310" s="1310"/>
      <c r="BJ310" s="1310"/>
      <c r="BK310" s="1310"/>
      <c r="BL310" s="54"/>
      <c r="BM310" s="1310"/>
      <c r="BN310" s="54"/>
      <c r="BO310" s="1310"/>
      <c r="BP310" s="1310"/>
      <c r="BQ310" s="1310"/>
      <c r="BR310" s="54"/>
      <c r="BS310" s="1310"/>
      <c r="BT310" s="54"/>
      <c r="BU310" s="1310"/>
      <c r="BV310" s="1310"/>
      <c r="BW310" s="1310"/>
      <c r="BX310" s="54"/>
      <c r="BY310" s="1310"/>
      <c r="BZ310" s="54"/>
      <c r="CA310" s="1310"/>
      <c r="CB310" s="1310"/>
      <c r="CC310" s="1310"/>
      <c r="CD310" s="54"/>
      <c r="CE310" s="1310"/>
      <c r="CF310" s="54"/>
      <c r="CG310" s="1310"/>
      <c r="CH310" s="1310"/>
      <c r="CI310" s="1310"/>
      <c r="CJ310" s="1310"/>
    </row>
    <row r="311" spans="1:88" x14ac:dyDescent="0.5">
      <c r="A311" s="259">
        <v>20036532</v>
      </c>
      <c r="B311" s="104">
        <v>20030218</v>
      </c>
      <c r="C311" s="1243" t="s">
        <v>1410</v>
      </c>
      <c r="D311" s="1244" t="s">
        <v>2691</v>
      </c>
      <c r="E311" s="302">
        <v>43931</v>
      </c>
      <c r="F311" s="936" t="s">
        <v>3368</v>
      </c>
      <c r="G311" s="937" t="s">
        <v>1393</v>
      </c>
      <c r="H311" s="302">
        <v>43936</v>
      </c>
      <c r="I311" s="1124">
        <v>63099</v>
      </c>
      <c r="J311" s="960" t="s">
        <v>3423</v>
      </c>
      <c r="K311" s="965">
        <v>43939</v>
      </c>
      <c r="L311" s="104" t="s">
        <v>3677</v>
      </c>
      <c r="M311" s="110" t="s">
        <v>3678</v>
      </c>
      <c r="N311" s="104" t="s">
        <v>52</v>
      </c>
      <c r="O311" s="111">
        <v>114600</v>
      </c>
      <c r="P311" s="111">
        <f t="shared" ref="P311:P323" si="462">O311*7/100</f>
        <v>8022</v>
      </c>
      <c r="Q311" s="111">
        <f t="shared" si="324"/>
        <v>122622</v>
      </c>
      <c r="R311" s="311">
        <v>16000</v>
      </c>
      <c r="S311" s="113" t="s">
        <v>2052</v>
      </c>
      <c r="T311" s="114">
        <f t="shared" si="325"/>
        <v>98600</v>
      </c>
      <c r="U311" s="115">
        <v>5</v>
      </c>
      <c r="V311" s="1252">
        <f t="shared" si="326"/>
        <v>4930</v>
      </c>
      <c r="W311" s="1245">
        <v>52.5</v>
      </c>
      <c r="X311" s="1246">
        <f t="shared" si="327"/>
        <v>93670</v>
      </c>
      <c r="Y311" s="1247">
        <f t="shared" ref="Y311:Y323" si="463">SUM((50-W311)/(100)*(2.5)+(0.5))</f>
        <v>0.4375</v>
      </c>
      <c r="Z311" s="1247">
        <f>X311*0.43/100</f>
        <v>402.78100000000001</v>
      </c>
      <c r="AA311" s="1265">
        <v>0.5</v>
      </c>
      <c r="AB311" s="1265">
        <f t="shared" si="0"/>
        <v>468.35</v>
      </c>
      <c r="AC311" s="119">
        <v>0.2</v>
      </c>
      <c r="AD311" s="1248">
        <f t="shared" si="329"/>
        <v>187.34</v>
      </c>
      <c r="AE311" s="229">
        <v>20030076</v>
      </c>
      <c r="AF311" s="1313"/>
      <c r="AG311" s="230">
        <v>34380</v>
      </c>
      <c r="AH311" s="233">
        <f t="shared" ref="AH311:AH323" si="464">AG311*7/100</f>
        <v>2406.6</v>
      </c>
      <c r="AI311" s="220">
        <f t="shared" si="331"/>
        <v>36786.6</v>
      </c>
      <c r="AJ311" s="221">
        <v>43915</v>
      </c>
      <c r="AK311" s="121" t="s">
        <v>3423</v>
      </c>
      <c r="AL311" s="121"/>
      <c r="AM311" s="121"/>
      <c r="AN311" s="222" t="s">
        <v>3694</v>
      </c>
      <c r="AO311" s="128">
        <v>1</v>
      </c>
      <c r="AP311" s="129" t="s">
        <v>1607</v>
      </c>
      <c r="AQ311" s="130"/>
      <c r="AR311" s="130" t="s">
        <v>3423</v>
      </c>
      <c r="AS311" s="131">
        <v>1</v>
      </c>
      <c r="AT311" s="132" t="s">
        <v>636</v>
      </c>
      <c r="AU311" s="128"/>
      <c r="AV311" s="133"/>
      <c r="AW311" s="128"/>
      <c r="AX311" s="128"/>
      <c r="AY311" s="128"/>
      <c r="AZ311" s="133"/>
      <c r="BA311" s="128"/>
      <c r="BB311" s="133"/>
      <c r="BC311" s="128"/>
      <c r="BD311" s="128"/>
      <c r="BE311" s="128"/>
      <c r="BF311" s="133"/>
      <c r="BG311" s="128"/>
      <c r="BH311" s="133"/>
      <c r="BI311" s="128"/>
      <c r="BJ311" s="128"/>
      <c r="BK311" s="128"/>
      <c r="BL311" s="133"/>
      <c r="BM311" s="128"/>
      <c r="BN311" s="133"/>
      <c r="BO311" s="128"/>
      <c r="BP311" s="128"/>
      <c r="BQ311" s="128"/>
      <c r="BR311" s="133"/>
      <c r="BS311" s="128"/>
      <c r="BT311" s="133"/>
      <c r="BU311" s="128"/>
      <c r="BV311" s="128"/>
      <c r="BW311" s="128"/>
      <c r="BX311" s="133"/>
      <c r="BY311" s="128"/>
      <c r="BZ311" s="133"/>
      <c r="CA311" s="128"/>
      <c r="CB311" s="128"/>
      <c r="CC311" s="128"/>
      <c r="CD311" s="133"/>
      <c r="CE311" s="128"/>
      <c r="CF311" s="133"/>
      <c r="CG311" s="128"/>
      <c r="CH311" s="128"/>
      <c r="CI311" s="128"/>
      <c r="CJ311" s="128"/>
    </row>
    <row r="312" spans="1:88" x14ac:dyDescent="0.5">
      <c r="A312" s="268"/>
      <c r="B312" s="181"/>
      <c r="C312" s="1236"/>
      <c r="D312" s="1237"/>
      <c r="E312" s="749"/>
      <c r="F312" s="938"/>
      <c r="G312" s="939"/>
      <c r="H312" s="304"/>
      <c r="I312" s="1125"/>
      <c r="J312" s="961"/>
      <c r="K312" s="200"/>
      <c r="L312" s="181"/>
      <c r="M312" s="188"/>
      <c r="N312" s="181"/>
      <c r="O312" s="189"/>
      <c r="P312" s="189"/>
      <c r="Q312" s="189"/>
      <c r="R312" s="190"/>
      <c r="S312" s="215"/>
      <c r="T312" s="216"/>
      <c r="U312" s="217"/>
      <c r="V312" s="1253"/>
      <c r="W312" s="1238"/>
      <c r="X312" s="1239"/>
      <c r="Y312" s="1240"/>
      <c r="Z312" s="1240"/>
      <c r="AA312" s="1263"/>
      <c r="AB312" s="1263"/>
      <c r="AC312" s="197"/>
      <c r="AD312" s="1241"/>
      <c r="AE312" s="200">
        <v>20040094</v>
      </c>
      <c r="AF312" s="1242" t="s">
        <v>3423</v>
      </c>
      <c r="AG312" s="201">
        <v>80220</v>
      </c>
      <c r="AH312" s="237">
        <f t="shared" si="464"/>
        <v>5615.4</v>
      </c>
      <c r="AI312" s="202">
        <f t="shared" si="331"/>
        <v>85835.4</v>
      </c>
      <c r="AJ312" s="203">
        <v>43930</v>
      </c>
      <c r="AK312" s="199" t="s">
        <v>3423</v>
      </c>
      <c r="AL312" s="199"/>
      <c r="AM312" s="199"/>
      <c r="AN312" s="180" t="s">
        <v>3797</v>
      </c>
      <c r="AO312" s="204"/>
      <c r="AP312" s="205"/>
      <c r="AQ312" s="206"/>
      <c r="AR312" s="206"/>
      <c r="AS312" s="207"/>
      <c r="AT312" s="208"/>
      <c r="AU312" s="204"/>
      <c r="AV312" s="210"/>
      <c r="AW312" s="204"/>
      <c r="AX312" s="204"/>
      <c r="AY312" s="204"/>
      <c r="AZ312" s="210"/>
      <c r="BA312" s="204"/>
      <c r="BB312" s="210"/>
      <c r="BC312" s="204"/>
      <c r="BD312" s="204"/>
      <c r="BE312" s="204"/>
      <c r="BF312" s="210"/>
      <c r="BG312" s="204"/>
      <c r="BH312" s="210"/>
      <c r="BI312" s="204"/>
      <c r="BJ312" s="204"/>
      <c r="BK312" s="204"/>
      <c r="BL312" s="210"/>
      <c r="BM312" s="204"/>
      <c r="BN312" s="210"/>
      <c r="BO312" s="204"/>
      <c r="BP312" s="204"/>
      <c r="BQ312" s="204"/>
      <c r="BR312" s="210"/>
      <c r="BS312" s="204"/>
      <c r="BT312" s="210"/>
      <c r="BU312" s="204"/>
      <c r="BV312" s="204"/>
      <c r="BW312" s="204"/>
      <c r="BX312" s="210"/>
      <c r="BY312" s="204"/>
      <c r="BZ312" s="210"/>
      <c r="CA312" s="204"/>
      <c r="CB312" s="204"/>
      <c r="CC312" s="204"/>
      <c r="CD312" s="210"/>
      <c r="CE312" s="204"/>
      <c r="CF312" s="210"/>
      <c r="CG312" s="204"/>
      <c r="CH312" s="204"/>
      <c r="CI312" s="204"/>
      <c r="CJ312" s="204"/>
    </row>
    <row r="313" spans="1:88" x14ac:dyDescent="0.5">
      <c r="A313" s="227">
        <v>20036531</v>
      </c>
      <c r="B313" s="22">
        <v>20030219</v>
      </c>
      <c r="C313" s="55"/>
      <c r="D313" s="56"/>
      <c r="E313" s="910"/>
      <c r="F313" s="57"/>
      <c r="G313" s="58"/>
      <c r="H313" s="59"/>
      <c r="I313" s="60"/>
      <c r="J313" s="269"/>
      <c r="K313" s="59"/>
      <c r="L313" s="22" t="s">
        <v>2072</v>
      </c>
      <c r="M313" s="28" t="s">
        <v>3679</v>
      </c>
      <c r="N313" s="22" t="s">
        <v>51</v>
      </c>
      <c r="O313" s="29">
        <v>77400</v>
      </c>
      <c r="P313" s="29">
        <f t="shared" si="462"/>
        <v>5418</v>
      </c>
      <c r="Q313" s="29">
        <f t="shared" si="324"/>
        <v>82818</v>
      </c>
      <c r="R313" s="61"/>
      <c r="S313" s="96"/>
      <c r="T313" s="97"/>
      <c r="U313" s="98"/>
      <c r="V313" s="1225"/>
      <c r="W313" s="1225"/>
      <c r="X313" s="100"/>
      <c r="Y313" s="1225"/>
      <c r="Z313" s="1225"/>
      <c r="AA313" s="1225"/>
      <c r="AB313" s="1225"/>
      <c r="AC313" s="100"/>
      <c r="AD313" s="595"/>
      <c r="AE313" s="40">
        <v>20040098</v>
      </c>
      <c r="AF313" s="1186" t="s">
        <v>3423</v>
      </c>
      <c r="AG313" s="41">
        <v>77400</v>
      </c>
      <c r="AH313" s="63">
        <f t="shared" si="464"/>
        <v>5418</v>
      </c>
      <c r="AI313" s="52">
        <f t="shared" si="331"/>
        <v>82818</v>
      </c>
      <c r="AJ313" s="53">
        <v>43964</v>
      </c>
      <c r="AK313" s="39" t="s">
        <v>3423</v>
      </c>
      <c r="AL313" s="39"/>
      <c r="AM313" s="39"/>
      <c r="AN313" s="21" t="s">
        <v>4025</v>
      </c>
      <c r="AO313" s="1304">
        <v>1</v>
      </c>
      <c r="AP313" s="45" t="s">
        <v>3680</v>
      </c>
      <c r="AQ313" s="46"/>
      <c r="AR313" s="46"/>
      <c r="AS313" s="47">
        <v>1</v>
      </c>
      <c r="AT313" s="48" t="s">
        <v>628</v>
      </c>
      <c r="AU313" s="1310"/>
      <c r="AV313" s="54"/>
      <c r="AW313" s="1310"/>
      <c r="AX313" s="1310"/>
      <c r="AY313" s="1310"/>
      <c r="AZ313" s="54"/>
      <c r="BA313" s="1310"/>
      <c r="BB313" s="54"/>
      <c r="BC313" s="1310"/>
      <c r="BD313" s="1310"/>
      <c r="BE313" s="1310"/>
      <c r="BF313" s="54"/>
      <c r="BG313" s="1310"/>
      <c r="BH313" s="54"/>
      <c r="BI313" s="1310"/>
      <c r="BJ313" s="1310"/>
      <c r="BK313" s="1310"/>
      <c r="BL313" s="54"/>
      <c r="BM313" s="1310"/>
      <c r="BN313" s="54"/>
      <c r="BO313" s="1310"/>
      <c r="BP313" s="1310"/>
      <c r="BQ313" s="1310"/>
      <c r="BR313" s="54"/>
      <c r="BS313" s="1310"/>
      <c r="BT313" s="54"/>
      <c r="BU313" s="1310"/>
      <c r="BV313" s="1310"/>
      <c r="BW313" s="1310"/>
      <c r="BX313" s="54"/>
      <c r="BY313" s="1310"/>
      <c r="BZ313" s="54"/>
      <c r="CA313" s="1310"/>
      <c r="CB313" s="1310"/>
      <c r="CC313" s="1310"/>
      <c r="CD313" s="54"/>
      <c r="CE313" s="1310"/>
      <c r="CF313" s="54"/>
      <c r="CG313" s="1310"/>
      <c r="CH313" s="1310"/>
      <c r="CI313" s="1310"/>
      <c r="CJ313" s="1310"/>
    </row>
    <row r="314" spans="1:88" s="95" customFormat="1" x14ac:dyDescent="0.5">
      <c r="A314" s="65">
        <v>20036530</v>
      </c>
      <c r="B314" s="66">
        <v>20030217</v>
      </c>
      <c r="C314" s="327" t="s">
        <v>1411</v>
      </c>
      <c r="D314" s="328" t="s">
        <v>2691</v>
      </c>
      <c r="E314" s="905">
        <v>44002</v>
      </c>
      <c r="F314" s="934"/>
      <c r="G314" s="935"/>
      <c r="H314" s="326"/>
      <c r="I314" s="331"/>
      <c r="J314" s="958"/>
      <c r="K314" s="84"/>
      <c r="L314" s="66" t="s">
        <v>3544</v>
      </c>
      <c r="M314" s="72" t="s">
        <v>3681</v>
      </c>
      <c r="N314" s="66" t="s">
        <v>1523</v>
      </c>
      <c r="O314" s="73">
        <v>37383.18</v>
      </c>
      <c r="P314" s="73">
        <f t="shared" ref="P314:P317" si="465">O314*7/100</f>
        <v>2616.8226</v>
      </c>
      <c r="Q314" s="73">
        <f t="shared" ref="Q314:Q317" si="466">O314+P314</f>
        <v>40000.0026</v>
      </c>
      <c r="R314" s="318"/>
      <c r="S314" s="75" t="s">
        <v>3734</v>
      </c>
      <c r="T314" s="76">
        <f t="shared" ref="T314" si="467">O314-R314</f>
        <v>37383.18</v>
      </c>
      <c r="U314" s="77">
        <v>5</v>
      </c>
      <c r="V314" s="1370">
        <f t="shared" ref="V314" si="468">T314*U314/100</f>
        <v>1869.1589999999999</v>
      </c>
      <c r="W314" s="1420">
        <v>59.49</v>
      </c>
      <c r="X314" s="1421">
        <f t="shared" ref="X314" si="469">T314-V314</f>
        <v>35514.021000000001</v>
      </c>
      <c r="Y314" s="1422">
        <f t="shared" ref="Y314:Y317" si="470">SUM((50-W314)/(100)*(2.5)+(0.5))</f>
        <v>0.26274999999999993</v>
      </c>
      <c r="Z314" s="1422">
        <f>35514.02*0.26/100</f>
        <v>92.336451999999994</v>
      </c>
      <c r="AA314" s="1321"/>
      <c r="AB314" s="1321"/>
      <c r="AC314" s="81">
        <v>0.2</v>
      </c>
      <c r="AD314" s="1423">
        <f t="shared" ref="AD314:AD317" si="471">X314*AC314/100</f>
        <v>71.028041999999999</v>
      </c>
      <c r="AE314" s="84"/>
      <c r="AF314" s="1323"/>
      <c r="AG314" s="85"/>
      <c r="AH314" s="590">
        <f t="shared" ref="AH314:AH317" si="472">AG314*7/100</f>
        <v>0</v>
      </c>
      <c r="AI314" s="908">
        <f t="shared" ref="AI314:AI317" si="473">AG314+AH314</f>
        <v>0</v>
      </c>
      <c r="AJ314" s="87"/>
      <c r="AK314" s="83"/>
      <c r="AL314" s="83"/>
      <c r="AM314" s="83"/>
      <c r="AN314" s="65"/>
      <c r="AO314" s="88">
        <v>1</v>
      </c>
      <c r="AP314" s="89" t="s">
        <v>3682</v>
      </c>
      <c r="AQ314" s="90"/>
      <c r="AR314" s="90" t="s">
        <v>3423</v>
      </c>
      <c r="AS314" s="91">
        <v>1</v>
      </c>
      <c r="AT314" s="92" t="s">
        <v>634</v>
      </c>
      <c r="AU314" s="88"/>
      <c r="AV314" s="94"/>
      <c r="AW314" s="88"/>
      <c r="AX314" s="88"/>
      <c r="AY314" s="88"/>
      <c r="AZ314" s="94"/>
      <c r="BA314" s="88"/>
      <c r="BB314" s="94"/>
      <c r="BC314" s="88"/>
      <c r="BD314" s="88"/>
      <c r="BE314" s="88"/>
      <c r="BF314" s="94"/>
      <c r="BG314" s="88"/>
      <c r="BH314" s="94"/>
      <c r="BI314" s="88"/>
      <c r="BJ314" s="88"/>
      <c r="BK314" s="88"/>
      <c r="BL314" s="94"/>
      <c r="BM314" s="88"/>
      <c r="BN314" s="94"/>
      <c r="BO314" s="88"/>
      <c r="BP314" s="88"/>
      <c r="BQ314" s="88"/>
      <c r="BR314" s="94"/>
      <c r="BS314" s="88"/>
      <c r="BT314" s="94"/>
      <c r="BU314" s="88"/>
      <c r="BV314" s="88"/>
      <c r="BW314" s="88"/>
      <c r="BX314" s="94"/>
      <c r="BY314" s="88"/>
      <c r="BZ314" s="94"/>
      <c r="CA314" s="88"/>
      <c r="CB314" s="88"/>
      <c r="CC314" s="88"/>
      <c r="CD314" s="94"/>
      <c r="CE314" s="88"/>
      <c r="CF314" s="94"/>
      <c r="CG314" s="88"/>
      <c r="CH314" s="88"/>
      <c r="CI314" s="88"/>
      <c r="CJ314" s="88"/>
    </row>
    <row r="315" spans="1:88" x14ac:dyDescent="0.5">
      <c r="A315" s="227">
        <v>20036529</v>
      </c>
      <c r="B315" s="22">
        <v>20030216</v>
      </c>
      <c r="C315" s="55"/>
      <c r="D315" s="56"/>
      <c r="E315" s="910"/>
      <c r="F315" s="57"/>
      <c r="G315" s="58"/>
      <c r="H315" s="59"/>
      <c r="I315" s="60"/>
      <c r="J315" s="269"/>
      <c r="K315" s="59"/>
      <c r="L315" s="22" t="s">
        <v>3683</v>
      </c>
      <c r="M315" s="28" t="s">
        <v>3684</v>
      </c>
      <c r="N315" s="22" t="s">
        <v>51</v>
      </c>
      <c r="O315" s="29">
        <v>14300</v>
      </c>
      <c r="P315" s="29">
        <f t="shared" si="465"/>
        <v>1001</v>
      </c>
      <c r="Q315" s="29">
        <f t="shared" si="466"/>
        <v>15301</v>
      </c>
      <c r="R315" s="61"/>
      <c r="S315" s="96"/>
      <c r="T315" s="97"/>
      <c r="U315" s="98"/>
      <c r="V315" s="1225"/>
      <c r="W315" s="1225"/>
      <c r="X315" s="100"/>
      <c r="Y315" s="1225"/>
      <c r="Z315" s="1225"/>
      <c r="AA315" s="1225"/>
      <c r="AB315" s="1225"/>
      <c r="AC315" s="100"/>
      <c r="AD315" s="595"/>
      <c r="AE315" s="40">
        <v>20050114</v>
      </c>
      <c r="AF315" s="1186" t="s">
        <v>3423</v>
      </c>
      <c r="AG315" s="41">
        <v>14300</v>
      </c>
      <c r="AH315" s="63">
        <f t="shared" si="472"/>
        <v>1001</v>
      </c>
      <c r="AI315" s="52">
        <f t="shared" si="473"/>
        <v>15301</v>
      </c>
      <c r="AJ315" s="53">
        <v>43983</v>
      </c>
      <c r="AK315" s="39" t="s">
        <v>3423</v>
      </c>
      <c r="AL315" s="39"/>
      <c r="AM315" s="39"/>
      <c r="AN315" s="21" t="s">
        <v>4109</v>
      </c>
      <c r="AO315" s="1304">
        <v>1</v>
      </c>
      <c r="AP315" s="45" t="s">
        <v>3685</v>
      </c>
      <c r="AQ315" s="46"/>
      <c r="AR315" s="46"/>
      <c r="AS315" s="47">
        <v>1</v>
      </c>
      <c r="AT315" s="48" t="s">
        <v>628</v>
      </c>
      <c r="AU315" s="1304">
        <v>2</v>
      </c>
      <c r="AV315" s="40" t="s">
        <v>3686</v>
      </c>
      <c r="AW315" s="47"/>
      <c r="AX315" s="47"/>
      <c r="AY315" s="47">
        <v>1</v>
      </c>
      <c r="AZ315" s="49" t="s">
        <v>628</v>
      </c>
      <c r="BA315" s="1304">
        <v>3</v>
      </c>
      <c r="BB315" s="40" t="s">
        <v>3687</v>
      </c>
      <c r="BC315" s="47"/>
      <c r="BD315" s="47"/>
      <c r="BE315" s="47">
        <v>1</v>
      </c>
      <c r="BF315" s="49" t="s">
        <v>628</v>
      </c>
      <c r="BG315" s="1310"/>
      <c r="BH315" s="54"/>
      <c r="BI315" s="1310"/>
      <c r="BJ315" s="1310"/>
      <c r="BK315" s="1310"/>
      <c r="BL315" s="54"/>
      <c r="BM315" s="1310"/>
      <c r="BN315" s="54"/>
      <c r="BO315" s="1310"/>
      <c r="BP315" s="1310"/>
      <c r="BQ315" s="1310"/>
      <c r="BR315" s="54"/>
      <c r="BS315" s="1310"/>
      <c r="BT315" s="54"/>
      <c r="BU315" s="1310"/>
      <c r="BV315" s="1310"/>
      <c r="BW315" s="1310"/>
      <c r="BX315" s="54"/>
      <c r="BY315" s="1310"/>
      <c r="BZ315" s="54"/>
      <c r="CA315" s="1310"/>
      <c r="CB315" s="1310"/>
      <c r="CC315" s="1310"/>
      <c r="CD315" s="54"/>
      <c r="CE315" s="1310"/>
      <c r="CF315" s="54"/>
      <c r="CG315" s="1310"/>
      <c r="CH315" s="1310"/>
      <c r="CI315" s="1310"/>
      <c r="CJ315" s="1310"/>
    </row>
    <row r="316" spans="1:88" x14ac:dyDescent="0.5">
      <c r="A316" s="227">
        <v>20036528</v>
      </c>
      <c r="B316" s="22">
        <v>20030215</v>
      </c>
      <c r="C316" s="55"/>
      <c r="D316" s="56"/>
      <c r="E316" s="910"/>
      <c r="F316" s="57"/>
      <c r="G316" s="58"/>
      <c r="H316" s="59"/>
      <c r="I316" s="60"/>
      <c r="J316" s="269"/>
      <c r="K316" s="59"/>
      <c r="L316" s="22" t="s">
        <v>2684</v>
      </c>
      <c r="M316" s="28" t="s">
        <v>1716</v>
      </c>
      <c r="N316" s="22" t="s">
        <v>51</v>
      </c>
      <c r="O316" s="29">
        <v>19300</v>
      </c>
      <c r="P316" s="29">
        <f t="shared" si="465"/>
        <v>1351</v>
      </c>
      <c r="Q316" s="29">
        <f t="shared" si="466"/>
        <v>20651</v>
      </c>
      <c r="R316" s="61"/>
      <c r="S316" s="96"/>
      <c r="T316" s="97"/>
      <c r="U316" s="98"/>
      <c r="V316" s="1225"/>
      <c r="W316" s="1225"/>
      <c r="X316" s="100"/>
      <c r="Y316" s="1225"/>
      <c r="Z316" s="1225"/>
      <c r="AA316" s="1225"/>
      <c r="AB316" s="1225"/>
      <c r="AC316" s="100"/>
      <c r="AD316" s="595"/>
      <c r="AE316" s="40">
        <v>20060166</v>
      </c>
      <c r="AF316" s="1186" t="s">
        <v>3423</v>
      </c>
      <c r="AG316" s="41">
        <v>19300</v>
      </c>
      <c r="AH316" s="63">
        <f t="shared" si="472"/>
        <v>1351</v>
      </c>
      <c r="AI316" s="52">
        <f t="shared" si="473"/>
        <v>20651</v>
      </c>
      <c r="AJ316" s="53">
        <v>44027</v>
      </c>
      <c r="AK316" s="39" t="s">
        <v>3423</v>
      </c>
      <c r="AL316" s="39"/>
      <c r="AM316" s="39"/>
      <c r="AN316" s="21" t="s">
        <v>4354</v>
      </c>
      <c r="AO316" s="1304">
        <v>1</v>
      </c>
      <c r="AP316" s="45" t="s">
        <v>3688</v>
      </c>
      <c r="AQ316" s="46"/>
      <c r="AR316" s="46"/>
      <c r="AS316" s="47">
        <v>1</v>
      </c>
      <c r="AT316" s="48" t="s">
        <v>628</v>
      </c>
      <c r="AU316" s="1304">
        <v>2</v>
      </c>
      <c r="AV316" s="40" t="s">
        <v>3689</v>
      </c>
      <c r="AW316" s="47"/>
      <c r="AX316" s="47"/>
      <c r="AY316" s="47">
        <v>1</v>
      </c>
      <c r="AZ316" s="49" t="s">
        <v>628</v>
      </c>
      <c r="BA316" s="1310"/>
      <c r="BB316" s="54"/>
      <c r="BC316" s="1310"/>
      <c r="BD316" s="1310"/>
      <c r="BE316" s="1310"/>
      <c r="BF316" s="54"/>
      <c r="BG316" s="1310"/>
      <c r="BH316" s="54"/>
      <c r="BI316" s="1310"/>
      <c r="BJ316" s="1310"/>
      <c r="BK316" s="1310"/>
      <c r="BL316" s="54"/>
      <c r="BM316" s="1310"/>
      <c r="BN316" s="54"/>
      <c r="BO316" s="1310"/>
      <c r="BP316" s="1310"/>
      <c r="BQ316" s="1310"/>
      <c r="BR316" s="54"/>
      <c r="BS316" s="1310"/>
      <c r="BT316" s="54"/>
      <c r="BU316" s="1310"/>
      <c r="BV316" s="1310"/>
      <c r="BW316" s="1310"/>
      <c r="BX316" s="54"/>
      <c r="BY316" s="1310"/>
      <c r="BZ316" s="54"/>
      <c r="CA316" s="1310"/>
      <c r="CB316" s="1310"/>
      <c r="CC316" s="1310"/>
      <c r="CD316" s="54"/>
      <c r="CE316" s="1310"/>
      <c r="CF316" s="54"/>
      <c r="CG316" s="1310"/>
      <c r="CH316" s="1310"/>
      <c r="CI316" s="1310"/>
      <c r="CJ316" s="1310"/>
    </row>
    <row r="317" spans="1:88" x14ac:dyDescent="0.5">
      <c r="A317" s="259">
        <v>20036527</v>
      </c>
      <c r="B317" s="104">
        <v>20030199</v>
      </c>
      <c r="C317" s="1243" t="s">
        <v>1412</v>
      </c>
      <c r="D317" s="1244" t="s">
        <v>2691</v>
      </c>
      <c r="E317" s="302">
        <v>43992</v>
      </c>
      <c r="F317" s="936" t="s">
        <v>3368</v>
      </c>
      <c r="G317" s="937" t="s">
        <v>1379</v>
      </c>
      <c r="H317" s="302">
        <v>43970</v>
      </c>
      <c r="I317" s="1124">
        <v>63118</v>
      </c>
      <c r="J317" s="960" t="s">
        <v>3423</v>
      </c>
      <c r="K317" s="965">
        <v>43971</v>
      </c>
      <c r="L317" s="104" t="s">
        <v>60</v>
      </c>
      <c r="M317" s="110" t="s">
        <v>3645</v>
      </c>
      <c r="N317" s="104" t="s">
        <v>3646</v>
      </c>
      <c r="O317" s="111">
        <v>1850000</v>
      </c>
      <c r="P317" s="111">
        <f t="shared" si="465"/>
        <v>129500</v>
      </c>
      <c r="Q317" s="111">
        <f t="shared" si="466"/>
        <v>1979500</v>
      </c>
      <c r="R317" s="212"/>
      <c r="S317" s="165"/>
      <c r="T317" s="166"/>
      <c r="U317" s="167"/>
      <c r="V317" s="1302"/>
      <c r="W317" s="1245">
        <v>63.82</v>
      </c>
      <c r="X317" s="1246">
        <f>O317</f>
        <v>1850000</v>
      </c>
      <c r="Y317" s="1247">
        <f t="shared" si="470"/>
        <v>0.15450000000000003</v>
      </c>
      <c r="Z317" s="1247">
        <f>1850000*0.15/100</f>
        <v>2775</v>
      </c>
      <c r="AA317" s="1265">
        <v>0.7</v>
      </c>
      <c r="AB317" s="1265">
        <f t="shared" ref="AB317" si="474">X317*AA317/100</f>
        <v>12950</v>
      </c>
      <c r="AC317" s="119">
        <v>0.2</v>
      </c>
      <c r="AD317" s="1248">
        <f t="shared" si="471"/>
        <v>3700</v>
      </c>
      <c r="AE317" s="123">
        <v>20050141</v>
      </c>
      <c r="AF317" s="1249" t="s">
        <v>3423</v>
      </c>
      <c r="AG317" s="124">
        <v>1850000</v>
      </c>
      <c r="AH317" s="260">
        <f t="shared" si="472"/>
        <v>129500</v>
      </c>
      <c r="AI317" s="125">
        <f t="shared" si="473"/>
        <v>1979500</v>
      </c>
      <c r="AJ317" s="126">
        <v>44021</v>
      </c>
      <c r="AK317" s="127" t="s">
        <v>3423</v>
      </c>
      <c r="AL317" s="127"/>
      <c r="AM317" s="127"/>
      <c r="AN317" s="103" t="s">
        <v>4345</v>
      </c>
      <c r="AO317" s="128">
        <v>1</v>
      </c>
      <c r="AP317" s="129" t="s">
        <v>3647</v>
      </c>
      <c r="AQ317" s="130"/>
      <c r="AR317" s="130" t="s">
        <v>3423</v>
      </c>
      <c r="AS317" s="131">
        <v>1</v>
      </c>
      <c r="AT317" s="132" t="s">
        <v>634</v>
      </c>
      <c r="AU317" s="128">
        <v>2</v>
      </c>
      <c r="AV317" s="123" t="s">
        <v>3648</v>
      </c>
      <c r="AW317" s="131" t="s">
        <v>3423</v>
      </c>
      <c r="AX317" s="131"/>
      <c r="AY317" s="131">
        <v>2</v>
      </c>
      <c r="AZ317" s="169" t="s">
        <v>636</v>
      </c>
      <c r="BA317" s="128"/>
      <c r="BB317" s="133"/>
      <c r="BC317" s="128"/>
      <c r="BD317" s="128"/>
      <c r="BE317" s="128"/>
      <c r="BF317" s="133"/>
      <c r="BG317" s="128"/>
      <c r="BH317" s="133"/>
      <c r="BI317" s="128"/>
      <c r="BJ317" s="128"/>
      <c r="BK317" s="128"/>
      <c r="BL317" s="133"/>
      <c r="BM317" s="128"/>
      <c r="BN317" s="133"/>
      <c r="BO317" s="128"/>
      <c r="BP317" s="128"/>
      <c r="BQ317" s="128"/>
      <c r="BR317" s="133"/>
      <c r="BS317" s="128"/>
      <c r="BT317" s="133"/>
      <c r="BU317" s="128"/>
      <c r="BV317" s="128"/>
      <c r="BW317" s="128"/>
      <c r="BX317" s="133"/>
      <c r="BY317" s="128"/>
      <c r="BZ317" s="133"/>
      <c r="CA317" s="128"/>
      <c r="CB317" s="128"/>
      <c r="CC317" s="128"/>
      <c r="CD317" s="133"/>
      <c r="CE317" s="128"/>
      <c r="CF317" s="133"/>
      <c r="CG317" s="128"/>
      <c r="CH317" s="128"/>
      <c r="CI317" s="128"/>
      <c r="CJ317" s="128"/>
    </row>
    <row r="318" spans="1:88" x14ac:dyDescent="0.5">
      <c r="A318" s="262"/>
      <c r="B318" s="135"/>
      <c r="C318" s="1290"/>
      <c r="D318" s="1291"/>
      <c r="E318" s="906"/>
      <c r="F318" s="940"/>
      <c r="G318" s="941"/>
      <c r="H318" s="906">
        <v>43970</v>
      </c>
      <c r="I318" s="1138">
        <v>63119</v>
      </c>
      <c r="J318" s="963"/>
      <c r="K318" s="154"/>
      <c r="L318" s="135"/>
      <c r="M318" s="141"/>
      <c r="N318" s="135"/>
      <c r="O318" s="142"/>
      <c r="P318" s="142"/>
      <c r="Q318" s="142"/>
      <c r="R318" s="213"/>
      <c r="S318" s="172"/>
      <c r="T318" s="173"/>
      <c r="U318" s="174"/>
      <c r="V318" s="1296"/>
      <c r="W318" s="1293"/>
      <c r="X318" s="1294"/>
      <c r="Y318" s="1295"/>
      <c r="Z318" s="1295"/>
      <c r="AA318" s="1308"/>
      <c r="AB318" s="1308"/>
      <c r="AC318" s="150"/>
      <c r="AD318" s="1297"/>
      <c r="AE318" s="154"/>
      <c r="AF318" s="1298"/>
      <c r="AG318" s="155"/>
      <c r="AH318" s="253"/>
      <c r="AI318" s="156"/>
      <c r="AJ318" s="256"/>
      <c r="AK318" s="152"/>
      <c r="AL318" s="152"/>
      <c r="AM318" s="152"/>
      <c r="AN318" s="134"/>
      <c r="AO318" s="158"/>
      <c r="AP318" s="159"/>
      <c r="AQ318" s="160"/>
      <c r="AR318" s="160"/>
      <c r="AS318" s="161"/>
      <c r="AT318" s="162"/>
      <c r="AU318" s="158"/>
      <c r="AV318" s="154"/>
      <c r="AW318" s="161"/>
      <c r="AX318" s="161"/>
      <c r="AY318" s="161"/>
      <c r="AZ318" s="177"/>
      <c r="BA318" s="158"/>
      <c r="BB318" s="163"/>
      <c r="BC318" s="158"/>
      <c r="BD318" s="158"/>
      <c r="BE318" s="158"/>
      <c r="BF318" s="163"/>
      <c r="BG318" s="158"/>
      <c r="BH318" s="163"/>
      <c r="BI318" s="158"/>
      <c r="BJ318" s="158"/>
      <c r="BK318" s="158"/>
      <c r="BL318" s="163"/>
      <c r="BM318" s="158"/>
      <c r="BN318" s="163"/>
      <c r="BO318" s="158"/>
      <c r="BP318" s="158"/>
      <c r="BQ318" s="158"/>
      <c r="BR318" s="163"/>
      <c r="BS318" s="158"/>
      <c r="BT318" s="163"/>
      <c r="BU318" s="158"/>
      <c r="BV318" s="158"/>
      <c r="BW318" s="158"/>
      <c r="BX318" s="163"/>
      <c r="BY318" s="158"/>
      <c r="BZ318" s="163"/>
      <c r="CA318" s="158"/>
      <c r="CB318" s="158"/>
      <c r="CC318" s="158"/>
      <c r="CD318" s="163"/>
      <c r="CE318" s="158"/>
      <c r="CF318" s="163"/>
      <c r="CG318" s="158"/>
      <c r="CH318" s="158"/>
      <c r="CI318" s="158"/>
      <c r="CJ318" s="158"/>
    </row>
    <row r="319" spans="1:88" x14ac:dyDescent="0.5">
      <c r="A319" s="262"/>
      <c r="B319" s="135"/>
      <c r="C319" s="1290"/>
      <c r="D319" s="1291"/>
      <c r="E319" s="906"/>
      <c r="F319" s="940"/>
      <c r="G319" s="941"/>
      <c r="H319" s="906">
        <v>43970</v>
      </c>
      <c r="I319" s="1138">
        <v>63120</v>
      </c>
      <c r="J319" s="963"/>
      <c r="K319" s="154"/>
      <c r="L319" s="135"/>
      <c r="M319" s="141"/>
      <c r="N319" s="135"/>
      <c r="O319" s="142"/>
      <c r="P319" s="142"/>
      <c r="Q319" s="142"/>
      <c r="R319" s="213"/>
      <c r="S319" s="172"/>
      <c r="T319" s="173"/>
      <c r="U319" s="174"/>
      <c r="V319" s="1296"/>
      <c r="W319" s="1293"/>
      <c r="X319" s="1294"/>
      <c r="Y319" s="1295"/>
      <c r="Z319" s="1295"/>
      <c r="AA319" s="1308"/>
      <c r="AB319" s="1308"/>
      <c r="AC319" s="150"/>
      <c r="AD319" s="1297"/>
      <c r="AE319" s="154"/>
      <c r="AF319" s="1298"/>
      <c r="AG319" s="155"/>
      <c r="AH319" s="253"/>
      <c r="AI319" s="156"/>
      <c r="AJ319" s="256"/>
      <c r="AK319" s="152"/>
      <c r="AL319" s="152"/>
      <c r="AM319" s="152"/>
      <c r="AN319" s="134"/>
      <c r="AO319" s="158"/>
      <c r="AP319" s="159"/>
      <c r="AQ319" s="160"/>
      <c r="AR319" s="160"/>
      <c r="AS319" s="161"/>
      <c r="AT319" s="162"/>
      <c r="AU319" s="158"/>
      <c r="AV319" s="154"/>
      <c r="AW319" s="161"/>
      <c r="AX319" s="161"/>
      <c r="AY319" s="161"/>
      <c r="AZ319" s="177"/>
      <c r="BA319" s="158"/>
      <c r="BB319" s="163"/>
      <c r="BC319" s="158"/>
      <c r="BD319" s="158"/>
      <c r="BE319" s="158"/>
      <c r="BF319" s="163"/>
      <c r="BG319" s="158"/>
      <c r="BH319" s="163"/>
      <c r="BI319" s="158"/>
      <c r="BJ319" s="158"/>
      <c r="BK319" s="158"/>
      <c r="BL319" s="163"/>
      <c r="BM319" s="158"/>
      <c r="BN319" s="163"/>
      <c r="BO319" s="158"/>
      <c r="BP319" s="158"/>
      <c r="BQ319" s="158"/>
      <c r="BR319" s="163"/>
      <c r="BS319" s="158"/>
      <c r="BT319" s="163"/>
      <c r="BU319" s="158"/>
      <c r="BV319" s="158"/>
      <c r="BW319" s="158"/>
      <c r="BX319" s="163"/>
      <c r="BY319" s="158"/>
      <c r="BZ319" s="163"/>
      <c r="CA319" s="158"/>
      <c r="CB319" s="158"/>
      <c r="CC319" s="158"/>
      <c r="CD319" s="163"/>
      <c r="CE319" s="158"/>
      <c r="CF319" s="163"/>
      <c r="CG319" s="158"/>
      <c r="CH319" s="158"/>
      <c r="CI319" s="158"/>
      <c r="CJ319" s="158"/>
    </row>
    <row r="320" spans="1:88" x14ac:dyDescent="0.5">
      <c r="A320" s="262"/>
      <c r="B320" s="135"/>
      <c r="C320" s="1290"/>
      <c r="D320" s="1291"/>
      <c r="E320" s="906"/>
      <c r="F320" s="940"/>
      <c r="G320" s="941"/>
      <c r="H320" s="906">
        <v>43970</v>
      </c>
      <c r="I320" s="1138">
        <v>63121</v>
      </c>
      <c r="J320" s="963"/>
      <c r="K320" s="154"/>
      <c r="L320" s="135"/>
      <c r="M320" s="141"/>
      <c r="N320" s="135"/>
      <c r="O320" s="142"/>
      <c r="P320" s="142"/>
      <c r="Q320" s="142"/>
      <c r="R320" s="213"/>
      <c r="S320" s="172"/>
      <c r="T320" s="173"/>
      <c r="U320" s="174"/>
      <c r="V320" s="1296"/>
      <c r="W320" s="1293"/>
      <c r="X320" s="1294"/>
      <c r="Y320" s="1295"/>
      <c r="Z320" s="1295"/>
      <c r="AA320" s="1308"/>
      <c r="AB320" s="1308"/>
      <c r="AC320" s="150"/>
      <c r="AD320" s="1297"/>
      <c r="AE320" s="154"/>
      <c r="AF320" s="1298"/>
      <c r="AG320" s="155"/>
      <c r="AH320" s="253"/>
      <c r="AI320" s="156"/>
      <c r="AJ320" s="256"/>
      <c r="AK320" s="152"/>
      <c r="AL320" s="152"/>
      <c r="AM320" s="152"/>
      <c r="AN320" s="134"/>
      <c r="AO320" s="158"/>
      <c r="AP320" s="159"/>
      <c r="AQ320" s="160"/>
      <c r="AR320" s="160"/>
      <c r="AS320" s="161"/>
      <c r="AT320" s="162"/>
      <c r="AU320" s="158"/>
      <c r="AV320" s="154"/>
      <c r="AW320" s="161"/>
      <c r="AX320" s="161"/>
      <c r="AY320" s="161"/>
      <c r="AZ320" s="177"/>
      <c r="BA320" s="158"/>
      <c r="BB320" s="163"/>
      <c r="BC320" s="158"/>
      <c r="BD320" s="158"/>
      <c r="BE320" s="158"/>
      <c r="BF320" s="163"/>
      <c r="BG320" s="158"/>
      <c r="BH320" s="163"/>
      <c r="BI320" s="158"/>
      <c r="BJ320" s="158"/>
      <c r="BK320" s="158"/>
      <c r="BL320" s="163"/>
      <c r="BM320" s="158"/>
      <c r="BN320" s="163"/>
      <c r="BO320" s="158"/>
      <c r="BP320" s="158"/>
      <c r="BQ320" s="158"/>
      <c r="BR320" s="163"/>
      <c r="BS320" s="158"/>
      <c r="BT320" s="163"/>
      <c r="BU320" s="158"/>
      <c r="BV320" s="158"/>
      <c r="BW320" s="158"/>
      <c r="BX320" s="163"/>
      <c r="BY320" s="158"/>
      <c r="BZ320" s="163"/>
      <c r="CA320" s="158"/>
      <c r="CB320" s="158"/>
      <c r="CC320" s="158"/>
      <c r="CD320" s="163"/>
      <c r="CE320" s="158"/>
      <c r="CF320" s="163"/>
      <c r="CG320" s="158"/>
      <c r="CH320" s="158"/>
      <c r="CI320" s="158"/>
      <c r="CJ320" s="158"/>
    </row>
    <row r="321" spans="1:88" x14ac:dyDescent="0.5">
      <c r="A321" s="268"/>
      <c r="B321" s="181"/>
      <c r="C321" s="1236"/>
      <c r="D321" s="1237"/>
      <c r="E321" s="749"/>
      <c r="F321" s="938"/>
      <c r="G321" s="939"/>
      <c r="H321" s="749">
        <v>43970</v>
      </c>
      <c r="I321" s="1125">
        <v>63122</v>
      </c>
      <c r="J321" s="961"/>
      <c r="K321" s="200"/>
      <c r="L321" s="181"/>
      <c r="M321" s="188"/>
      <c r="N321" s="181"/>
      <c r="O321" s="189"/>
      <c r="P321" s="189"/>
      <c r="Q321" s="189"/>
      <c r="R321" s="214"/>
      <c r="S321" s="191"/>
      <c r="T321" s="192"/>
      <c r="U321" s="193"/>
      <c r="V321" s="1254"/>
      <c r="W321" s="1238"/>
      <c r="X321" s="1239"/>
      <c r="Y321" s="1240"/>
      <c r="Z321" s="1240"/>
      <c r="AA321" s="1263"/>
      <c r="AB321" s="1263"/>
      <c r="AC321" s="197"/>
      <c r="AD321" s="1241"/>
      <c r="AE321" s="200"/>
      <c r="AF321" s="1242"/>
      <c r="AG321" s="201"/>
      <c r="AH321" s="237"/>
      <c r="AI321" s="202"/>
      <c r="AJ321" s="241"/>
      <c r="AK321" s="199"/>
      <c r="AL321" s="199"/>
      <c r="AM321" s="199"/>
      <c r="AN321" s="180"/>
      <c r="AO321" s="204"/>
      <c r="AP321" s="205"/>
      <c r="AQ321" s="206"/>
      <c r="AR321" s="206"/>
      <c r="AS321" s="207"/>
      <c r="AT321" s="208"/>
      <c r="AU321" s="204"/>
      <c r="AV321" s="200"/>
      <c r="AW321" s="207"/>
      <c r="AX321" s="207"/>
      <c r="AY321" s="207"/>
      <c r="AZ321" s="209"/>
      <c r="BA321" s="204"/>
      <c r="BB321" s="210"/>
      <c r="BC321" s="204"/>
      <c r="BD321" s="204"/>
      <c r="BE321" s="204"/>
      <c r="BF321" s="210"/>
      <c r="BG321" s="204"/>
      <c r="BH321" s="210"/>
      <c r="BI321" s="204"/>
      <c r="BJ321" s="204"/>
      <c r="BK321" s="204"/>
      <c r="BL321" s="210"/>
      <c r="BM321" s="204"/>
      <c r="BN321" s="210"/>
      <c r="BO321" s="204"/>
      <c r="BP321" s="204"/>
      <c r="BQ321" s="204"/>
      <c r="BR321" s="210"/>
      <c r="BS321" s="204"/>
      <c r="BT321" s="210"/>
      <c r="BU321" s="204"/>
      <c r="BV321" s="204"/>
      <c r="BW321" s="204"/>
      <c r="BX321" s="210"/>
      <c r="BY321" s="204"/>
      <c r="BZ321" s="210"/>
      <c r="CA321" s="204"/>
      <c r="CB321" s="204"/>
      <c r="CC321" s="204"/>
      <c r="CD321" s="210"/>
      <c r="CE321" s="204"/>
      <c r="CF321" s="210"/>
      <c r="CG321" s="204"/>
      <c r="CH321" s="204"/>
      <c r="CI321" s="204"/>
      <c r="CJ321" s="204"/>
    </row>
    <row r="322" spans="1:88" x14ac:dyDescent="0.5">
      <c r="A322" s="227">
        <v>20036526</v>
      </c>
      <c r="B322" s="22">
        <v>20036526</v>
      </c>
      <c r="C322" s="55"/>
      <c r="D322" s="56"/>
      <c r="E322" s="910"/>
      <c r="F322" s="57"/>
      <c r="G322" s="58"/>
      <c r="H322" s="59"/>
      <c r="I322" s="60"/>
      <c r="J322" s="269"/>
      <c r="K322" s="59"/>
      <c r="L322" s="22" t="s">
        <v>256</v>
      </c>
      <c r="M322" s="28" t="s">
        <v>3649</v>
      </c>
      <c r="N322" s="22" t="s">
        <v>51</v>
      </c>
      <c r="O322" s="29">
        <v>16500</v>
      </c>
      <c r="P322" s="29">
        <f t="shared" si="462"/>
        <v>1155</v>
      </c>
      <c r="Q322" s="29">
        <f t="shared" si="324"/>
        <v>17655</v>
      </c>
      <c r="R322" s="61"/>
      <c r="S322" s="96"/>
      <c r="T322" s="97"/>
      <c r="U322" s="98"/>
      <c r="V322" s="1225"/>
      <c r="W322" s="1225"/>
      <c r="X322" s="100"/>
      <c r="Y322" s="1225"/>
      <c r="Z322" s="1225"/>
      <c r="AA322" s="1225"/>
      <c r="AB322" s="1225"/>
      <c r="AC322" s="100"/>
      <c r="AD322" s="595"/>
      <c r="AE322" s="40">
        <v>20040109</v>
      </c>
      <c r="AF322" s="1186" t="s">
        <v>3423</v>
      </c>
      <c r="AG322" s="41">
        <v>16500</v>
      </c>
      <c r="AH322" s="63">
        <f t="shared" si="464"/>
        <v>1155</v>
      </c>
      <c r="AI322" s="52">
        <f t="shared" si="331"/>
        <v>17655</v>
      </c>
      <c r="AJ322" s="53">
        <v>43974</v>
      </c>
      <c r="AK322" s="39" t="s">
        <v>3423</v>
      </c>
      <c r="AL322" s="39"/>
      <c r="AM322" s="39"/>
      <c r="AN322" s="21" t="s">
        <v>4111</v>
      </c>
      <c r="AO322" s="1304">
        <v>1</v>
      </c>
      <c r="AP322" s="45" t="s">
        <v>3650</v>
      </c>
      <c r="AQ322" s="46"/>
      <c r="AR322" s="46"/>
      <c r="AS322" s="47">
        <v>1</v>
      </c>
      <c r="AT322" s="48" t="s">
        <v>628</v>
      </c>
      <c r="AU322" s="1304">
        <v>2</v>
      </c>
      <c r="AV322" s="40" t="s">
        <v>3651</v>
      </c>
      <c r="AW322" s="47"/>
      <c r="AX322" s="47"/>
      <c r="AY322" s="47">
        <v>1</v>
      </c>
      <c r="AZ322" s="49" t="s">
        <v>628</v>
      </c>
      <c r="BA322" s="1304"/>
      <c r="BB322" s="54"/>
      <c r="BC322" s="1304"/>
      <c r="BD322" s="1304"/>
      <c r="BE322" s="1304"/>
      <c r="BF322" s="54"/>
      <c r="BG322" s="1304"/>
      <c r="BH322" s="54"/>
      <c r="BI322" s="1304"/>
      <c r="BJ322" s="1304"/>
      <c r="BK322" s="1304"/>
      <c r="BL322" s="54"/>
      <c r="BM322" s="1304"/>
      <c r="BN322" s="54"/>
      <c r="BO322" s="1304"/>
      <c r="BP322" s="1304"/>
      <c r="BQ322" s="1304"/>
      <c r="BR322" s="54"/>
      <c r="BS322" s="1304"/>
      <c r="BT322" s="54"/>
      <c r="BU322" s="1304"/>
      <c r="BV322" s="1304"/>
      <c r="BW322" s="1304"/>
      <c r="BX322" s="54"/>
      <c r="BY322" s="1304"/>
      <c r="BZ322" s="54"/>
      <c r="CA322" s="1304"/>
      <c r="CB322" s="1304"/>
      <c r="CC322" s="1304"/>
      <c r="CD322" s="54"/>
      <c r="CE322" s="1304"/>
      <c r="CF322" s="54"/>
      <c r="CG322" s="1304"/>
      <c r="CH322" s="1304"/>
      <c r="CI322" s="1304"/>
      <c r="CJ322" s="1304"/>
    </row>
    <row r="323" spans="1:88" x14ac:dyDescent="0.5">
      <c r="A323" s="103">
        <v>20036525</v>
      </c>
      <c r="B323" s="104">
        <v>20030197</v>
      </c>
      <c r="C323" s="1243" t="s">
        <v>1414</v>
      </c>
      <c r="D323" s="1244" t="s">
        <v>2691</v>
      </c>
      <c r="E323" s="302">
        <v>43964</v>
      </c>
      <c r="F323" s="936" t="s">
        <v>3368</v>
      </c>
      <c r="G323" s="937" t="s">
        <v>1367</v>
      </c>
      <c r="H323" s="302">
        <v>43992</v>
      </c>
      <c r="I323" s="1124">
        <v>63144</v>
      </c>
      <c r="J323" s="960" t="s">
        <v>1205</v>
      </c>
      <c r="K323" s="965">
        <v>43994</v>
      </c>
      <c r="L323" s="104" t="s">
        <v>60</v>
      </c>
      <c r="M323" s="110" t="s">
        <v>3652</v>
      </c>
      <c r="N323" s="104" t="s">
        <v>3653</v>
      </c>
      <c r="O323" s="111">
        <v>1780000</v>
      </c>
      <c r="P323" s="111">
        <f t="shared" si="462"/>
        <v>124600</v>
      </c>
      <c r="Q323" s="111">
        <f t="shared" si="324"/>
        <v>1904600</v>
      </c>
      <c r="R323" s="212"/>
      <c r="S323" s="165"/>
      <c r="T323" s="166"/>
      <c r="U323" s="167"/>
      <c r="V323" s="1302"/>
      <c r="W323" s="1245">
        <v>59.21</v>
      </c>
      <c r="X323" s="1246">
        <f>O323</f>
        <v>1780000</v>
      </c>
      <c r="Y323" s="1247">
        <f t="shared" si="463"/>
        <v>0.26974999999999993</v>
      </c>
      <c r="Z323" s="1247">
        <f>X323*Y323/100</f>
        <v>4801.5499999999993</v>
      </c>
      <c r="AA323" s="1265">
        <v>1</v>
      </c>
      <c r="AB323" s="1265">
        <f t="shared" si="0"/>
        <v>17800</v>
      </c>
      <c r="AC323" s="119">
        <v>0.2</v>
      </c>
      <c r="AD323" s="1248">
        <f t="shared" si="329"/>
        <v>3560</v>
      </c>
      <c r="AE323" s="123">
        <v>20060174</v>
      </c>
      <c r="AF323" s="1249" t="s">
        <v>1205</v>
      </c>
      <c r="AG323" s="124">
        <v>1633900</v>
      </c>
      <c r="AH323" s="260">
        <f t="shared" si="464"/>
        <v>114373</v>
      </c>
      <c r="AI323" s="125">
        <f t="shared" si="331"/>
        <v>1748273</v>
      </c>
      <c r="AJ323" s="126">
        <v>44052</v>
      </c>
      <c r="AK323" s="127" t="s">
        <v>3423</v>
      </c>
      <c r="AL323" s="127"/>
      <c r="AM323" s="127"/>
      <c r="AN323" s="103" t="s">
        <v>4323</v>
      </c>
      <c r="AO323" s="128">
        <v>1</v>
      </c>
      <c r="AP323" s="129" t="s">
        <v>3654</v>
      </c>
      <c r="AQ323" s="130" t="s">
        <v>3423</v>
      </c>
      <c r="AR323" s="130"/>
      <c r="AS323" s="131">
        <v>1</v>
      </c>
      <c r="AT323" s="132" t="s">
        <v>634</v>
      </c>
      <c r="AU323" s="128">
        <v>2</v>
      </c>
      <c r="AV323" s="123" t="s">
        <v>3655</v>
      </c>
      <c r="AW323" s="131"/>
      <c r="AX323" s="131" t="s">
        <v>3423</v>
      </c>
      <c r="AY323" s="131">
        <v>1</v>
      </c>
      <c r="AZ323" s="169" t="s">
        <v>634</v>
      </c>
      <c r="BA323" s="128"/>
      <c r="BB323" s="133"/>
      <c r="BC323" s="128"/>
      <c r="BD323" s="128"/>
      <c r="BE323" s="128"/>
      <c r="BF323" s="133"/>
      <c r="BG323" s="128"/>
      <c r="BH323" s="133"/>
      <c r="BI323" s="128"/>
      <c r="BJ323" s="128"/>
      <c r="BK323" s="128"/>
      <c r="BL323" s="133"/>
      <c r="BM323" s="128"/>
      <c r="BN323" s="133"/>
      <c r="BO323" s="128"/>
      <c r="BP323" s="128"/>
      <c r="BQ323" s="128"/>
      <c r="BR323" s="133"/>
      <c r="BS323" s="128"/>
      <c r="BT323" s="133"/>
      <c r="BU323" s="128"/>
      <c r="BV323" s="128"/>
      <c r="BW323" s="128"/>
      <c r="BX323" s="133"/>
      <c r="BY323" s="128"/>
      <c r="BZ323" s="133"/>
      <c r="CA323" s="128"/>
      <c r="CB323" s="128"/>
      <c r="CC323" s="128"/>
      <c r="CD323" s="133"/>
      <c r="CE323" s="128"/>
      <c r="CF323" s="133"/>
      <c r="CG323" s="128"/>
      <c r="CH323" s="128"/>
      <c r="CI323" s="128"/>
      <c r="CJ323" s="128"/>
    </row>
    <row r="324" spans="1:88" x14ac:dyDescent="0.5">
      <c r="A324" s="134"/>
      <c r="B324" s="135"/>
      <c r="C324" s="1290"/>
      <c r="D324" s="1291"/>
      <c r="E324" s="906"/>
      <c r="F324" s="940"/>
      <c r="G324" s="941"/>
      <c r="H324" s="906">
        <v>43992</v>
      </c>
      <c r="I324" s="1138">
        <v>63145</v>
      </c>
      <c r="J324" s="963"/>
      <c r="K324" s="964"/>
      <c r="L324" s="135"/>
      <c r="M324" s="141"/>
      <c r="N324" s="135"/>
      <c r="O324" s="142"/>
      <c r="P324" s="142"/>
      <c r="Q324" s="142"/>
      <c r="R324" s="213"/>
      <c r="S324" s="172"/>
      <c r="T324" s="173"/>
      <c r="U324" s="174"/>
      <c r="V324" s="1296"/>
      <c r="W324" s="1293"/>
      <c r="X324" s="1294"/>
      <c r="Y324" s="1295"/>
      <c r="Z324" s="1295"/>
      <c r="AA324" s="1308"/>
      <c r="AB324" s="1308"/>
      <c r="AC324" s="150"/>
      <c r="AD324" s="1297"/>
      <c r="AE324" s="154"/>
      <c r="AF324" s="1298"/>
      <c r="AG324" s="155"/>
      <c r="AH324" s="253"/>
      <c r="AI324" s="156"/>
      <c r="AJ324" s="157"/>
      <c r="AK324" s="152"/>
      <c r="AL324" s="152"/>
      <c r="AM324" s="152"/>
      <c r="AN324" s="134"/>
      <c r="AO324" s="158"/>
      <c r="AP324" s="159"/>
      <c r="AQ324" s="160"/>
      <c r="AR324" s="160"/>
      <c r="AS324" s="161"/>
      <c r="AT324" s="162"/>
      <c r="AU324" s="158"/>
      <c r="AV324" s="154"/>
      <c r="AW324" s="161"/>
      <c r="AX324" s="161"/>
      <c r="AY324" s="161"/>
      <c r="AZ324" s="177"/>
      <c r="BA324" s="158"/>
      <c r="BB324" s="163"/>
      <c r="BC324" s="158"/>
      <c r="BD324" s="158"/>
      <c r="BE324" s="158"/>
      <c r="BF324" s="163"/>
      <c r="BG324" s="158"/>
      <c r="BH324" s="163"/>
      <c r="BI324" s="158"/>
      <c r="BJ324" s="158"/>
      <c r="BK324" s="158"/>
      <c r="BL324" s="163"/>
      <c r="BM324" s="158"/>
      <c r="BN324" s="163"/>
      <c r="BO324" s="158"/>
      <c r="BP324" s="158"/>
      <c r="BQ324" s="158"/>
      <c r="BR324" s="163"/>
      <c r="BS324" s="158"/>
      <c r="BT324" s="163"/>
      <c r="BU324" s="158"/>
      <c r="BV324" s="158"/>
      <c r="BW324" s="158"/>
      <c r="BX324" s="163"/>
      <c r="BY324" s="158"/>
      <c r="BZ324" s="163"/>
      <c r="CA324" s="158"/>
      <c r="CB324" s="158"/>
      <c r="CC324" s="158"/>
      <c r="CD324" s="163"/>
      <c r="CE324" s="158"/>
      <c r="CF324" s="163"/>
      <c r="CG324" s="158"/>
      <c r="CH324" s="158"/>
      <c r="CI324" s="158"/>
      <c r="CJ324" s="158"/>
    </row>
    <row r="325" spans="1:88" x14ac:dyDescent="0.5">
      <c r="A325" s="134"/>
      <c r="B325" s="135"/>
      <c r="C325" s="1290"/>
      <c r="D325" s="1291"/>
      <c r="E325" s="906"/>
      <c r="F325" s="940"/>
      <c r="G325" s="941"/>
      <c r="H325" s="906">
        <v>43992</v>
      </c>
      <c r="I325" s="1138">
        <v>63146</v>
      </c>
      <c r="J325" s="963"/>
      <c r="K325" s="964"/>
      <c r="L325" s="135"/>
      <c r="M325" s="141"/>
      <c r="N325" s="135"/>
      <c r="O325" s="142"/>
      <c r="P325" s="142"/>
      <c r="Q325" s="142"/>
      <c r="R325" s="213"/>
      <c r="S325" s="172"/>
      <c r="T325" s="173"/>
      <c r="U325" s="174"/>
      <c r="V325" s="1296"/>
      <c r="W325" s="1293"/>
      <c r="X325" s="1294"/>
      <c r="Y325" s="1295"/>
      <c r="Z325" s="1295"/>
      <c r="AA325" s="1308"/>
      <c r="AB325" s="1308"/>
      <c r="AC325" s="150"/>
      <c r="AD325" s="1297"/>
      <c r="AE325" s="154"/>
      <c r="AF325" s="1298"/>
      <c r="AG325" s="155"/>
      <c r="AH325" s="253"/>
      <c r="AI325" s="156"/>
      <c r="AJ325" s="157"/>
      <c r="AK325" s="152"/>
      <c r="AL325" s="152"/>
      <c r="AM325" s="152"/>
      <c r="AN325" s="134"/>
      <c r="AO325" s="158"/>
      <c r="AP325" s="159"/>
      <c r="AQ325" s="160"/>
      <c r="AR325" s="160"/>
      <c r="AS325" s="161"/>
      <c r="AT325" s="162"/>
      <c r="AU325" s="158"/>
      <c r="AV325" s="154"/>
      <c r="AW325" s="161"/>
      <c r="AX325" s="161"/>
      <c r="AY325" s="161"/>
      <c r="AZ325" s="177"/>
      <c r="BA325" s="158"/>
      <c r="BB325" s="163"/>
      <c r="BC325" s="158"/>
      <c r="BD325" s="158"/>
      <c r="BE325" s="158"/>
      <c r="BF325" s="163"/>
      <c r="BG325" s="158"/>
      <c r="BH325" s="163"/>
      <c r="BI325" s="158"/>
      <c r="BJ325" s="158"/>
      <c r="BK325" s="158"/>
      <c r="BL325" s="163"/>
      <c r="BM325" s="158"/>
      <c r="BN325" s="163"/>
      <c r="BO325" s="158"/>
      <c r="BP325" s="158"/>
      <c r="BQ325" s="158"/>
      <c r="BR325" s="163"/>
      <c r="BS325" s="158"/>
      <c r="BT325" s="163"/>
      <c r="BU325" s="158"/>
      <c r="BV325" s="158"/>
      <c r="BW325" s="158"/>
      <c r="BX325" s="163"/>
      <c r="BY325" s="158"/>
      <c r="BZ325" s="163"/>
      <c r="CA325" s="158"/>
      <c r="CB325" s="158"/>
      <c r="CC325" s="158"/>
      <c r="CD325" s="163"/>
      <c r="CE325" s="158"/>
      <c r="CF325" s="163"/>
      <c r="CG325" s="158"/>
      <c r="CH325" s="158"/>
      <c r="CI325" s="158"/>
      <c r="CJ325" s="158"/>
    </row>
    <row r="326" spans="1:88" x14ac:dyDescent="0.5">
      <c r="A326" s="180"/>
      <c r="B326" s="181"/>
      <c r="C326" s="1236"/>
      <c r="D326" s="1237"/>
      <c r="E326" s="749"/>
      <c r="F326" s="938"/>
      <c r="G326" s="939"/>
      <c r="H326" s="749">
        <v>43992</v>
      </c>
      <c r="I326" s="1125">
        <v>63147</v>
      </c>
      <c r="J326" s="961"/>
      <c r="K326" s="966"/>
      <c r="L326" s="181"/>
      <c r="M326" s="188"/>
      <c r="N326" s="181"/>
      <c r="O326" s="189"/>
      <c r="P326" s="189"/>
      <c r="Q326" s="189"/>
      <c r="R326" s="214"/>
      <c r="S326" s="191"/>
      <c r="T326" s="192"/>
      <c r="U326" s="193"/>
      <c r="V326" s="1254"/>
      <c r="W326" s="1238"/>
      <c r="X326" s="1239"/>
      <c r="Y326" s="1240"/>
      <c r="Z326" s="1240"/>
      <c r="AA326" s="1263"/>
      <c r="AB326" s="1263"/>
      <c r="AC326" s="197"/>
      <c r="AD326" s="1241"/>
      <c r="AE326" s="200"/>
      <c r="AF326" s="1242"/>
      <c r="AG326" s="201"/>
      <c r="AH326" s="237"/>
      <c r="AI326" s="202"/>
      <c r="AJ326" s="203"/>
      <c r="AK326" s="199"/>
      <c r="AL326" s="199"/>
      <c r="AM326" s="199"/>
      <c r="AN326" s="180"/>
      <c r="AO326" s="204"/>
      <c r="AP326" s="205"/>
      <c r="AQ326" s="206"/>
      <c r="AR326" s="206"/>
      <c r="AS326" s="207"/>
      <c r="AT326" s="208"/>
      <c r="AU326" s="204"/>
      <c r="AV326" s="200"/>
      <c r="AW326" s="207"/>
      <c r="AX326" s="207"/>
      <c r="AY326" s="207"/>
      <c r="AZ326" s="209"/>
      <c r="BA326" s="204"/>
      <c r="BB326" s="210"/>
      <c r="BC326" s="204"/>
      <c r="BD326" s="204"/>
      <c r="BE326" s="204"/>
      <c r="BF326" s="210"/>
      <c r="BG326" s="204"/>
      <c r="BH326" s="210"/>
      <c r="BI326" s="204"/>
      <c r="BJ326" s="204"/>
      <c r="BK326" s="204"/>
      <c r="BL326" s="210"/>
      <c r="BM326" s="204"/>
      <c r="BN326" s="210"/>
      <c r="BO326" s="204"/>
      <c r="BP326" s="204"/>
      <c r="BQ326" s="204"/>
      <c r="BR326" s="210"/>
      <c r="BS326" s="204"/>
      <c r="BT326" s="210"/>
      <c r="BU326" s="204"/>
      <c r="BV326" s="204"/>
      <c r="BW326" s="204"/>
      <c r="BX326" s="210"/>
      <c r="BY326" s="204"/>
      <c r="BZ326" s="210"/>
      <c r="CA326" s="204"/>
      <c r="CB326" s="204"/>
      <c r="CC326" s="204"/>
      <c r="CD326" s="210"/>
      <c r="CE326" s="204"/>
      <c r="CF326" s="210"/>
      <c r="CG326" s="204"/>
      <c r="CH326" s="204"/>
      <c r="CI326" s="204"/>
      <c r="CJ326" s="204"/>
    </row>
    <row r="327" spans="1:88" x14ac:dyDescent="0.5">
      <c r="A327" s="227">
        <v>20036524</v>
      </c>
      <c r="B327" s="22">
        <v>20030198</v>
      </c>
      <c r="C327" s="55"/>
      <c r="D327" s="56"/>
      <c r="E327" s="910"/>
      <c r="F327" s="57"/>
      <c r="G327" s="58"/>
      <c r="H327" s="59"/>
      <c r="I327" s="60"/>
      <c r="J327" s="269"/>
      <c r="K327" s="59"/>
      <c r="L327" s="22" t="s">
        <v>3656</v>
      </c>
      <c r="M327" s="28" t="s">
        <v>348</v>
      </c>
      <c r="N327" s="22" t="s">
        <v>51</v>
      </c>
      <c r="O327" s="29">
        <v>20800</v>
      </c>
      <c r="P327" s="29">
        <f t="shared" si="323"/>
        <v>1456</v>
      </c>
      <c r="Q327" s="29">
        <f t="shared" ref="Q327:Q336" si="475">O327+P327</f>
        <v>22256</v>
      </c>
      <c r="R327" s="61"/>
      <c r="S327" s="96"/>
      <c r="T327" s="97"/>
      <c r="U327" s="98"/>
      <c r="V327" s="1225"/>
      <c r="W327" s="1225"/>
      <c r="X327" s="100"/>
      <c r="Y327" s="1225"/>
      <c r="Z327" s="1225"/>
      <c r="AA327" s="1225"/>
      <c r="AB327" s="1225"/>
      <c r="AC327" s="100"/>
      <c r="AD327" s="595"/>
      <c r="AE327" s="40">
        <v>20050115</v>
      </c>
      <c r="AF327" s="1186" t="s">
        <v>3423</v>
      </c>
      <c r="AG327" s="41">
        <v>20800</v>
      </c>
      <c r="AH327" s="63">
        <f t="shared" si="330"/>
        <v>1456</v>
      </c>
      <c r="AI327" s="52">
        <f t="shared" ref="AI327:AI337" si="476">AG327+AH327</f>
        <v>22256</v>
      </c>
      <c r="AJ327" s="53">
        <v>43983</v>
      </c>
      <c r="AK327" s="39" t="s">
        <v>3423</v>
      </c>
      <c r="AL327" s="39"/>
      <c r="AM327" s="39"/>
      <c r="AN327" s="21" t="s">
        <v>4108</v>
      </c>
      <c r="AO327" s="1268">
        <v>1</v>
      </c>
      <c r="AP327" s="45" t="s">
        <v>3657</v>
      </c>
      <c r="AQ327" s="46"/>
      <c r="AR327" s="46"/>
      <c r="AS327" s="47">
        <v>1</v>
      </c>
      <c r="AT327" s="48" t="s">
        <v>628</v>
      </c>
      <c r="AU327" s="1268">
        <v>2</v>
      </c>
      <c r="AV327" s="40" t="s">
        <v>3658</v>
      </c>
      <c r="AW327" s="47"/>
      <c r="AX327" s="47"/>
      <c r="AY327" s="47">
        <v>1</v>
      </c>
      <c r="AZ327" s="49" t="s">
        <v>628</v>
      </c>
      <c r="BA327" s="1268">
        <v>3</v>
      </c>
      <c r="BB327" s="40" t="s">
        <v>3659</v>
      </c>
      <c r="BC327" s="47"/>
      <c r="BD327" s="47"/>
      <c r="BE327" s="47">
        <v>1</v>
      </c>
      <c r="BF327" s="49" t="s">
        <v>628</v>
      </c>
      <c r="BG327" s="1268">
        <v>4</v>
      </c>
      <c r="BH327" s="40" t="s">
        <v>3660</v>
      </c>
      <c r="BI327" s="47"/>
      <c r="BJ327" s="47"/>
      <c r="BK327" s="47">
        <v>2</v>
      </c>
      <c r="BL327" s="49" t="s">
        <v>628</v>
      </c>
      <c r="BM327" s="1304"/>
      <c r="BN327" s="54"/>
      <c r="BO327" s="1304"/>
      <c r="BP327" s="1304"/>
      <c r="BQ327" s="1304"/>
      <c r="BR327" s="54"/>
      <c r="BS327" s="1304"/>
      <c r="BT327" s="54"/>
      <c r="BU327" s="1304"/>
      <c r="BV327" s="1304"/>
      <c r="BW327" s="1304"/>
      <c r="BX327" s="54"/>
      <c r="BY327" s="1304"/>
      <c r="BZ327" s="54"/>
      <c r="CA327" s="1304"/>
      <c r="CB327" s="1304"/>
      <c r="CC327" s="1304"/>
      <c r="CD327" s="54"/>
      <c r="CE327" s="1304"/>
      <c r="CF327" s="54"/>
      <c r="CG327" s="1304"/>
      <c r="CH327" s="1304"/>
      <c r="CI327" s="1304"/>
      <c r="CJ327" s="1304"/>
    </row>
    <row r="328" spans="1:88" x14ac:dyDescent="0.5">
      <c r="A328" s="21">
        <v>20036523</v>
      </c>
      <c r="B328" s="22">
        <v>20030187</v>
      </c>
      <c r="C328" s="1019" t="s">
        <v>1413</v>
      </c>
      <c r="D328" s="1020" t="s">
        <v>2691</v>
      </c>
      <c r="E328" s="884">
        <v>43931</v>
      </c>
      <c r="F328" s="932"/>
      <c r="G328" s="933"/>
      <c r="H328" s="831"/>
      <c r="I328" s="1021"/>
      <c r="J328" s="931"/>
      <c r="K328" s="40"/>
      <c r="L328" s="22" t="s">
        <v>3661</v>
      </c>
      <c r="M328" s="28" t="s">
        <v>3662</v>
      </c>
      <c r="N328" s="22" t="s">
        <v>50</v>
      </c>
      <c r="O328" s="29">
        <v>1270000</v>
      </c>
      <c r="P328" s="29">
        <f t="shared" si="323"/>
        <v>88900</v>
      </c>
      <c r="Q328" s="29">
        <f t="shared" si="475"/>
        <v>1358900</v>
      </c>
      <c r="R328" s="61"/>
      <c r="S328" s="31" t="s">
        <v>3762</v>
      </c>
      <c r="T328" s="32">
        <f t="shared" ref="T328" si="477">O328-R328</f>
        <v>1270000</v>
      </c>
      <c r="U328" s="33"/>
      <c r="V328" s="1251">
        <v>30000</v>
      </c>
      <c r="W328" s="1225"/>
      <c r="X328" s="1184">
        <f t="shared" ref="X328" si="478">T328-V328</f>
        <v>1240000</v>
      </c>
      <c r="Y328" s="1223">
        <v>1</v>
      </c>
      <c r="Z328" s="1223">
        <f>X328*Y328/100</f>
        <v>12400</v>
      </c>
      <c r="AA328" s="1225"/>
      <c r="AB328" s="1225"/>
      <c r="AC328" s="37">
        <v>0.5</v>
      </c>
      <c r="AD328" s="1234">
        <f t="shared" ref="AD328:AD336" si="479">X328*AC328/100</f>
        <v>6200</v>
      </c>
      <c r="AE328" s="40">
        <v>20040104</v>
      </c>
      <c r="AF328" s="1186" t="s">
        <v>1205</v>
      </c>
      <c r="AG328" s="41">
        <v>254000</v>
      </c>
      <c r="AH328" s="63">
        <f t="shared" si="330"/>
        <v>17780</v>
      </c>
      <c r="AI328" s="52">
        <f t="shared" si="476"/>
        <v>271780</v>
      </c>
      <c r="AJ328" s="53">
        <v>43942</v>
      </c>
      <c r="AK328" s="39" t="s">
        <v>3423</v>
      </c>
      <c r="AL328" s="39"/>
      <c r="AM328" s="39"/>
      <c r="AN328" s="21" t="s">
        <v>3998</v>
      </c>
      <c r="AO328" s="1268">
        <v>1</v>
      </c>
      <c r="AP328" s="45" t="s">
        <v>877</v>
      </c>
      <c r="AQ328" s="46"/>
      <c r="AR328" s="46" t="s">
        <v>3423</v>
      </c>
      <c r="AS328" s="47">
        <v>2</v>
      </c>
      <c r="AT328" s="48" t="s">
        <v>634</v>
      </c>
      <c r="AU328" s="1268">
        <v>2</v>
      </c>
      <c r="AV328" s="40" t="s">
        <v>890</v>
      </c>
      <c r="AW328" s="47"/>
      <c r="AX328" s="47" t="s">
        <v>3423</v>
      </c>
      <c r="AY328" s="47">
        <v>1</v>
      </c>
      <c r="AZ328" s="49" t="s">
        <v>634</v>
      </c>
      <c r="BA328" s="1304"/>
      <c r="BB328" s="54"/>
      <c r="BC328" s="1304"/>
      <c r="BD328" s="1304"/>
      <c r="BE328" s="1304"/>
      <c r="BF328" s="54"/>
      <c r="BG328" s="1304"/>
      <c r="BH328" s="54"/>
      <c r="BI328" s="1304"/>
      <c r="BJ328" s="1304"/>
      <c r="BK328" s="1304"/>
      <c r="BL328" s="54"/>
      <c r="BM328" s="1304"/>
      <c r="BN328" s="54"/>
      <c r="BO328" s="1304"/>
      <c r="BP328" s="1304"/>
      <c r="BQ328" s="1304"/>
      <c r="BR328" s="54"/>
      <c r="BS328" s="1304"/>
      <c r="BT328" s="54"/>
      <c r="BU328" s="1304"/>
      <c r="BV328" s="1304"/>
      <c r="BW328" s="1304"/>
      <c r="BX328" s="54"/>
      <c r="BY328" s="1304"/>
      <c r="BZ328" s="54"/>
      <c r="CA328" s="1304"/>
      <c r="CB328" s="1304"/>
      <c r="CC328" s="1304"/>
      <c r="CD328" s="54"/>
      <c r="CE328" s="1304"/>
      <c r="CF328" s="54"/>
      <c r="CG328" s="1304"/>
      <c r="CH328" s="1304"/>
      <c r="CI328" s="1304"/>
      <c r="CJ328" s="1304"/>
    </row>
    <row r="329" spans="1:88" x14ac:dyDescent="0.5">
      <c r="A329" s="227">
        <v>20036522</v>
      </c>
      <c r="B329" s="22">
        <v>20030188</v>
      </c>
      <c r="C329" s="1019" t="s">
        <v>1415</v>
      </c>
      <c r="D329" s="1020" t="s">
        <v>2691</v>
      </c>
      <c r="E329" s="884">
        <v>43916</v>
      </c>
      <c r="F329" s="932" t="s">
        <v>3368</v>
      </c>
      <c r="G329" s="933" t="s">
        <v>1398</v>
      </c>
      <c r="H329" s="884">
        <v>43928</v>
      </c>
      <c r="I329" s="1021">
        <v>63090</v>
      </c>
      <c r="J329" s="931" t="s">
        <v>3423</v>
      </c>
      <c r="K329" s="957">
        <v>43928</v>
      </c>
      <c r="L329" s="22" t="s">
        <v>20</v>
      </c>
      <c r="M329" s="28" t="s">
        <v>160</v>
      </c>
      <c r="N329" s="22" t="s">
        <v>51</v>
      </c>
      <c r="O329" s="29">
        <v>26544</v>
      </c>
      <c r="P329" s="29">
        <f t="shared" ref="P329:P335" si="480">O329*7/100</f>
        <v>1858.08</v>
      </c>
      <c r="Q329" s="29">
        <f t="shared" ref="Q329:Q335" si="481">O329+P329</f>
        <v>28402.080000000002</v>
      </c>
      <c r="R329" s="61"/>
      <c r="S329" s="96"/>
      <c r="T329" s="97"/>
      <c r="U329" s="98"/>
      <c r="V329" s="1225"/>
      <c r="W329" s="1225"/>
      <c r="X329" s="100"/>
      <c r="Y329" s="1225"/>
      <c r="Z329" s="1225"/>
      <c r="AA329" s="1225"/>
      <c r="AB329" s="1225"/>
      <c r="AC329" s="100"/>
      <c r="AD329" s="595"/>
      <c r="AE329" s="40">
        <v>20040091</v>
      </c>
      <c r="AF329" s="1186" t="s">
        <v>3423</v>
      </c>
      <c r="AG329" s="41">
        <v>26544</v>
      </c>
      <c r="AH329" s="63">
        <f t="shared" ref="AH329:AH335" si="482">AG329*7/100</f>
        <v>1858.08</v>
      </c>
      <c r="AI329" s="52">
        <f t="shared" ref="AI329:AI335" si="483">AG329+AH329</f>
        <v>28402.080000000002</v>
      </c>
      <c r="AJ329" s="53">
        <v>43959</v>
      </c>
      <c r="AK329" s="39" t="s">
        <v>3423</v>
      </c>
      <c r="AL329" s="39"/>
      <c r="AM329" s="39"/>
      <c r="AN329" s="21" t="s">
        <v>4026</v>
      </c>
      <c r="AO329" s="1268">
        <v>1</v>
      </c>
      <c r="AP329" s="45" t="s">
        <v>1949</v>
      </c>
      <c r="AQ329" s="46"/>
      <c r="AR329" s="46" t="s">
        <v>3423</v>
      </c>
      <c r="AS329" s="47">
        <v>1</v>
      </c>
      <c r="AT329" s="48" t="s">
        <v>633</v>
      </c>
      <c r="AU329" s="1304"/>
      <c r="AV329" s="54"/>
      <c r="AW329" s="1304"/>
      <c r="AX329" s="1304"/>
      <c r="AY329" s="1304"/>
      <c r="AZ329" s="54"/>
      <c r="BA329" s="1304"/>
      <c r="BB329" s="54"/>
      <c r="BC329" s="1304"/>
      <c r="BD329" s="1304"/>
      <c r="BE329" s="1304"/>
      <c r="BF329" s="54"/>
      <c r="BG329" s="1304"/>
      <c r="BH329" s="54"/>
      <c r="BI329" s="1304"/>
      <c r="BJ329" s="1304"/>
      <c r="BK329" s="1304"/>
      <c r="BL329" s="54"/>
      <c r="BM329" s="1304"/>
      <c r="BN329" s="54"/>
      <c r="BO329" s="1304"/>
      <c r="BP329" s="1304"/>
      <c r="BQ329" s="1304"/>
      <c r="BR329" s="54"/>
      <c r="BS329" s="1304"/>
      <c r="BT329" s="54"/>
      <c r="BU329" s="1304"/>
      <c r="BV329" s="1304"/>
      <c r="BW329" s="1304"/>
      <c r="BX329" s="54"/>
      <c r="BY329" s="1304"/>
      <c r="BZ329" s="54"/>
      <c r="CA329" s="1304"/>
      <c r="CB329" s="1304"/>
      <c r="CC329" s="1304"/>
      <c r="CD329" s="54"/>
      <c r="CE329" s="1304"/>
      <c r="CF329" s="54"/>
      <c r="CG329" s="1304"/>
      <c r="CH329" s="1304"/>
      <c r="CI329" s="1304"/>
      <c r="CJ329" s="1304"/>
    </row>
    <row r="330" spans="1:88" x14ac:dyDescent="0.5">
      <c r="A330" s="259">
        <v>20036521</v>
      </c>
      <c r="B330" s="104" t="s">
        <v>3663</v>
      </c>
      <c r="C330" s="1243" t="s">
        <v>1416</v>
      </c>
      <c r="D330" s="1244" t="s">
        <v>2691</v>
      </c>
      <c r="E330" s="302">
        <v>43971</v>
      </c>
      <c r="F330" s="936" t="s">
        <v>3368</v>
      </c>
      <c r="G330" s="937" t="s">
        <v>1382</v>
      </c>
      <c r="H330" s="914">
        <v>43966</v>
      </c>
      <c r="I330" s="1315">
        <v>63114</v>
      </c>
      <c r="J330" s="960" t="s">
        <v>3423</v>
      </c>
      <c r="K330" s="965">
        <v>43967</v>
      </c>
      <c r="L330" s="104" t="s">
        <v>1227</v>
      </c>
      <c r="M330" s="110" t="s">
        <v>3664</v>
      </c>
      <c r="N330" s="104" t="s">
        <v>52</v>
      </c>
      <c r="O330" s="111">
        <v>140000</v>
      </c>
      <c r="P330" s="111">
        <f t="shared" si="480"/>
        <v>9800</v>
      </c>
      <c r="Q330" s="111">
        <f t="shared" si="481"/>
        <v>149800</v>
      </c>
      <c r="R330" s="311">
        <v>14000</v>
      </c>
      <c r="S330" s="113" t="s">
        <v>568</v>
      </c>
      <c r="T330" s="114">
        <f t="shared" ref="T330:T332" si="484">O330-R330</f>
        <v>126000</v>
      </c>
      <c r="U330" s="115">
        <v>5</v>
      </c>
      <c r="V330" s="1252">
        <f t="shared" ref="V330:V332" si="485">T330*U330/100</f>
        <v>6300</v>
      </c>
      <c r="W330" s="1245">
        <v>59.34</v>
      </c>
      <c r="X330" s="1246">
        <f t="shared" ref="X330" si="486">T330-V330</f>
        <v>119700</v>
      </c>
      <c r="Y330" s="1247">
        <f t="shared" ref="Y330:Y332" si="487">SUM((50-W330)/(100)*(2.5)+(0.5))</f>
        <v>0.2664999999999999</v>
      </c>
      <c r="Z330" s="1247">
        <f>X330*0.26/100</f>
        <v>311.22000000000003</v>
      </c>
      <c r="AA330" s="1265">
        <v>0.5</v>
      </c>
      <c r="AB330" s="1265">
        <f t="shared" ref="AB330:AB332" si="488">X330*AA330/100</f>
        <v>598.5</v>
      </c>
      <c r="AC330" s="119">
        <v>0.2</v>
      </c>
      <c r="AD330" s="1248">
        <f t="shared" ref="AD330:AD332" si="489">X330*AC330/100</f>
        <v>239.4</v>
      </c>
      <c r="AE330" s="123">
        <v>20050121</v>
      </c>
      <c r="AF330" s="1249" t="s">
        <v>3423</v>
      </c>
      <c r="AG330" s="124">
        <v>140000</v>
      </c>
      <c r="AH330" s="260">
        <f t="shared" si="482"/>
        <v>9800</v>
      </c>
      <c r="AI330" s="125">
        <f t="shared" si="483"/>
        <v>149800</v>
      </c>
      <c r="AJ330" s="126">
        <v>43963</v>
      </c>
      <c r="AK330" s="127" t="s">
        <v>3423</v>
      </c>
      <c r="AL330" s="127"/>
      <c r="AM330" s="127"/>
      <c r="AN330" s="103" t="s">
        <v>4027</v>
      </c>
      <c r="AO330" s="128">
        <v>1</v>
      </c>
      <c r="AP330" s="129" t="s">
        <v>734</v>
      </c>
      <c r="AQ330" s="130"/>
      <c r="AR330" s="130" t="s">
        <v>3423</v>
      </c>
      <c r="AS330" s="131">
        <v>1</v>
      </c>
      <c r="AT330" s="132" t="s">
        <v>3665</v>
      </c>
      <c r="AU330" s="128">
        <v>2</v>
      </c>
      <c r="AV330" s="123" t="s">
        <v>1826</v>
      </c>
      <c r="AW330" s="131"/>
      <c r="AX330" s="131" t="s">
        <v>3423</v>
      </c>
      <c r="AY330" s="131">
        <v>3</v>
      </c>
      <c r="AZ330" s="169" t="s">
        <v>634</v>
      </c>
      <c r="BA330" s="128"/>
      <c r="BB330" s="133"/>
      <c r="BC330" s="128"/>
      <c r="BD330" s="128"/>
      <c r="BE330" s="128"/>
      <c r="BF330" s="133"/>
      <c r="BG330" s="128"/>
      <c r="BH330" s="133"/>
      <c r="BI330" s="128"/>
      <c r="BJ330" s="128"/>
      <c r="BK330" s="128"/>
      <c r="BL330" s="133"/>
      <c r="BM330" s="128"/>
      <c r="BN330" s="133"/>
      <c r="BO330" s="128"/>
      <c r="BP330" s="128"/>
      <c r="BQ330" s="128"/>
      <c r="BR330" s="133"/>
      <c r="BS330" s="128"/>
      <c r="BT330" s="133"/>
      <c r="BU330" s="128"/>
      <c r="BV330" s="128"/>
      <c r="BW330" s="128"/>
      <c r="BX330" s="133"/>
      <c r="BY330" s="128"/>
      <c r="BZ330" s="133"/>
      <c r="CA330" s="128"/>
      <c r="CB330" s="128"/>
      <c r="CC330" s="128"/>
      <c r="CD330" s="133"/>
      <c r="CE330" s="128"/>
      <c r="CF330" s="133"/>
      <c r="CG330" s="128"/>
      <c r="CH330" s="128"/>
      <c r="CI330" s="128"/>
      <c r="CJ330" s="128"/>
    </row>
    <row r="331" spans="1:88" x14ac:dyDescent="0.5">
      <c r="A331" s="262"/>
      <c r="B331" s="135"/>
      <c r="C331" s="1290"/>
      <c r="D331" s="1291"/>
      <c r="E331" s="906"/>
      <c r="F331" s="940"/>
      <c r="G331" s="941"/>
      <c r="H331" s="906">
        <v>43966</v>
      </c>
      <c r="I331" s="1138">
        <v>63115</v>
      </c>
      <c r="J331" s="963"/>
      <c r="K331" s="964"/>
      <c r="L331" s="135"/>
      <c r="M331" s="141"/>
      <c r="N331" s="135"/>
      <c r="O331" s="142"/>
      <c r="P331" s="142"/>
      <c r="Q331" s="142"/>
      <c r="R331" s="143"/>
      <c r="S331" s="144"/>
      <c r="T331" s="145"/>
      <c r="U331" s="146"/>
      <c r="V331" s="1292"/>
      <c r="W331" s="1293"/>
      <c r="X331" s="1294"/>
      <c r="Y331" s="1295"/>
      <c r="Z331" s="1295"/>
      <c r="AA331" s="1308"/>
      <c r="AB331" s="1308"/>
      <c r="AC331" s="150"/>
      <c r="AD331" s="1297"/>
      <c r="AE331" s="154"/>
      <c r="AF331" s="1298"/>
      <c r="AG331" s="155"/>
      <c r="AH331" s="253"/>
      <c r="AI331" s="156"/>
      <c r="AJ331" s="157"/>
      <c r="AK331" s="152"/>
      <c r="AL331" s="152"/>
      <c r="AM331" s="152"/>
      <c r="AN331" s="134"/>
      <c r="AO331" s="158"/>
      <c r="AP331" s="159"/>
      <c r="AQ331" s="160"/>
      <c r="AR331" s="160"/>
      <c r="AS331" s="161"/>
      <c r="AT331" s="162"/>
      <c r="AU331" s="158"/>
      <c r="AV331" s="154"/>
      <c r="AW331" s="161"/>
      <c r="AX331" s="161"/>
      <c r="AY331" s="161"/>
      <c r="AZ331" s="177"/>
      <c r="BA331" s="158"/>
      <c r="BB331" s="163"/>
      <c r="BC331" s="158"/>
      <c r="BD331" s="158"/>
      <c r="BE331" s="158"/>
      <c r="BF331" s="163"/>
      <c r="BG331" s="158"/>
      <c r="BH331" s="163"/>
      <c r="BI331" s="158"/>
      <c r="BJ331" s="158"/>
      <c r="BK331" s="158"/>
      <c r="BL331" s="163"/>
      <c r="BM331" s="158"/>
      <c r="BN331" s="163"/>
      <c r="BO331" s="158"/>
      <c r="BP331" s="158"/>
      <c r="BQ331" s="158"/>
      <c r="BR331" s="163"/>
      <c r="BS331" s="158"/>
      <c r="BT331" s="163"/>
      <c r="BU331" s="158"/>
      <c r="BV331" s="158"/>
      <c r="BW331" s="158"/>
      <c r="BX331" s="163"/>
      <c r="BY331" s="158"/>
      <c r="BZ331" s="163"/>
      <c r="CA331" s="158"/>
      <c r="CB331" s="158"/>
      <c r="CC331" s="158"/>
      <c r="CD331" s="163"/>
      <c r="CE331" s="158"/>
      <c r="CF331" s="163"/>
      <c r="CG331" s="158"/>
      <c r="CH331" s="158"/>
      <c r="CI331" s="158"/>
      <c r="CJ331" s="158"/>
    </row>
    <row r="332" spans="1:88" x14ac:dyDescent="0.5">
      <c r="A332" s="103">
        <v>20036520</v>
      </c>
      <c r="B332" s="104">
        <v>20030186</v>
      </c>
      <c r="C332" s="1243" t="s">
        <v>1417</v>
      </c>
      <c r="D332" s="1244" t="s">
        <v>2691</v>
      </c>
      <c r="E332" s="302">
        <v>43916</v>
      </c>
      <c r="F332" s="936" t="s">
        <v>3368</v>
      </c>
      <c r="G332" s="937" t="s">
        <v>2478</v>
      </c>
      <c r="H332" s="302">
        <v>44113</v>
      </c>
      <c r="I332" s="1124">
        <v>63238</v>
      </c>
      <c r="J332" s="960" t="s">
        <v>3423</v>
      </c>
      <c r="K332" s="965">
        <v>44114</v>
      </c>
      <c r="L332" s="104" t="s">
        <v>3533</v>
      </c>
      <c r="M332" s="110" t="s">
        <v>3666</v>
      </c>
      <c r="N332" s="104" t="s">
        <v>52</v>
      </c>
      <c r="O332" s="111">
        <v>100000</v>
      </c>
      <c r="P332" s="111">
        <f t="shared" si="480"/>
        <v>7000</v>
      </c>
      <c r="Q332" s="111">
        <f t="shared" si="481"/>
        <v>107000</v>
      </c>
      <c r="R332" s="212"/>
      <c r="S332" s="113" t="s">
        <v>3763</v>
      </c>
      <c r="T332" s="114">
        <f t="shared" si="484"/>
        <v>100000</v>
      </c>
      <c r="U332" s="115">
        <v>5</v>
      </c>
      <c r="V332" s="1252">
        <f t="shared" si="485"/>
        <v>5000</v>
      </c>
      <c r="W332" s="1245">
        <v>47.67</v>
      </c>
      <c r="X332" s="1246">
        <f>T332-V332-V333</f>
        <v>90000</v>
      </c>
      <c r="Y332" s="1247">
        <f t="shared" si="487"/>
        <v>0.55824999999999991</v>
      </c>
      <c r="Z332" s="1247">
        <f>90000*0.55/100</f>
        <v>495.00000000000006</v>
      </c>
      <c r="AA332" s="1265">
        <v>0.5</v>
      </c>
      <c r="AB332" s="1265">
        <f t="shared" si="488"/>
        <v>450</v>
      </c>
      <c r="AC332" s="119">
        <v>0.2</v>
      </c>
      <c r="AD332" s="1248">
        <f t="shared" si="489"/>
        <v>180</v>
      </c>
      <c r="AE332" s="229">
        <v>20030065</v>
      </c>
      <c r="AF332" s="1313"/>
      <c r="AG332" s="230">
        <v>30000</v>
      </c>
      <c r="AH332" s="233">
        <f t="shared" si="482"/>
        <v>2100</v>
      </c>
      <c r="AI332" s="220">
        <f t="shared" si="483"/>
        <v>32100</v>
      </c>
      <c r="AJ332" s="221">
        <v>43907</v>
      </c>
      <c r="AK332" s="121" t="s">
        <v>3423</v>
      </c>
      <c r="AL332" s="121"/>
      <c r="AM332" s="121"/>
      <c r="AN332" s="222" t="s">
        <v>3698</v>
      </c>
      <c r="AO332" s="128">
        <v>1</v>
      </c>
      <c r="AP332" s="129" t="s">
        <v>3667</v>
      </c>
      <c r="AQ332" s="130"/>
      <c r="AR332" s="130" t="s">
        <v>3423</v>
      </c>
      <c r="AS332" s="131">
        <v>1</v>
      </c>
      <c r="AT332" s="132" t="s">
        <v>634</v>
      </c>
      <c r="AU332" s="128">
        <v>2</v>
      </c>
      <c r="AV332" s="123" t="s">
        <v>3668</v>
      </c>
      <c r="AW332" s="131"/>
      <c r="AX332" s="131" t="s">
        <v>3423</v>
      </c>
      <c r="AY332" s="131">
        <v>1</v>
      </c>
      <c r="AZ332" s="169" t="s">
        <v>634</v>
      </c>
      <c r="BA332" s="128"/>
      <c r="BB332" s="133"/>
      <c r="BC332" s="128"/>
      <c r="BD332" s="128"/>
      <c r="BE332" s="128"/>
      <c r="BF332" s="133"/>
      <c r="BG332" s="128"/>
      <c r="BH332" s="133"/>
      <c r="BI332" s="128"/>
      <c r="BJ332" s="128"/>
      <c r="BK332" s="128"/>
      <c r="BL332" s="133"/>
      <c r="BM332" s="128"/>
      <c r="BN332" s="133"/>
      <c r="BO332" s="128"/>
      <c r="BP332" s="128"/>
      <c r="BQ332" s="128"/>
      <c r="BR332" s="133"/>
      <c r="BS332" s="128"/>
      <c r="BT332" s="133"/>
      <c r="BU332" s="128"/>
      <c r="BV332" s="128"/>
      <c r="BW332" s="128"/>
      <c r="BX332" s="133"/>
      <c r="BY332" s="128"/>
      <c r="BZ332" s="133"/>
      <c r="CA332" s="128"/>
      <c r="CB332" s="128"/>
      <c r="CC332" s="128"/>
      <c r="CD332" s="133"/>
      <c r="CE332" s="128"/>
      <c r="CF332" s="133"/>
      <c r="CG332" s="128"/>
      <c r="CH332" s="128"/>
      <c r="CI332" s="128"/>
      <c r="CJ332" s="128"/>
    </row>
    <row r="333" spans="1:88" x14ac:dyDescent="0.5">
      <c r="A333" s="134"/>
      <c r="B333" s="135"/>
      <c r="C333" s="1290"/>
      <c r="D333" s="1291"/>
      <c r="E333" s="906"/>
      <c r="F333" s="940"/>
      <c r="G333" s="941"/>
      <c r="H333" s="1307"/>
      <c r="I333" s="1138"/>
      <c r="J333" s="963"/>
      <c r="K333" s="154"/>
      <c r="L333" s="135"/>
      <c r="M333" s="141"/>
      <c r="N333" s="135"/>
      <c r="O333" s="142"/>
      <c r="P333" s="142"/>
      <c r="Q333" s="142"/>
      <c r="R333" s="213"/>
      <c r="S333" s="144" t="s">
        <v>3764</v>
      </c>
      <c r="T333" s="145"/>
      <c r="U333" s="146">
        <v>5</v>
      </c>
      <c r="V333" s="1292">
        <f>T332*U333/100</f>
        <v>5000</v>
      </c>
      <c r="W333" s="1293"/>
      <c r="X333" s="1294"/>
      <c r="Y333" s="1295"/>
      <c r="Z333" s="1295"/>
      <c r="AA333" s="1308"/>
      <c r="AB333" s="1308"/>
      <c r="AC333" s="150"/>
      <c r="AD333" s="1297"/>
      <c r="AE333" s="857">
        <v>20030081</v>
      </c>
      <c r="AF333" s="1781"/>
      <c r="AG333" s="858">
        <v>70000</v>
      </c>
      <c r="AH333" s="859">
        <f t="shared" si="482"/>
        <v>4900</v>
      </c>
      <c r="AI333" s="915">
        <f t="shared" si="483"/>
        <v>74900</v>
      </c>
      <c r="AJ333" s="860">
        <v>43916</v>
      </c>
      <c r="AK333" s="861"/>
      <c r="AL333" s="861"/>
      <c r="AM333" s="861" t="s">
        <v>3423</v>
      </c>
      <c r="AN333" s="862"/>
      <c r="AO333" s="158"/>
      <c r="AP333" s="159"/>
      <c r="AQ333" s="160"/>
      <c r="AR333" s="160"/>
      <c r="AS333" s="161"/>
      <c r="AT333" s="162"/>
      <c r="AU333" s="158"/>
      <c r="AV333" s="154"/>
      <c r="AW333" s="161"/>
      <c r="AX333" s="161"/>
      <c r="AY333" s="161"/>
      <c r="AZ333" s="177"/>
      <c r="BA333" s="158"/>
      <c r="BB333" s="163"/>
      <c r="BC333" s="158"/>
      <c r="BD333" s="158"/>
      <c r="BE333" s="158"/>
      <c r="BF333" s="163"/>
      <c r="BG333" s="158"/>
      <c r="BH333" s="163"/>
      <c r="BI333" s="158"/>
      <c r="BJ333" s="158"/>
      <c r="BK333" s="158"/>
      <c r="BL333" s="163"/>
      <c r="BM333" s="158"/>
      <c r="BN333" s="163"/>
      <c r="BO333" s="158"/>
      <c r="BP333" s="158"/>
      <c r="BQ333" s="158"/>
      <c r="BR333" s="163"/>
      <c r="BS333" s="158"/>
      <c r="BT333" s="163"/>
      <c r="BU333" s="158"/>
      <c r="BV333" s="158"/>
      <c r="BW333" s="158"/>
      <c r="BX333" s="163"/>
      <c r="BY333" s="158"/>
      <c r="BZ333" s="163"/>
      <c r="CA333" s="158"/>
      <c r="CB333" s="158"/>
      <c r="CC333" s="158"/>
      <c r="CD333" s="163"/>
      <c r="CE333" s="158"/>
      <c r="CF333" s="163"/>
      <c r="CG333" s="158"/>
      <c r="CH333" s="158"/>
      <c r="CI333" s="158"/>
      <c r="CJ333" s="158"/>
    </row>
    <row r="334" spans="1:88" x14ac:dyDescent="0.5">
      <c r="A334" s="180"/>
      <c r="B334" s="181"/>
      <c r="C334" s="1236"/>
      <c r="D334" s="1237"/>
      <c r="E334" s="749"/>
      <c r="F334" s="938"/>
      <c r="G334" s="939"/>
      <c r="H334" s="304"/>
      <c r="I334" s="1125"/>
      <c r="J334" s="961"/>
      <c r="K334" s="200"/>
      <c r="L334" s="181"/>
      <c r="M334" s="188"/>
      <c r="N334" s="181"/>
      <c r="O334" s="189"/>
      <c r="P334" s="189"/>
      <c r="Q334" s="189"/>
      <c r="R334" s="214"/>
      <c r="S334" s="215"/>
      <c r="T334" s="216"/>
      <c r="U334" s="217"/>
      <c r="V334" s="1253"/>
      <c r="W334" s="1238"/>
      <c r="X334" s="1239"/>
      <c r="Y334" s="1240"/>
      <c r="Z334" s="1240"/>
      <c r="AA334" s="1263"/>
      <c r="AB334" s="1263"/>
      <c r="AC334" s="197"/>
      <c r="AD334" s="1241"/>
      <c r="AE334" s="200" t="s">
        <v>4303</v>
      </c>
      <c r="AF334" s="1242" t="s">
        <v>3423</v>
      </c>
      <c r="AG334" s="201">
        <v>70000</v>
      </c>
      <c r="AH334" s="237">
        <f t="shared" si="482"/>
        <v>4900</v>
      </c>
      <c r="AI334" s="202">
        <f t="shared" si="483"/>
        <v>74900</v>
      </c>
      <c r="AJ334" s="203">
        <v>44112</v>
      </c>
      <c r="AK334" s="199" t="s">
        <v>3423</v>
      </c>
      <c r="AL334" s="199"/>
      <c r="AM334" s="199"/>
      <c r="AN334" s="180" t="s">
        <v>4304</v>
      </c>
      <c r="AO334" s="204"/>
      <c r="AP334" s="205"/>
      <c r="AQ334" s="206"/>
      <c r="AR334" s="206"/>
      <c r="AS334" s="207"/>
      <c r="AT334" s="208"/>
      <c r="AU334" s="204"/>
      <c r="AV334" s="200"/>
      <c r="AW334" s="207"/>
      <c r="AX334" s="207"/>
      <c r="AY334" s="207"/>
      <c r="AZ334" s="209"/>
      <c r="BA334" s="204"/>
      <c r="BB334" s="210"/>
      <c r="BC334" s="204"/>
      <c r="BD334" s="204"/>
      <c r="BE334" s="204"/>
      <c r="BF334" s="210"/>
      <c r="BG334" s="204"/>
      <c r="BH334" s="210"/>
      <c r="BI334" s="204"/>
      <c r="BJ334" s="204"/>
      <c r="BK334" s="204"/>
      <c r="BL334" s="210"/>
      <c r="BM334" s="204"/>
      <c r="BN334" s="210"/>
      <c r="BO334" s="204"/>
      <c r="BP334" s="204"/>
      <c r="BQ334" s="204"/>
      <c r="BR334" s="210"/>
      <c r="BS334" s="204"/>
      <c r="BT334" s="210"/>
      <c r="BU334" s="204"/>
      <c r="BV334" s="204"/>
      <c r="BW334" s="204"/>
      <c r="BX334" s="210"/>
      <c r="BY334" s="204"/>
      <c r="BZ334" s="210"/>
      <c r="CA334" s="204"/>
      <c r="CB334" s="204"/>
      <c r="CC334" s="204"/>
      <c r="CD334" s="210"/>
      <c r="CE334" s="204"/>
      <c r="CF334" s="210"/>
      <c r="CG334" s="204"/>
      <c r="CH334" s="204"/>
      <c r="CI334" s="204"/>
      <c r="CJ334" s="204"/>
    </row>
    <row r="335" spans="1:88" x14ac:dyDescent="0.5">
      <c r="A335" s="227">
        <v>20036519</v>
      </c>
      <c r="B335" s="22">
        <v>20030183</v>
      </c>
      <c r="C335" s="55"/>
      <c r="D335" s="56"/>
      <c r="E335" s="910"/>
      <c r="F335" s="57"/>
      <c r="G335" s="58"/>
      <c r="H335" s="59"/>
      <c r="I335" s="60"/>
      <c r="J335" s="269"/>
      <c r="K335" s="59"/>
      <c r="L335" s="22" t="s">
        <v>3228</v>
      </c>
      <c r="M335" s="28" t="s">
        <v>3242</v>
      </c>
      <c r="N335" s="22" t="s">
        <v>51</v>
      </c>
      <c r="O335" s="29">
        <v>10100</v>
      </c>
      <c r="P335" s="29">
        <f t="shared" si="480"/>
        <v>707</v>
      </c>
      <c r="Q335" s="29">
        <f t="shared" si="481"/>
        <v>10807</v>
      </c>
      <c r="R335" s="61"/>
      <c r="S335" s="96"/>
      <c r="T335" s="97"/>
      <c r="U335" s="98"/>
      <c r="V335" s="1225"/>
      <c r="W335" s="1225"/>
      <c r="X335" s="100"/>
      <c r="Y335" s="1225"/>
      <c r="Z335" s="1225"/>
      <c r="AA335" s="1225"/>
      <c r="AB335" s="1225"/>
      <c r="AC335" s="100"/>
      <c r="AD335" s="595"/>
      <c r="AE335" s="40">
        <v>20030069</v>
      </c>
      <c r="AF335" s="1186" t="s">
        <v>3423</v>
      </c>
      <c r="AG335" s="41">
        <v>10100</v>
      </c>
      <c r="AH335" s="63">
        <f t="shared" si="482"/>
        <v>707</v>
      </c>
      <c r="AI335" s="52">
        <f t="shared" si="483"/>
        <v>10807</v>
      </c>
      <c r="AJ335" s="53">
        <v>43938</v>
      </c>
      <c r="AK335" s="39" t="s">
        <v>3423</v>
      </c>
      <c r="AL335" s="39"/>
      <c r="AM335" s="39"/>
      <c r="AN335" s="21" t="s">
        <v>4039</v>
      </c>
      <c r="AO335" s="1268">
        <v>1</v>
      </c>
      <c r="AP335" s="45" t="s">
        <v>3243</v>
      </c>
      <c r="AQ335" s="46"/>
      <c r="AR335" s="46"/>
      <c r="AS335" s="47">
        <v>1</v>
      </c>
      <c r="AT335" s="48" t="s">
        <v>628</v>
      </c>
      <c r="AU335" s="1268">
        <v>2</v>
      </c>
      <c r="AV335" s="40" t="s">
        <v>3244</v>
      </c>
      <c r="AW335" s="47"/>
      <c r="AX335" s="47"/>
      <c r="AY335" s="47">
        <v>1</v>
      </c>
      <c r="AZ335" s="49" t="s">
        <v>628</v>
      </c>
      <c r="BA335" s="1304"/>
      <c r="BB335" s="54"/>
      <c r="BC335" s="1304"/>
      <c r="BD335" s="1304"/>
      <c r="BE335" s="1304"/>
      <c r="BF335" s="54"/>
      <c r="BG335" s="1304"/>
      <c r="BH335" s="54"/>
      <c r="BI335" s="1304"/>
      <c r="BJ335" s="1304"/>
      <c r="BK335" s="1304"/>
      <c r="BL335" s="54"/>
      <c r="BM335" s="1304"/>
      <c r="BN335" s="54"/>
      <c r="BO335" s="1304"/>
      <c r="BP335" s="1304"/>
      <c r="BQ335" s="1304"/>
      <c r="BR335" s="54"/>
      <c r="BS335" s="1304"/>
      <c r="BT335" s="54"/>
      <c r="BU335" s="1304"/>
      <c r="BV335" s="1304"/>
      <c r="BW335" s="1304"/>
      <c r="BX335" s="54"/>
      <c r="BY335" s="1304"/>
      <c r="BZ335" s="54"/>
      <c r="CA335" s="1304"/>
      <c r="CB335" s="1304"/>
      <c r="CC335" s="1304"/>
      <c r="CD335" s="54"/>
      <c r="CE335" s="1304"/>
      <c r="CF335" s="54"/>
      <c r="CG335" s="1304"/>
      <c r="CH335" s="1304"/>
      <c r="CI335" s="1304"/>
      <c r="CJ335" s="1304"/>
    </row>
    <row r="336" spans="1:88" x14ac:dyDescent="0.5">
      <c r="A336" s="103">
        <v>20036518</v>
      </c>
      <c r="B336" s="104">
        <v>20030174</v>
      </c>
      <c r="C336" s="242"/>
      <c r="D336" s="243"/>
      <c r="E336" s="912"/>
      <c r="F336" s="244"/>
      <c r="G336" s="245"/>
      <c r="H336" s="246"/>
      <c r="I336" s="247"/>
      <c r="J336" s="306"/>
      <c r="K336" s="246"/>
      <c r="L336" s="104" t="s">
        <v>3151</v>
      </c>
      <c r="M336" s="110" t="s">
        <v>259</v>
      </c>
      <c r="N336" s="104" t="s">
        <v>51</v>
      </c>
      <c r="O336" s="111">
        <v>29100</v>
      </c>
      <c r="P336" s="111">
        <f t="shared" si="323"/>
        <v>2037</v>
      </c>
      <c r="Q336" s="111">
        <f t="shared" si="475"/>
        <v>31137</v>
      </c>
      <c r="R336" s="212"/>
      <c r="S336" s="165"/>
      <c r="T336" s="166"/>
      <c r="U336" s="167"/>
      <c r="V336" s="1302"/>
      <c r="W336" s="1302"/>
      <c r="X336" s="231"/>
      <c r="Y336" s="1302"/>
      <c r="Z336" s="1302"/>
      <c r="AA336" s="1302"/>
      <c r="AB336" s="1302">
        <f t="shared" ref="AB336" si="490">X336*AA336/100</f>
        <v>0</v>
      </c>
      <c r="AC336" s="231"/>
      <c r="AD336" s="1309">
        <f t="shared" si="479"/>
        <v>0</v>
      </c>
      <c r="AE336" s="771">
        <v>20030062</v>
      </c>
      <c r="AF336" s="1409" t="s">
        <v>3423</v>
      </c>
      <c r="AG336" s="819">
        <v>29100</v>
      </c>
      <c r="AH336" s="820">
        <f t="shared" si="330"/>
        <v>2037</v>
      </c>
      <c r="AI336" s="821">
        <f t="shared" si="476"/>
        <v>31137</v>
      </c>
      <c r="AJ336" s="822">
        <v>43936</v>
      </c>
      <c r="AK336" s="775"/>
      <c r="AL336" s="775"/>
      <c r="AM336" s="775" t="s">
        <v>3423</v>
      </c>
      <c r="AN336" s="776"/>
      <c r="AO336" s="128">
        <v>1</v>
      </c>
      <c r="AP336" s="129" t="s">
        <v>3588</v>
      </c>
      <c r="AQ336" s="130"/>
      <c r="AR336" s="130"/>
      <c r="AS336" s="131">
        <v>1</v>
      </c>
      <c r="AT336" s="132" t="s">
        <v>628</v>
      </c>
      <c r="AU336" s="128">
        <v>2</v>
      </c>
      <c r="AV336" s="123" t="s">
        <v>3589</v>
      </c>
      <c r="AW336" s="131"/>
      <c r="AX336" s="131"/>
      <c r="AY336" s="131">
        <v>1</v>
      </c>
      <c r="AZ336" s="169" t="s">
        <v>628</v>
      </c>
      <c r="BA336" s="128">
        <v>3</v>
      </c>
      <c r="BB336" s="123" t="s">
        <v>3590</v>
      </c>
      <c r="BC336" s="131"/>
      <c r="BD336" s="131"/>
      <c r="BE336" s="131">
        <v>1</v>
      </c>
      <c r="BF336" s="169" t="s">
        <v>628</v>
      </c>
      <c r="BG336" s="128"/>
      <c r="BH336" s="133"/>
      <c r="BI336" s="128"/>
      <c r="BJ336" s="128"/>
      <c r="BK336" s="128"/>
      <c r="BL336" s="133"/>
      <c r="BM336" s="128"/>
      <c r="BN336" s="133"/>
      <c r="BO336" s="128"/>
      <c r="BP336" s="128"/>
      <c r="BQ336" s="128"/>
      <c r="BR336" s="133"/>
      <c r="BS336" s="128"/>
      <c r="BT336" s="133"/>
      <c r="BU336" s="128"/>
      <c r="BV336" s="128"/>
      <c r="BW336" s="128"/>
      <c r="BX336" s="133"/>
      <c r="BY336" s="128"/>
      <c r="BZ336" s="133"/>
      <c r="CA336" s="128"/>
      <c r="CB336" s="128"/>
      <c r="CC336" s="128"/>
      <c r="CD336" s="133"/>
      <c r="CE336" s="128"/>
      <c r="CF336" s="133"/>
      <c r="CG336" s="128"/>
      <c r="CH336" s="128"/>
      <c r="CI336" s="128"/>
      <c r="CJ336" s="128"/>
    </row>
    <row r="337" spans="1:88" x14ac:dyDescent="0.5">
      <c r="A337" s="180"/>
      <c r="B337" s="181"/>
      <c r="C337" s="285"/>
      <c r="D337" s="286"/>
      <c r="E337" s="913"/>
      <c r="F337" s="287"/>
      <c r="G337" s="288"/>
      <c r="H337" s="289"/>
      <c r="I337" s="290"/>
      <c r="J337" s="832"/>
      <c r="K337" s="289"/>
      <c r="L337" s="181"/>
      <c r="M337" s="188"/>
      <c r="N337" s="181"/>
      <c r="O337" s="189"/>
      <c r="P337" s="189"/>
      <c r="Q337" s="189"/>
      <c r="R337" s="214"/>
      <c r="S337" s="191"/>
      <c r="T337" s="192"/>
      <c r="U337" s="193"/>
      <c r="V337" s="1254"/>
      <c r="W337" s="1254"/>
      <c r="X337" s="235"/>
      <c r="Y337" s="1254"/>
      <c r="Z337" s="1254"/>
      <c r="AA337" s="1254"/>
      <c r="AB337" s="1254"/>
      <c r="AC337" s="235"/>
      <c r="AD337" s="1303"/>
      <c r="AE337" s="200" t="s">
        <v>4295</v>
      </c>
      <c r="AF337" s="1242" t="s">
        <v>3423</v>
      </c>
      <c r="AG337" s="201">
        <v>29100</v>
      </c>
      <c r="AH337" s="237">
        <f t="shared" si="330"/>
        <v>2037</v>
      </c>
      <c r="AI337" s="202">
        <f t="shared" si="476"/>
        <v>31137</v>
      </c>
      <c r="AJ337" s="203">
        <v>44104</v>
      </c>
      <c r="AK337" s="199"/>
      <c r="AL337" s="199"/>
      <c r="AM337" s="199" t="s">
        <v>3423</v>
      </c>
      <c r="AN337" s="180"/>
      <c r="AO337" s="204"/>
      <c r="AP337" s="205"/>
      <c r="AQ337" s="206"/>
      <c r="AR337" s="206"/>
      <c r="AS337" s="207"/>
      <c r="AT337" s="208"/>
      <c r="AU337" s="204"/>
      <c r="AV337" s="200"/>
      <c r="AW337" s="207"/>
      <c r="AX337" s="207"/>
      <c r="AY337" s="207"/>
      <c r="AZ337" s="209"/>
      <c r="BA337" s="204"/>
      <c r="BB337" s="200"/>
      <c r="BC337" s="207"/>
      <c r="BD337" s="207"/>
      <c r="BE337" s="207"/>
      <c r="BF337" s="209"/>
      <c r="BG337" s="204"/>
      <c r="BH337" s="210"/>
      <c r="BI337" s="204"/>
      <c r="BJ337" s="204"/>
      <c r="BK337" s="204"/>
      <c r="BL337" s="210"/>
      <c r="BM337" s="204"/>
      <c r="BN337" s="210"/>
      <c r="BO337" s="204"/>
      <c r="BP337" s="204"/>
      <c r="BQ337" s="204"/>
      <c r="BR337" s="210"/>
      <c r="BS337" s="204"/>
      <c r="BT337" s="210"/>
      <c r="BU337" s="204"/>
      <c r="BV337" s="204"/>
      <c r="BW337" s="204"/>
      <c r="BX337" s="210"/>
      <c r="BY337" s="204"/>
      <c r="BZ337" s="210"/>
      <c r="CA337" s="204"/>
      <c r="CB337" s="204"/>
      <c r="CC337" s="204"/>
      <c r="CD337" s="210"/>
      <c r="CE337" s="204"/>
      <c r="CF337" s="210"/>
      <c r="CG337" s="204"/>
      <c r="CH337" s="204"/>
      <c r="CI337" s="204"/>
      <c r="CJ337" s="204"/>
    </row>
    <row r="338" spans="1:88" x14ac:dyDescent="0.5">
      <c r="A338" s="227">
        <v>20036517</v>
      </c>
      <c r="B338" s="22">
        <v>20030173</v>
      </c>
      <c r="C338" s="1019" t="s">
        <v>1418</v>
      </c>
      <c r="D338" s="1020" t="s">
        <v>2691</v>
      </c>
      <c r="E338" s="884">
        <v>43910</v>
      </c>
      <c r="F338" s="932" t="s">
        <v>3368</v>
      </c>
      <c r="G338" s="933" t="s">
        <v>1412</v>
      </c>
      <c r="H338" s="884">
        <v>43909</v>
      </c>
      <c r="I338" s="1021">
        <v>63076</v>
      </c>
      <c r="J338" s="931" t="s">
        <v>3423</v>
      </c>
      <c r="K338" s="957">
        <v>43910</v>
      </c>
      <c r="L338" s="22" t="s">
        <v>3370</v>
      </c>
      <c r="M338" s="28" t="s">
        <v>3591</v>
      </c>
      <c r="N338" s="22" t="s">
        <v>51</v>
      </c>
      <c r="O338" s="29">
        <v>151920</v>
      </c>
      <c r="P338" s="29">
        <f t="shared" ref="P338:P347" si="491">O338*7/100</f>
        <v>10634.4</v>
      </c>
      <c r="Q338" s="29">
        <f t="shared" si="324"/>
        <v>162554.4</v>
      </c>
      <c r="R338" s="61"/>
      <c r="S338" s="96"/>
      <c r="T338" s="97"/>
      <c r="U338" s="98"/>
      <c r="V338" s="1225"/>
      <c r="W338" s="1225"/>
      <c r="X338" s="100"/>
      <c r="Y338" s="1225"/>
      <c r="Z338" s="1225"/>
      <c r="AA338" s="1225"/>
      <c r="AB338" s="1225"/>
      <c r="AC338" s="100"/>
      <c r="AD338" s="595"/>
      <c r="AE338" s="40">
        <v>20030074</v>
      </c>
      <c r="AF338" s="1186" t="s">
        <v>3423</v>
      </c>
      <c r="AG338" s="41">
        <v>151920</v>
      </c>
      <c r="AH338" s="63">
        <f t="shared" ref="AH338:AH347" si="492">AG338*7/100</f>
        <v>10634.4</v>
      </c>
      <c r="AI338" s="52">
        <f t="shared" si="331"/>
        <v>162554.4</v>
      </c>
      <c r="AJ338" s="53">
        <v>43943</v>
      </c>
      <c r="AK338" s="39" t="s">
        <v>3423</v>
      </c>
      <c r="AL338" s="39"/>
      <c r="AM338" s="39"/>
      <c r="AN338" s="21" t="s">
        <v>4000</v>
      </c>
      <c r="AO338" s="1266">
        <v>1</v>
      </c>
      <c r="AP338" s="45" t="s">
        <v>3592</v>
      </c>
      <c r="AQ338" s="46"/>
      <c r="AR338" s="46" t="s">
        <v>3423</v>
      </c>
      <c r="AS338" s="47">
        <v>2</v>
      </c>
      <c r="AT338" s="48" t="s">
        <v>633</v>
      </c>
      <c r="AU338" s="1266">
        <v>2</v>
      </c>
      <c r="AV338" s="40" t="s">
        <v>3593</v>
      </c>
      <c r="AW338" s="47"/>
      <c r="AX338" s="47" t="s">
        <v>3423</v>
      </c>
      <c r="AY338" s="47">
        <v>2</v>
      </c>
      <c r="AZ338" s="49" t="s">
        <v>633</v>
      </c>
      <c r="BA338" s="1266">
        <v>3</v>
      </c>
      <c r="BB338" s="40" t="s">
        <v>3594</v>
      </c>
      <c r="BC338" s="47"/>
      <c r="BD338" s="47" t="s">
        <v>3423</v>
      </c>
      <c r="BE338" s="47">
        <v>1</v>
      </c>
      <c r="BF338" s="49" t="s">
        <v>635</v>
      </c>
      <c r="BG338" s="1268"/>
      <c r="BH338" s="54"/>
      <c r="BI338" s="1268"/>
      <c r="BJ338" s="1268"/>
      <c r="BK338" s="1268"/>
      <c r="BL338" s="54"/>
      <c r="BM338" s="1268"/>
      <c r="BN338" s="54"/>
      <c r="BO338" s="1268"/>
      <c r="BP338" s="1268"/>
      <c r="BQ338" s="1268"/>
      <c r="BR338" s="54"/>
      <c r="BS338" s="1268"/>
      <c r="BT338" s="54"/>
      <c r="BU338" s="1268"/>
      <c r="BV338" s="1268"/>
      <c r="BW338" s="1268"/>
      <c r="BX338" s="54"/>
      <c r="BY338" s="1268"/>
      <c r="BZ338" s="54"/>
      <c r="CA338" s="1268"/>
      <c r="CB338" s="1268"/>
      <c r="CC338" s="1268"/>
      <c r="CD338" s="54"/>
      <c r="CE338" s="1268"/>
      <c r="CF338" s="54"/>
      <c r="CG338" s="1268"/>
      <c r="CH338" s="1268"/>
      <c r="CI338" s="1268"/>
      <c r="CJ338" s="1268"/>
    </row>
    <row r="339" spans="1:88" ht="21" customHeight="1" x14ac:dyDescent="0.5">
      <c r="A339" s="259">
        <v>20036516</v>
      </c>
      <c r="B339" s="104">
        <v>20030170</v>
      </c>
      <c r="C339" s="1243" t="s">
        <v>1419</v>
      </c>
      <c r="D339" s="1244" t="s">
        <v>2691</v>
      </c>
      <c r="E339" s="302">
        <v>43913</v>
      </c>
      <c r="F339" s="936" t="s">
        <v>3368</v>
      </c>
      <c r="G339" s="937" t="s">
        <v>1407</v>
      </c>
      <c r="H339" s="302">
        <v>43911</v>
      </c>
      <c r="I339" s="1124">
        <v>63078</v>
      </c>
      <c r="J339" s="960" t="s">
        <v>3423</v>
      </c>
      <c r="K339" s="965">
        <v>43913</v>
      </c>
      <c r="L339" s="104" t="s">
        <v>1613</v>
      </c>
      <c r="M339" s="110" t="s">
        <v>3595</v>
      </c>
      <c r="N339" s="104" t="s">
        <v>52</v>
      </c>
      <c r="O339" s="111">
        <v>210000</v>
      </c>
      <c r="P339" s="111">
        <f t="shared" si="491"/>
        <v>14700</v>
      </c>
      <c r="Q339" s="111">
        <f t="shared" si="324"/>
        <v>224700</v>
      </c>
      <c r="R339" s="311">
        <v>14000</v>
      </c>
      <c r="S339" s="113" t="s">
        <v>1619</v>
      </c>
      <c r="T339" s="114">
        <f t="shared" si="325"/>
        <v>196000</v>
      </c>
      <c r="U339" s="115">
        <v>5</v>
      </c>
      <c r="V339" s="1252">
        <f t="shared" si="326"/>
        <v>9800</v>
      </c>
      <c r="W339" s="1245">
        <v>58.66</v>
      </c>
      <c r="X339" s="1246">
        <f t="shared" si="327"/>
        <v>186200</v>
      </c>
      <c r="Y339" s="1247">
        <f t="shared" ref="Y339:Y342" si="493">SUM((50-W339)/(100)*(2.5)+(0.5))</f>
        <v>0.28350000000000009</v>
      </c>
      <c r="Z339" s="1247">
        <f>186200*0.28/100</f>
        <v>521.36000000000013</v>
      </c>
      <c r="AA339" s="1265">
        <v>0.5</v>
      </c>
      <c r="AB339" s="1265">
        <f t="shared" si="0"/>
        <v>931</v>
      </c>
      <c r="AC339" s="119">
        <v>0.2</v>
      </c>
      <c r="AD339" s="1248">
        <f t="shared" si="329"/>
        <v>372.4</v>
      </c>
      <c r="AE339" s="123">
        <v>20030075</v>
      </c>
      <c r="AF339" s="1249" t="s">
        <v>3423</v>
      </c>
      <c r="AG339" s="124">
        <v>210000</v>
      </c>
      <c r="AH339" s="260">
        <f t="shared" si="492"/>
        <v>14700</v>
      </c>
      <c r="AI339" s="125">
        <f t="shared" si="331"/>
        <v>224700</v>
      </c>
      <c r="AJ339" s="126">
        <v>43944</v>
      </c>
      <c r="AK339" s="127" t="s">
        <v>3423</v>
      </c>
      <c r="AL339" s="127"/>
      <c r="AM339" s="127"/>
      <c r="AN339" s="103" t="s">
        <v>3990</v>
      </c>
      <c r="AO339" s="128">
        <v>1</v>
      </c>
      <c r="AP339" s="129" t="s">
        <v>713</v>
      </c>
      <c r="AQ339" s="130" t="s">
        <v>3423</v>
      </c>
      <c r="AR339" s="130"/>
      <c r="AS339" s="131">
        <v>1</v>
      </c>
      <c r="AT339" s="132" t="s">
        <v>636</v>
      </c>
      <c r="AU339" s="128"/>
      <c r="AV339" s="133"/>
      <c r="AW339" s="128"/>
      <c r="AX339" s="128"/>
      <c r="AY339" s="128"/>
      <c r="AZ339" s="133"/>
      <c r="BA339" s="128"/>
      <c r="BB339" s="133"/>
      <c r="BC339" s="128"/>
      <c r="BD339" s="128"/>
      <c r="BE339" s="128"/>
      <c r="BF339" s="133"/>
      <c r="BG339" s="128"/>
      <c r="BH339" s="133"/>
      <c r="BI339" s="128"/>
      <c r="BJ339" s="128"/>
      <c r="BK339" s="128"/>
      <c r="BL339" s="133"/>
      <c r="BM339" s="128"/>
      <c r="BN339" s="133"/>
      <c r="BO339" s="128"/>
      <c r="BP339" s="128"/>
      <c r="BQ339" s="128"/>
      <c r="BR339" s="133"/>
      <c r="BS339" s="128"/>
      <c r="BT339" s="133"/>
      <c r="BU339" s="128"/>
      <c r="BV339" s="128"/>
      <c r="BW339" s="128"/>
      <c r="BX339" s="133"/>
      <c r="BY339" s="128"/>
      <c r="BZ339" s="133"/>
      <c r="CA339" s="128"/>
      <c r="CB339" s="128"/>
      <c r="CC339" s="128"/>
      <c r="CD339" s="133"/>
      <c r="CE339" s="128"/>
      <c r="CF339" s="133"/>
      <c r="CG339" s="128"/>
      <c r="CH339" s="128"/>
      <c r="CI339" s="128"/>
      <c r="CJ339" s="128"/>
    </row>
    <row r="340" spans="1:88" ht="21" customHeight="1" x14ac:dyDescent="0.5">
      <c r="A340" s="268"/>
      <c r="B340" s="181"/>
      <c r="C340" s="1236"/>
      <c r="D340" s="1237"/>
      <c r="E340" s="749"/>
      <c r="F340" s="938"/>
      <c r="G340" s="939"/>
      <c r="H340" s="304"/>
      <c r="I340" s="1125"/>
      <c r="J340" s="961" t="s">
        <v>3423</v>
      </c>
      <c r="K340" s="200"/>
      <c r="L340" s="181"/>
      <c r="M340" s="188"/>
      <c r="N340" s="181"/>
      <c r="O340" s="189"/>
      <c r="P340" s="189"/>
      <c r="Q340" s="189"/>
      <c r="R340" s="190"/>
      <c r="S340" s="215" t="s">
        <v>3642</v>
      </c>
      <c r="T340" s="216"/>
      <c r="U340" s="217"/>
      <c r="V340" s="1253"/>
      <c r="W340" s="1238"/>
      <c r="X340" s="1239"/>
      <c r="Y340" s="1240"/>
      <c r="Z340" s="1240"/>
      <c r="AA340" s="1263"/>
      <c r="AB340" s="1263"/>
      <c r="AC340" s="197"/>
      <c r="AD340" s="1241"/>
      <c r="AE340" s="200"/>
      <c r="AF340" s="1242"/>
      <c r="AG340" s="201"/>
      <c r="AH340" s="237"/>
      <c r="AI340" s="202"/>
      <c r="AJ340" s="241"/>
      <c r="AK340" s="199"/>
      <c r="AL340" s="199"/>
      <c r="AM340" s="199"/>
      <c r="AN340" s="180"/>
      <c r="AO340" s="204"/>
      <c r="AP340" s="205"/>
      <c r="AQ340" s="206"/>
      <c r="AR340" s="206"/>
      <c r="AS340" s="207"/>
      <c r="AT340" s="208"/>
      <c r="AU340" s="204"/>
      <c r="AV340" s="210"/>
      <c r="AW340" s="204"/>
      <c r="AX340" s="204"/>
      <c r="AY340" s="204"/>
      <c r="AZ340" s="210"/>
      <c r="BA340" s="204"/>
      <c r="BB340" s="210"/>
      <c r="BC340" s="204"/>
      <c r="BD340" s="204"/>
      <c r="BE340" s="204"/>
      <c r="BF340" s="210"/>
      <c r="BG340" s="204"/>
      <c r="BH340" s="210"/>
      <c r="BI340" s="204"/>
      <c r="BJ340" s="204"/>
      <c r="BK340" s="204"/>
      <c r="BL340" s="210"/>
      <c r="BM340" s="204"/>
      <c r="BN340" s="210"/>
      <c r="BO340" s="204"/>
      <c r="BP340" s="204"/>
      <c r="BQ340" s="204"/>
      <c r="BR340" s="210"/>
      <c r="BS340" s="204"/>
      <c r="BT340" s="210"/>
      <c r="BU340" s="204"/>
      <c r="BV340" s="204"/>
      <c r="BW340" s="204"/>
      <c r="BX340" s="210"/>
      <c r="BY340" s="204"/>
      <c r="BZ340" s="210"/>
      <c r="CA340" s="204"/>
      <c r="CB340" s="204"/>
      <c r="CC340" s="204"/>
      <c r="CD340" s="210"/>
      <c r="CE340" s="204"/>
      <c r="CF340" s="210"/>
      <c r="CG340" s="204"/>
      <c r="CH340" s="204"/>
      <c r="CI340" s="204"/>
      <c r="CJ340" s="204"/>
    </row>
    <row r="341" spans="1:88" x14ac:dyDescent="0.5">
      <c r="A341" s="227">
        <v>20036515</v>
      </c>
      <c r="B341" s="22">
        <v>20030171</v>
      </c>
      <c r="C341" s="1019" t="s">
        <v>1421</v>
      </c>
      <c r="D341" s="1020" t="s">
        <v>2691</v>
      </c>
      <c r="E341" s="884">
        <v>43907</v>
      </c>
      <c r="F341" s="932" t="s">
        <v>3368</v>
      </c>
      <c r="G341" s="933" t="s">
        <v>1415</v>
      </c>
      <c r="H341" s="884">
        <v>43906</v>
      </c>
      <c r="I341" s="1021">
        <v>63069</v>
      </c>
      <c r="J341" s="931" t="s">
        <v>3423</v>
      </c>
      <c r="K341" s="957">
        <v>43907</v>
      </c>
      <c r="L341" s="22" t="s">
        <v>2119</v>
      </c>
      <c r="M341" s="28" t="s">
        <v>3596</v>
      </c>
      <c r="N341" s="22" t="s">
        <v>52</v>
      </c>
      <c r="O341" s="29">
        <v>85300</v>
      </c>
      <c r="P341" s="29">
        <f t="shared" si="491"/>
        <v>5971</v>
      </c>
      <c r="Q341" s="29">
        <f t="shared" si="324"/>
        <v>91271</v>
      </c>
      <c r="R341" s="30">
        <v>7000</v>
      </c>
      <c r="S341" s="96"/>
      <c r="T341" s="97"/>
      <c r="U341" s="98"/>
      <c r="V341" s="1225"/>
      <c r="W341" s="1231">
        <v>54.1</v>
      </c>
      <c r="X341" s="1184">
        <f>O341-R341</f>
        <v>78300</v>
      </c>
      <c r="Y341" s="1223">
        <f t="shared" si="493"/>
        <v>0.39749999999999996</v>
      </c>
      <c r="Z341" s="1223">
        <f>X341*0.39/100</f>
        <v>305.37</v>
      </c>
      <c r="AA341" s="1228">
        <v>0.5</v>
      </c>
      <c r="AB341" s="1228">
        <f t="shared" si="0"/>
        <v>391.5</v>
      </c>
      <c r="AC341" s="37">
        <v>0.2</v>
      </c>
      <c r="AD341" s="1234">
        <f t="shared" si="329"/>
        <v>156.6</v>
      </c>
      <c r="AE341" s="40">
        <v>20030079</v>
      </c>
      <c r="AF341" s="1186" t="s">
        <v>3423</v>
      </c>
      <c r="AG341" s="41">
        <v>85300</v>
      </c>
      <c r="AH341" s="63">
        <f t="shared" si="492"/>
        <v>5971</v>
      </c>
      <c r="AI341" s="52">
        <f t="shared" si="331"/>
        <v>91271</v>
      </c>
      <c r="AJ341" s="53">
        <v>43945</v>
      </c>
      <c r="AK341" s="39" t="s">
        <v>3423</v>
      </c>
      <c r="AL341" s="39"/>
      <c r="AM341" s="39"/>
      <c r="AN341" s="21" t="s">
        <v>4020</v>
      </c>
      <c r="AO341" s="1266">
        <v>1</v>
      </c>
      <c r="AP341" s="45" t="s">
        <v>3597</v>
      </c>
      <c r="AQ341" s="46" t="s">
        <v>3423</v>
      </c>
      <c r="AR341" s="46"/>
      <c r="AS341" s="47">
        <v>2</v>
      </c>
      <c r="AT341" s="48" t="s">
        <v>636</v>
      </c>
      <c r="AU341" s="1268"/>
      <c r="AV341" s="54"/>
      <c r="AW341" s="1268"/>
      <c r="AX341" s="1268"/>
      <c r="AY341" s="1268"/>
      <c r="AZ341" s="54"/>
      <c r="BA341" s="1268"/>
      <c r="BB341" s="54"/>
      <c r="BC341" s="1268"/>
      <c r="BD341" s="1268"/>
      <c r="BE341" s="1268"/>
      <c r="BF341" s="54"/>
      <c r="BG341" s="1268"/>
      <c r="BH341" s="54"/>
      <c r="BI341" s="1268"/>
      <c r="BJ341" s="1268"/>
      <c r="BK341" s="1268"/>
      <c r="BL341" s="54"/>
      <c r="BM341" s="1268"/>
      <c r="BN341" s="54"/>
      <c r="BO341" s="1268"/>
      <c r="BP341" s="1268"/>
      <c r="BQ341" s="1268"/>
      <c r="BR341" s="54"/>
      <c r="BS341" s="1268"/>
      <c r="BT341" s="54"/>
      <c r="BU341" s="1268"/>
      <c r="BV341" s="1268"/>
      <c r="BW341" s="1268"/>
      <c r="BX341" s="54"/>
      <c r="BY341" s="1268"/>
      <c r="BZ341" s="54"/>
      <c r="CA341" s="1268"/>
      <c r="CB341" s="1268"/>
      <c r="CC341" s="1268"/>
      <c r="CD341" s="54"/>
      <c r="CE341" s="1268"/>
      <c r="CF341" s="54"/>
      <c r="CG341" s="1268"/>
      <c r="CH341" s="1268"/>
      <c r="CI341" s="1268"/>
      <c r="CJ341" s="1268"/>
    </row>
    <row r="342" spans="1:88" x14ac:dyDescent="0.5">
      <c r="A342" s="259">
        <v>20036514</v>
      </c>
      <c r="B342" s="104">
        <v>20030163</v>
      </c>
      <c r="C342" s="1243" t="s">
        <v>1423</v>
      </c>
      <c r="D342" s="1244" t="s">
        <v>2691</v>
      </c>
      <c r="E342" s="302">
        <v>43910</v>
      </c>
      <c r="F342" s="936" t="s">
        <v>3368</v>
      </c>
      <c r="G342" s="937" t="s">
        <v>1409</v>
      </c>
      <c r="H342" s="914">
        <v>43909</v>
      </c>
      <c r="I342" s="1315">
        <v>63075</v>
      </c>
      <c r="J342" s="960" t="s">
        <v>3423</v>
      </c>
      <c r="K342" s="965">
        <v>43910</v>
      </c>
      <c r="L342" s="104" t="s">
        <v>3564</v>
      </c>
      <c r="M342" s="110" t="s">
        <v>3598</v>
      </c>
      <c r="N342" s="104" t="s">
        <v>50</v>
      </c>
      <c r="O342" s="111">
        <v>342200</v>
      </c>
      <c r="P342" s="111">
        <f t="shared" si="491"/>
        <v>23954</v>
      </c>
      <c r="Q342" s="111">
        <f t="shared" si="324"/>
        <v>366154</v>
      </c>
      <c r="R342" s="212"/>
      <c r="S342" s="165"/>
      <c r="T342" s="166"/>
      <c r="U342" s="167"/>
      <c r="V342" s="1302"/>
      <c r="W342" s="1245">
        <v>60.51</v>
      </c>
      <c r="X342" s="1246">
        <f>O342</f>
        <v>342200</v>
      </c>
      <c r="Y342" s="1247">
        <f t="shared" si="493"/>
        <v>0.23725000000000002</v>
      </c>
      <c r="Z342" s="1247">
        <f>342200*0.24/100</f>
        <v>821.28</v>
      </c>
      <c r="AA342" s="1302"/>
      <c r="AB342" s="1302"/>
      <c r="AC342" s="119">
        <v>0.2</v>
      </c>
      <c r="AD342" s="1248">
        <f t="shared" si="329"/>
        <v>684.4</v>
      </c>
      <c r="AE342" s="229">
        <v>20030066</v>
      </c>
      <c r="AF342" s="1313"/>
      <c r="AG342" s="230">
        <v>85550</v>
      </c>
      <c r="AH342" s="233">
        <f t="shared" si="492"/>
        <v>5988.5</v>
      </c>
      <c r="AI342" s="220">
        <f t="shared" si="331"/>
        <v>91538.5</v>
      </c>
      <c r="AJ342" s="221">
        <v>43907</v>
      </c>
      <c r="AK342" s="121" t="s">
        <v>3423</v>
      </c>
      <c r="AL342" s="121"/>
      <c r="AM342" s="121"/>
      <c r="AN342" s="222" t="s">
        <v>3699</v>
      </c>
      <c r="AO342" s="128">
        <v>1</v>
      </c>
      <c r="AP342" s="129" t="s">
        <v>3599</v>
      </c>
      <c r="AQ342" s="130"/>
      <c r="AR342" s="130" t="s">
        <v>3423</v>
      </c>
      <c r="AS342" s="131">
        <v>1</v>
      </c>
      <c r="AT342" s="132" t="s">
        <v>634</v>
      </c>
      <c r="AU342" s="128">
        <v>2</v>
      </c>
      <c r="AV342" s="123" t="s">
        <v>716</v>
      </c>
      <c r="AW342" s="131"/>
      <c r="AX342" s="131" t="s">
        <v>3423</v>
      </c>
      <c r="AY342" s="131">
        <v>1</v>
      </c>
      <c r="AZ342" s="169" t="s">
        <v>634</v>
      </c>
      <c r="BA342" s="128">
        <v>3</v>
      </c>
      <c r="BB342" s="123" t="s">
        <v>739</v>
      </c>
      <c r="BC342" s="131"/>
      <c r="BD342" s="131" t="s">
        <v>3423</v>
      </c>
      <c r="BE342" s="131">
        <v>1</v>
      </c>
      <c r="BF342" s="169" t="s">
        <v>634</v>
      </c>
      <c r="BG342" s="128"/>
      <c r="BH342" s="133"/>
      <c r="BI342" s="128"/>
      <c r="BJ342" s="128"/>
      <c r="BK342" s="128"/>
      <c r="BL342" s="133"/>
      <c r="BM342" s="128"/>
      <c r="BN342" s="133"/>
      <c r="BO342" s="128"/>
      <c r="BP342" s="128"/>
      <c r="BQ342" s="128"/>
      <c r="BR342" s="133"/>
      <c r="BS342" s="128"/>
      <c r="BT342" s="133"/>
      <c r="BU342" s="128"/>
      <c r="BV342" s="128"/>
      <c r="BW342" s="128"/>
      <c r="BX342" s="133"/>
      <c r="BY342" s="128"/>
      <c r="BZ342" s="133"/>
      <c r="CA342" s="128"/>
      <c r="CB342" s="128"/>
      <c r="CC342" s="128"/>
      <c r="CD342" s="133"/>
      <c r="CE342" s="128"/>
      <c r="CF342" s="133"/>
      <c r="CG342" s="128"/>
      <c r="CH342" s="128"/>
      <c r="CI342" s="128"/>
      <c r="CJ342" s="128"/>
    </row>
    <row r="343" spans="1:88" x14ac:dyDescent="0.5">
      <c r="A343" s="262"/>
      <c r="B343" s="135"/>
      <c r="C343" s="1290"/>
      <c r="D343" s="1291"/>
      <c r="E343" s="906"/>
      <c r="F343" s="940" t="s">
        <v>3368</v>
      </c>
      <c r="G343" s="941" t="s">
        <v>1403</v>
      </c>
      <c r="H343" s="1316">
        <v>43916</v>
      </c>
      <c r="I343" s="1317">
        <v>63082</v>
      </c>
      <c r="J343" s="963"/>
      <c r="K343" s="964">
        <v>43917</v>
      </c>
      <c r="L343" s="135"/>
      <c r="M343" s="141"/>
      <c r="N343" s="135"/>
      <c r="O343" s="142"/>
      <c r="P343" s="142"/>
      <c r="Q343" s="142"/>
      <c r="R343" s="213"/>
      <c r="S343" s="172"/>
      <c r="T343" s="173"/>
      <c r="U343" s="174"/>
      <c r="V343" s="1296"/>
      <c r="W343" s="1293"/>
      <c r="X343" s="1294"/>
      <c r="Y343" s="1295"/>
      <c r="Z343" s="1295"/>
      <c r="AA343" s="1296"/>
      <c r="AB343" s="1296"/>
      <c r="AC343" s="150"/>
      <c r="AD343" s="1297"/>
      <c r="AE343" s="154">
        <v>20030085</v>
      </c>
      <c r="AF343" s="1298" t="s">
        <v>3423</v>
      </c>
      <c r="AG343" s="155">
        <v>256650</v>
      </c>
      <c r="AH343" s="253">
        <f t="shared" si="492"/>
        <v>17965.5</v>
      </c>
      <c r="AI343" s="156">
        <f t="shared" si="331"/>
        <v>274615.5</v>
      </c>
      <c r="AJ343" s="157">
        <v>43962</v>
      </c>
      <c r="AK343" s="152" t="s">
        <v>3423</v>
      </c>
      <c r="AL343" s="152"/>
      <c r="AM343" s="152"/>
      <c r="AN343" s="134" t="s">
        <v>4346</v>
      </c>
      <c r="AO343" s="158"/>
      <c r="AP343" s="159"/>
      <c r="AQ343" s="160"/>
      <c r="AR343" s="160"/>
      <c r="AS343" s="161"/>
      <c r="AT343" s="162"/>
      <c r="AU343" s="158"/>
      <c r="AV343" s="154"/>
      <c r="AW343" s="161"/>
      <c r="AX343" s="161"/>
      <c r="AY343" s="161"/>
      <c r="AZ343" s="177"/>
      <c r="BA343" s="158"/>
      <c r="BB343" s="154"/>
      <c r="BC343" s="161"/>
      <c r="BD343" s="161"/>
      <c r="BE343" s="161"/>
      <c r="BF343" s="177"/>
      <c r="BG343" s="158"/>
      <c r="BH343" s="163"/>
      <c r="BI343" s="158"/>
      <c r="BJ343" s="158"/>
      <c r="BK343" s="158"/>
      <c r="BL343" s="163"/>
      <c r="BM343" s="158"/>
      <c r="BN343" s="163"/>
      <c r="BO343" s="158"/>
      <c r="BP343" s="158"/>
      <c r="BQ343" s="158"/>
      <c r="BR343" s="163"/>
      <c r="BS343" s="158"/>
      <c r="BT343" s="163"/>
      <c r="BU343" s="158"/>
      <c r="BV343" s="158"/>
      <c r="BW343" s="158"/>
      <c r="BX343" s="163"/>
      <c r="BY343" s="158"/>
      <c r="BZ343" s="163"/>
      <c r="CA343" s="158"/>
      <c r="CB343" s="158"/>
      <c r="CC343" s="158"/>
      <c r="CD343" s="163"/>
      <c r="CE343" s="158"/>
      <c r="CF343" s="163"/>
      <c r="CG343" s="158"/>
      <c r="CH343" s="158"/>
      <c r="CI343" s="158"/>
      <c r="CJ343" s="158"/>
    </row>
    <row r="344" spans="1:88" x14ac:dyDescent="0.5">
      <c r="A344" s="262"/>
      <c r="B344" s="135"/>
      <c r="C344" s="1290"/>
      <c r="D344" s="1291"/>
      <c r="E344" s="906"/>
      <c r="F344" s="940"/>
      <c r="G344" s="941"/>
      <c r="H344" s="1316">
        <v>43916</v>
      </c>
      <c r="I344" s="1317">
        <v>63083</v>
      </c>
      <c r="J344" s="963"/>
      <c r="K344" s="964"/>
      <c r="L344" s="135"/>
      <c r="M344" s="141"/>
      <c r="N344" s="135"/>
      <c r="O344" s="142"/>
      <c r="P344" s="142"/>
      <c r="Q344" s="142"/>
      <c r="R344" s="213"/>
      <c r="S344" s="172"/>
      <c r="T344" s="173"/>
      <c r="U344" s="174"/>
      <c r="V344" s="1296"/>
      <c r="W344" s="1293"/>
      <c r="X344" s="1294"/>
      <c r="Y344" s="1295"/>
      <c r="Z344" s="1295"/>
      <c r="AA344" s="1296"/>
      <c r="AB344" s="1296"/>
      <c r="AC344" s="150"/>
      <c r="AD344" s="1297"/>
      <c r="AE344" s="154"/>
      <c r="AF344" s="1298"/>
      <c r="AG344" s="155"/>
      <c r="AH344" s="253"/>
      <c r="AI344" s="156"/>
      <c r="AJ344" s="157"/>
      <c r="AK344" s="152"/>
      <c r="AL344" s="152"/>
      <c r="AM344" s="152"/>
      <c r="AN344" s="134"/>
      <c r="AO344" s="158"/>
      <c r="AP344" s="159"/>
      <c r="AQ344" s="160"/>
      <c r="AR344" s="160"/>
      <c r="AS344" s="161"/>
      <c r="AT344" s="162"/>
      <c r="AU344" s="158"/>
      <c r="AV344" s="154"/>
      <c r="AW344" s="161"/>
      <c r="AX344" s="161"/>
      <c r="AY344" s="161"/>
      <c r="AZ344" s="177"/>
      <c r="BA344" s="158"/>
      <c r="BB344" s="154"/>
      <c r="BC344" s="161"/>
      <c r="BD344" s="161"/>
      <c r="BE344" s="161"/>
      <c r="BF344" s="177"/>
      <c r="BG344" s="158"/>
      <c r="BH344" s="163"/>
      <c r="BI344" s="158"/>
      <c r="BJ344" s="158"/>
      <c r="BK344" s="158"/>
      <c r="BL344" s="163"/>
      <c r="BM344" s="158"/>
      <c r="BN344" s="163"/>
      <c r="BO344" s="158"/>
      <c r="BP344" s="158"/>
      <c r="BQ344" s="158"/>
      <c r="BR344" s="163"/>
      <c r="BS344" s="158"/>
      <c r="BT344" s="163"/>
      <c r="BU344" s="158"/>
      <c r="BV344" s="158"/>
      <c r="BW344" s="158"/>
      <c r="BX344" s="163"/>
      <c r="BY344" s="158"/>
      <c r="BZ344" s="163"/>
      <c r="CA344" s="158"/>
      <c r="CB344" s="158"/>
      <c r="CC344" s="158"/>
      <c r="CD344" s="163"/>
      <c r="CE344" s="158"/>
      <c r="CF344" s="163"/>
      <c r="CG344" s="158"/>
      <c r="CH344" s="158"/>
      <c r="CI344" s="158"/>
      <c r="CJ344" s="158"/>
    </row>
    <row r="345" spans="1:88" x14ac:dyDescent="0.5">
      <c r="A345" s="268"/>
      <c r="B345" s="181"/>
      <c r="C345" s="1236"/>
      <c r="D345" s="1237"/>
      <c r="E345" s="749"/>
      <c r="F345" s="938"/>
      <c r="G345" s="939"/>
      <c r="H345" s="749">
        <v>43916</v>
      </c>
      <c r="I345" s="1125">
        <v>63084</v>
      </c>
      <c r="J345" s="961"/>
      <c r="K345" s="966"/>
      <c r="L345" s="181"/>
      <c r="M345" s="188"/>
      <c r="N345" s="181"/>
      <c r="O345" s="189"/>
      <c r="P345" s="189"/>
      <c r="Q345" s="189"/>
      <c r="R345" s="214"/>
      <c r="S345" s="191"/>
      <c r="T345" s="192"/>
      <c r="U345" s="193"/>
      <c r="V345" s="1254"/>
      <c r="W345" s="1238"/>
      <c r="X345" s="1239"/>
      <c r="Y345" s="1240"/>
      <c r="Z345" s="1240"/>
      <c r="AA345" s="1254"/>
      <c r="AB345" s="1254"/>
      <c r="AC345" s="197"/>
      <c r="AD345" s="1241"/>
      <c r="AE345" s="200"/>
      <c r="AF345" s="1242"/>
      <c r="AG345" s="201"/>
      <c r="AH345" s="237"/>
      <c r="AI345" s="202"/>
      <c r="AJ345" s="203"/>
      <c r="AK345" s="199"/>
      <c r="AL345" s="199"/>
      <c r="AM345" s="199"/>
      <c r="AN345" s="180"/>
      <c r="AO345" s="204"/>
      <c r="AP345" s="205"/>
      <c r="AQ345" s="206"/>
      <c r="AR345" s="206"/>
      <c r="AS345" s="207"/>
      <c r="AT345" s="208"/>
      <c r="AU345" s="204"/>
      <c r="AV345" s="200"/>
      <c r="AW345" s="207"/>
      <c r="AX345" s="207"/>
      <c r="AY345" s="207"/>
      <c r="AZ345" s="209"/>
      <c r="BA345" s="204"/>
      <c r="BB345" s="200"/>
      <c r="BC345" s="207"/>
      <c r="BD345" s="207"/>
      <c r="BE345" s="207"/>
      <c r="BF345" s="209"/>
      <c r="BG345" s="204"/>
      <c r="BH345" s="210"/>
      <c r="BI345" s="204"/>
      <c r="BJ345" s="204"/>
      <c r="BK345" s="204"/>
      <c r="BL345" s="210"/>
      <c r="BM345" s="204"/>
      <c r="BN345" s="210"/>
      <c r="BO345" s="204"/>
      <c r="BP345" s="204"/>
      <c r="BQ345" s="204"/>
      <c r="BR345" s="210"/>
      <c r="BS345" s="204"/>
      <c r="BT345" s="210"/>
      <c r="BU345" s="204"/>
      <c r="BV345" s="204"/>
      <c r="BW345" s="204"/>
      <c r="BX345" s="210"/>
      <c r="BY345" s="204"/>
      <c r="BZ345" s="210"/>
      <c r="CA345" s="204"/>
      <c r="CB345" s="204"/>
      <c r="CC345" s="204"/>
      <c r="CD345" s="210"/>
      <c r="CE345" s="204"/>
      <c r="CF345" s="210"/>
      <c r="CG345" s="204"/>
      <c r="CH345" s="204"/>
      <c r="CI345" s="204"/>
      <c r="CJ345" s="204"/>
    </row>
    <row r="346" spans="1:88" x14ac:dyDescent="0.5">
      <c r="A346" s="262" t="s">
        <v>3691</v>
      </c>
      <c r="B346" s="135">
        <v>20020147</v>
      </c>
      <c r="C346" s="276"/>
      <c r="D346" s="276"/>
      <c r="E346" s="1054"/>
      <c r="F346" s="278"/>
      <c r="G346" s="279"/>
      <c r="H346" s="280"/>
      <c r="I346" s="281"/>
      <c r="J346" s="836"/>
      <c r="K346" s="1054"/>
      <c r="L346" s="135" t="s">
        <v>3210</v>
      </c>
      <c r="M346" s="141" t="s">
        <v>659</v>
      </c>
      <c r="N346" s="135" t="s">
        <v>50</v>
      </c>
      <c r="O346" s="142">
        <v>5000</v>
      </c>
      <c r="P346" s="282"/>
      <c r="Q346" s="142">
        <f>O346</f>
        <v>5000</v>
      </c>
      <c r="R346" s="213"/>
      <c r="S346" s="172"/>
      <c r="T346" s="173"/>
      <c r="U346" s="174"/>
      <c r="V346" s="1296"/>
      <c r="W346" s="1296"/>
      <c r="X346" s="282"/>
      <c r="Y346" s="1296"/>
      <c r="Z346" s="1296"/>
      <c r="AA346" s="1296"/>
      <c r="AB346" s="1296"/>
      <c r="AC346" s="282"/>
      <c r="AD346" s="1311"/>
      <c r="AE346" s="154"/>
      <c r="AF346" s="1298"/>
      <c r="AG346" s="155"/>
      <c r="AH346" s="253"/>
      <c r="AI346" s="156"/>
      <c r="AJ346" s="157"/>
      <c r="AK346" s="152" t="s">
        <v>3423</v>
      </c>
      <c r="AL346" s="152"/>
      <c r="AM346" s="152"/>
      <c r="AN346" s="134"/>
      <c r="AO346" s="158"/>
      <c r="AP346" s="159"/>
      <c r="AQ346" s="160"/>
      <c r="AR346" s="160"/>
      <c r="AS346" s="161"/>
      <c r="AT346" s="162"/>
      <c r="AU346" s="158"/>
      <c r="AV346" s="154"/>
      <c r="AW346" s="161"/>
      <c r="AX346" s="161"/>
      <c r="AY346" s="161"/>
      <c r="AZ346" s="177"/>
      <c r="BA346" s="158"/>
      <c r="BB346" s="154"/>
      <c r="BC346" s="161"/>
      <c r="BD346" s="161"/>
      <c r="BE346" s="161"/>
      <c r="BF346" s="177"/>
      <c r="BG346" s="158"/>
      <c r="BH346" s="163"/>
      <c r="BI346" s="158"/>
      <c r="BJ346" s="158"/>
      <c r="BK346" s="158"/>
      <c r="BL346" s="163"/>
      <c r="BM346" s="158"/>
      <c r="BN346" s="163"/>
      <c r="BO346" s="158"/>
      <c r="BP346" s="158"/>
      <c r="BQ346" s="158"/>
      <c r="BR346" s="163"/>
      <c r="BS346" s="158"/>
      <c r="BT346" s="163"/>
      <c r="BU346" s="158"/>
      <c r="BV346" s="158"/>
      <c r="BW346" s="158"/>
      <c r="BX346" s="163"/>
      <c r="BY346" s="158"/>
      <c r="BZ346" s="163"/>
      <c r="CA346" s="158"/>
      <c r="CB346" s="158"/>
      <c r="CC346" s="158"/>
      <c r="CD346" s="163"/>
      <c r="CE346" s="158"/>
      <c r="CF346" s="163"/>
      <c r="CG346" s="158"/>
      <c r="CH346" s="158"/>
      <c r="CI346" s="158"/>
      <c r="CJ346" s="158"/>
    </row>
    <row r="347" spans="1:88" s="1613" customFormat="1" ht="22.5" thickBot="1" x14ac:dyDescent="0.55000000000000004">
      <c r="A347" s="1581">
        <v>20036513</v>
      </c>
      <c r="B347" s="1582">
        <v>20030161</v>
      </c>
      <c r="C347" s="1583" t="s">
        <v>1422</v>
      </c>
      <c r="D347" s="1584" t="s">
        <v>2691</v>
      </c>
      <c r="E347" s="1585">
        <v>43906</v>
      </c>
      <c r="F347" s="1586" t="s">
        <v>3368</v>
      </c>
      <c r="G347" s="1587" t="s">
        <v>1408</v>
      </c>
      <c r="H347" s="1585">
        <v>43911</v>
      </c>
      <c r="I347" s="1588">
        <v>63077</v>
      </c>
      <c r="J347" s="1589" t="s">
        <v>3423</v>
      </c>
      <c r="K347" s="1590">
        <v>43911</v>
      </c>
      <c r="L347" s="1582" t="s">
        <v>15</v>
      </c>
      <c r="M347" s="1591" t="s">
        <v>3600</v>
      </c>
      <c r="N347" s="1582" t="s">
        <v>51</v>
      </c>
      <c r="O347" s="1592">
        <v>135900</v>
      </c>
      <c r="P347" s="1592">
        <f t="shared" si="491"/>
        <v>9513</v>
      </c>
      <c r="Q347" s="1592">
        <f t="shared" si="324"/>
        <v>145413</v>
      </c>
      <c r="R347" s="1593"/>
      <c r="S347" s="1594"/>
      <c r="T347" s="1593"/>
      <c r="U347" s="1595"/>
      <c r="V347" s="1596"/>
      <c r="W347" s="1596"/>
      <c r="X347" s="1597"/>
      <c r="Y347" s="1596"/>
      <c r="Z347" s="1596"/>
      <c r="AA347" s="1596"/>
      <c r="AB347" s="1596"/>
      <c r="AC347" s="1597"/>
      <c r="AD347" s="1598"/>
      <c r="AE347" s="1599">
        <v>20030073</v>
      </c>
      <c r="AF347" s="1600" t="s">
        <v>3423</v>
      </c>
      <c r="AG347" s="1601">
        <v>135900</v>
      </c>
      <c r="AH347" s="1602">
        <f t="shared" si="492"/>
        <v>9513</v>
      </c>
      <c r="AI347" s="1603">
        <f t="shared" si="331"/>
        <v>145413</v>
      </c>
      <c r="AJ347" s="1604">
        <v>43958</v>
      </c>
      <c r="AK347" s="1605" t="s">
        <v>3423</v>
      </c>
      <c r="AL347" s="1605"/>
      <c r="AM347" s="1605"/>
      <c r="AN347" s="1606" t="s">
        <v>4033</v>
      </c>
      <c r="AO347" s="1607">
        <v>1</v>
      </c>
      <c r="AP347" s="1608" t="s">
        <v>3601</v>
      </c>
      <c r="AQ347" s="1609" t="s">
        <v>3423</v>
      </c>
      <c r="AR347" s="1609"/>
      <c r="AS347" s="1610">
        <v>1</v>
      </c>
      <c r="AT347" s="1611" t="s">
        <v>633</v>
      </c>
      <c r="AU347" s="1607"/>
      <c r="AV347" s="1612"/>
      <c r="AW347" s="1607"/>
      <c r="AX347" s="1607"/>
      <c r="AY347" s="1607"/>
      <c r="AZ347" s="1612"/>
      <c r="BA347" s="1607"/>
      <c r="BB347" s="1612"/>
      <c r="BC347" s="1607"/>
      <c r="BD347" s="1607"/>
      <c r="BE347" s="1607"/>
      <c r="BF347" s="1612"/>
      <c r="BG347" s="1607"/>
      <c r="BH347" s="1612"/>
      <c r="BI347" s="1607"/>
      <c r="BJ347" s="1607"/>
      <c r="BK347" s="1607"/>
      <c r="BL347" s="1612"/>
      <c r="BM347" s="1607"/>
      <c r="BN347" s="1612"/>
      <c r="BO347" s="1607"/>
      <c r="BP347" s="1607"/>
      <c r="BQ347" s="1607"/>
      <c r="BR347" s="1612"/>
      <c r="BS347" s="1607"/>
      <c r="BT347" s="1612"/>
      <c r="BU347" s="1607"/>
      <c r="BV347" s="1607"/>
      <c r="BW347" s="1607"/>
      <c r="BX347" s="1612"/>
      <c r="BY347" s="1607"/>
      <c r="BZ347" s="1612"/>
      <c r="CA347" s="1607"/>
      <c r="CB347" s="1607"/>
      <c r="CC347" s="1607"/>
      <c r="CD347" s="1612"/>
      <c r="CE347" s="1607"/>
      <c r="CF347" s="1612"/>
      <c r="CG347" s="1607"/>
      <c r="CH347" s="1607"/>
      <c r="CI347" s="1607"/>
      <c r="CJ347" s="1607"/>
    </row>
    <row r="348" spans="1:88" ht="22.5" thickTop="1" x14ac:dyDescent="0.5">
      <c r="A348" s="268" t="s">
        <v>3579</v>
      </c>
      <c r="B348" s="181">
        <v>20020146</v>
      </c>
      <c r="C348" s="285"/>
      <c r="D348" s="286"/>
      <c r="E348" s="913"/>
      <c r="F348" s="287"/>
      <c r="G348" s="288"/>
      <c r="H348" s="289"/>
      <c r="I348" s="290"/>
      <c r="J348" s="832"/>
      <c r="K348" s="289"/>
      <c r="L348" s="181" t="s">
        <v>9</v>
      </c>
      <c r="M348" s="188" t="s">
        <v>3580</v>
      </c>
      <c r="N348" s="181" t="s">
        <v>50</v>
      </c>
      <c r="O348" s="189">
        <v>500</v>
      </c>
      <c r="P348" s="235"/>
      <c r="Q348" s="189">
        <f t="shared" ref="Q348:Q367" si="494">O348+P348</f>
        <v>500</v>
      </c>
      <c r="R348" s="214"/>
      <c r="S348" s="191"/>
      <c r="T348" s="192"/>
      <c r="U348" s="193"/>
      <c r="V348" s="1254"/>
      <c r="W348" s="1254"/>
      <c r="X348" s="1239">
        <f>O348</f>
        <v>500</v>
      </c>
      <c r="Y348" s="1240">
        <v>1</v>
      </c>
      <c r="Z348" s="1240">
        <f>X348*1/100</f>
        <v>5</v>
      </c>
      <c r="AA348" s="1254"/>
      <c r="AB348" s="1254"/>
      <c r="AC348" s="235"/>
      <c r="AD348" s="1303"/>
      <c r="AE348" s="200"/>
      <c r="AF348" s="1242"/>
      <c r="AG348" s="201"/>
      <c r="AH348" s="237">
        <f t="shared" si="330"/>
        <v>0</v>
      </c>
      <c r="AI348" s="202">
        <f t="shared" ref="AI348:AI367" si="495">AG348+AH348</f>
        <v>0</v>
      </c>
      <c r="AJ348" s="241"/>
      <c r="AK348" s="199"/>
      <c r="AL348" s="199"/>
      <c r="AM348" s="199"/>
      <c r="AN348" s="180"/>
      <c r="AO348" s="204">
        <v>1</v>
      </c>
      <c r="AP348" s="205" t="s">
        <v>2293</v>
      </c>
      <c r="AQ348" s="206"/>
      <c r="AR348" s="206"/>
      <c r="AS348" s="207">
        <v>1</v>
      </c>
      <c r="AT348" s="208" t="s">
        <v>628</v>
      </c>
      <c r="AU348" s="204"/>
      <c r="AV348" s="210"/>
      <c r="AW348" s="204"/>
      <c r="AX348" s="204"/>
      <c r="AY348" s="204"/>
      <c r="AZ348" s="210"/>
      <c r="BA348" s="204"/>
      <c r="BB348" s="210"/>
      <c r="BC348" s="204"/>
      <c r="BD348" s="204"/>
      <c r="BE348" s="204"/>
      <c r="BF348" s="210"/>
      <c r="BG348" s="204"/>
      <c r="BH348" s="210"/>
      <c r="BI348" s="204"/>
      <c r="BJ348" s="204"/>
      <c r="BK348" s="204"/>
      <c r="BL348" s="210"/>
      <c r="BM348" s="204"/>
      <c r="BN348" s="210"/>
      <c r="BO348" s="204"/>
      <c r="BP348" s="204"/>
      <c r="BQ348" s="204"/>
      <c r="BR348" s="210"/>
      <c r="BS348" s="204"/>
      <c r="BT348" s="210"/>
      <c r="BU348" s="204"/>
      <c r="BV348" s="204"/>
      <c r="BW348" s="204"/>
      <c r="BX348" s="210"/>
      <c r="BY348" s="204"/>
      <c r="BZ348" s="210"/>
      <c r="CA348" s="204"/>
      <c r="CB348" s="204"/>
      <c r="CC348" s="204"/>
      <c r="CD348" s="210"/>
      <c r="CE348" s="204"/>
      <c r="CF348" s="210"/>
      <c r="CG348" s="204"/>
      <c r="CH348" s="204"/>
      <c r="CI348" s="204"/>
      <c r="CJ348" s="204"/>
    </row>
    <row r="349" spans="1:88" x14ac:dyDescent="0.5">
      <c r="A349" s="259">
        <v>20026512</v>
      </c>
      <c r="B349" s="104">
        <v>20020158</v>
      </c>
      <c r="C349" s="1243" t="s">
        <v>1429</v>
      </c>
      <c r="D349" s="1244" t="s">
        <v>2691</v>
      </c>
      <c r="E349" s="302">
        <v>43905</v>
      </c>
      <c r="F349" s="936" t="s">
        <v>3368</v>
      </c>
      <c r="G349" s="937" t="s">
        <v>1414</v>
      </c>
      <c r="H349" s="302">
        <v>43909</v>
      </c>
      <c r="I349" s="1124">
        <v>63074</v>
      </c>
      <c r="J349" s="960" t="s">
        <v>3423</v>
      </c>
      <c r="K349" s="965">
        <v>43910</v>
      </c>
      <c r="L349" s="104" t="s">
        <v>3564</v>
      </c>
      <c r="M349" s="110" t="s">
        <v>3565</v>
      </c>
      <c r="N349" s="104" t="s">
        <v>50</v>
      </c>
      <c r="O349" s="111">
        <v>71600</v>
      </c>
      <c r="P349" s="111">
        <f t="shared" si="323"/>
        <v>5012</v>
      </c>
      <c r="Q349" s="111">
        <f t="shared" si="494"/>
        <v>76612</v>
      </c>
      <c r="R349" s="212"/>
      <c r="S349" s="165"/>
      <c r="T349" s="166"/>
      <c r="U349" s="167"/>
      <c r="V349" s="1302"/>
      <c r="W349" s="1245">
        <v>60.66</v>
      </c>
      <c r="X349" s="1246">
        <f>O349</f>
        <v>71600</v>
      </c>
      <c r="Y349" s="1247">
        <f t="shared" si="328"/>
        <v>0.23350000000000004</v>
      </c>
      <c r="Z349" s="1247">
        <f>X349*0.23/100</f>
        <v>164.68</v>
      </c>
      <c r="AA349" s="1265">
        <v>0.5</v>
      </c>
      <c r="AB349" s="1265">
        <f t="shared" ref="AB349" si="496">X349*AA349/100</f>
        <v>358</v>
      </c>
      <c r="AC349" s="119">
        <v>0.2</v>
      </c>
      <c r="AD349" s="1248">
        <f t="shared" ref="AD349" si="497">X349*AC349/100</f>
        <v>143.19999999999999</v>
      </c>
      <c r="AE349" s="229">
        <v>20020056</v>
      </c>
      <c r="AF349" s="1313"/>
      <c r="AG349" s="230">
        <v>17900</v>
      </c>
      <c r="AH349" s="233">
        <f t="shared" si="330"/>
        <v>1253</v>
      </c>
      <c r="AI349" s="220">
        <f t="shared" si="495"/>
        <v>19153</v>
      </c>
      <c r="AJ349" s="221">
        <v>43889</v>
      </c>
      <c r="AK349" s="121" t="s">
        <v>3423</v>
      </c>
      <c r="AL349" s="121"/>
      <c r="AM349" s="121"/>
      <c r="AN349" s="222" t="s">
        <v>4346</v>
      </c>
      <c r="AO349" s="128">
        <v>1</v>
      </c>
      <c r="AP349" s="129" t="s">
        <v>1316</v>
      </c>
      <c r="AQ349" s="130"/>
      <c r="AR349" s="130" t="s">
        <v>3423</v>
      </c>
      <c r="AS349" s="131">
        <v>1</v>
      </c>
      <c r="AT349" s="132" t="s">
        <v>634</v>
      </c>
      <c r="AU349" s="128"/>
      <c r="AV349" s="133"/>
      <c r="AW349" s="128"/>
      <c r="AX349" s="128"/>
      <c r="AY349" s="128"/>
      <c r="AZ349" s="133"/>
      <c r="BA349" s="128"/>
      <c r="BB349" s="133"/>
      <c r="BC349" s="128"/>
      <c r="BD349" s="128"/>
      <c r="BE349" s="128"/>
      <c r="BF349" s="133"/>
      <c r="BG349" s="128"/>
      <c r="BH349" s="133"/>
      <c r="BI349" s="128"/>
      <c r="BJ349" s="128"/>
      <c r="BK349" s="128"/>
      <c r="BL349" s="133"/>
      <c r="BM349" s="128"/>
      <c r="BN349" s="133"/>
      <c r="BO349" s="128"/>
      <c r="BP349" s="128"/>
      <c r="BQ349" s="128"/>
      <c r="BR349" s="133"/>
      <c r="BS349" s="128"/>
      <c r="BT349" s="133"/>
      <c r="BU349" s="128"/>
      <c r="BV349" s="128"/>
      <c r="BW349" s="128"/>
      <c r="BX349" s="133"/>
      <c r="BY349" s="128"/>
      <c r="BZ349" s="133"/>
      <c r="CA349" s="128"/>
      <c r="CB349" s="128"/>
      <c r="CC349" s="128"/>
      <c r="CD349" s="133"/>
      <c r="CE349" s="128"/>
      <c r="CF349" s="133"/>
      <c r="CG349" s="128"/>
      <c r="CH349" s="128"/>
      <c r="CI349" s="128"/>
      <c r="CJ349" s="128"/>
    </row>
    <row r="350" spans="1:88" x14ac:dyDescent="0.5">
      <c r="A350" s="262"/>
      <c r="B350" s="135"/>
      <c r="C350" s="1290"/>
      <c r="D350" s="1291"/>
      <c r="E350" s="906"/>
      <c r="F350" s="940"/>
      <c r="G350" s="941"/>
      <c r="H350" s="1307"/>
      <c r="I350" s="1138"/>
      <c r="J350" s="963"/>
      <c r="K350" s="964"/>
      <c r="L350" s="135"/>
      <c r="M350" s="141"/>
      <c r="N350" s="135"/>
      <c r="O350" s="142"/>
      <c r="P350" s="142"/>
      <c r="Q350" s="142"/>
      <c r="R350" s="213"/>
      <c r="S350" s="172"/>
      <c r="T350" s="173"/>
      <c r="U350" s="174"/>
      <c r="V350" s="1296"/>
      <c r="W350" s="1293"/>
      <c r="X350" s="1294"/>
      <c r="Y350" s="1295"/>
      <c r="Z350" s="1295"/>
      <c r="AA350" s="1308"/>
      <c r="AB350" s="1308"/>
      <c r="AC350" s="150"/>
      <c r="AD350" s="1297"/>
      <c r="AE350" s="154">
        <v>20030084</v>
      </c>
      <c r="AF350" s="1298" t="s">
        <v>3423</v>
      </c>
      <c r="AG350" s="155">
        <v>53700</v>
      </c>
      <c r="AH350" s="237">
        <f t="shared" si="330"/>
        <v>3759</v>
      </c>
      <c r="AI350" s="202">
        <f t="shared" si="495"/>
        <v>57459</v>
      </c>
      <c r="AJ350" s="157">
        <v>43962</v>
      </c>
      <c r="AK350" s="152" t="s">
        <v>3423</v>
      </c>
      <c r="AL350" s="152"/>
      <c r="AM350" s="152"/>
      <c r="AN350" s="134" t="s">
        <v>4346</v>
      </c>
      <c r="AO350" s="158"/>
      <c r="AP350" s="159"/>
      <c r="AQ350" s="160"/>
      <c r="AR350" s="160"/>
      <c r="AS350" s="161"/>
      <c r="AT350" s="162"/>
      <c r="AU350" s="158"/>
      <c r="AV350" s="163"/>
      <c r="AW350" s="158"/>
      <c r="AX350" s="158"/>
      <c r="AY350" s="158"/>
      <c r="AZ350" s="163"/>
      <c r="BA350" s="158"/>
      <c r="BB350" s="163"/>
      <c r="BC350" s="158"/>
      <c r="BD350" s="158"/>
      <c r="BE350" s="158"/>
      <c r="BF350" s="163"/>
      <c r="BG350" s="158"/>
      <c r="BH350" s="163"/>
      <c r="BI350" s="158"/>
      <c r="BJ350" s="158"/>
      <c r="BK350" s="158"/>
      <c r="BL350" s="163"/>
      <c r="BM350" s="158"/>
      <c r="BN350" s="163"/>
      <c r="BO350" s="158"/>
      <c r="BP350" s="158"/>
      <c r="BQ350" s="158"/>
      <c r="BR350" s="163"/>
      <c r="BS350" s="158"/>
      <c r="BT350" s="163"/>
      <c r="BU350" s="158"/>
      <c r="BV350" s="158"/>
      <c r="BW350" s="158"/>
      <c r="BX350" s="163"/>
      <c r="BY350" s="158"/>
      <c r="BZ350" s="163"/>
      <c r="CA350" s="158"/>
      <c r="CB350" s="158"/>
      <c r="CC350" s="158"/>
      <c r="CD350" s="163"/>
      <c r="CE350" s="158"/>
      <c r="CF350" s="163"/>
      <c r="CG350" s="158"/>
      <c r="CH350" s="158"/>
      <c r="CI350" s="158"/>
      <c r="CJ350" s="158"/>
    </row>
    <row r="351" spans="1:88" x14ac:dyDescent="0.5">
      <c r="A351" s="259">
        <v>20026511</v>
      </c>
      <c r="B351" s="104">
        <v>20026511</v>
      </c>
      <c r="C351" s="1243" t="s">
        <v>1430</v>
      </c>
      <c r="D351" s="1244" t="s">
        <v>2691</v>
      </c>
      <c r="E351" s="302">
        <v>43915</v>
      </c>
      <c r="F351" s="936" t="s">
        <v>3368</v>
      </c>
      <c r="G351" s="937" t="s">
        <v>1410</v>
      </c>
      <c r="H351" s="302">
        <v>43909</v>
      </c>
      <c r="I351" s="1124">
        <v>63073</v>
      </c>
      <c r="J351" s="960" t="s">
        <v>3423</v>
      </c>
      <c r="K351" s="965">
        <v>43910</v>
      </c>
      <c r="L351" s="104" t="s">
        <v>3564</v>
      </c>
      <c r="M351" s="110" t="s">
        <v>3566</v>
      </c>
      <c r="N351" s="104" t="s">
        <v>50</v>
      </c>
      <c r="O351" s="111">
        <v>228100</v>
      </c>
      <c r="P351" s="111">
        <f t="shared" ref="P351:P363" si="498">O351*7/100</f>
        <v>15967</v>
      </c>
      <c r="Q351" s="111">
        <f t="shared" ref="Q351:Q363" si="499">O351+P351</f>
        <v>244067</v>
      </c>
      <c r="R351" s="212"/>
      <c r="S351" s="165"/>
      <c r="T351" s="166"/>
      <c r="U351" s="167"/>
      <c r="V351" s="1302"/>
      <c r="W351" s="1245">
        <v>60.67</v>
      </c>
      <c r="X351" s="1246">
        <f>O351</f>
        <v>228100</v>
      </c>
      <c r="Y351" s="1247">
        <f t="shared" ref="Y351:Y363" si="500">SUM((50-W351)/(100)*(2.5)+(0.5))</f>
        <v>0.23324999999999996</v>
      </c>
      <c r="Z351" s="1247">
        <f>X351*0.23/100</f>
        <v>524.63</v>
      </c>
      <c r="AA351" s="1265">
        <v>0.5</v>
      </c>
      <c r="AB351" s="1265">
        <f t="shared" ref="AB351:AB363" si="501">X351*AA351/100</f>
        <v>1140.5</v>
      </c>
      <c r="AC351" s="119">
        <v>0.2</v>
      </c>
      <c r="AD351" s="1248">
        <f t="shared" ref="AD351:AD363" si="502">X351*AC351/100</f>
        <v>456.2</v>
      </c>
      <c r="AE351" s="229" t="s">
        <v>3581</v>
      </c>
      <c r="AF351" s="1313"/>
      <c r="AG351" s="230">
        <v>57025</v>
      </c>
      <c r="AH351" s="233">
        <f t="shared" ref="AH351:AH364" si="503">AG351*7/100</f>
        <v>3991.75</v>
      </c>
      <c r="AI351" s="220">
        <f t="shared" ref="AI351:AI364" si="504">AG351+AH351</f>
        <v>61016.75</v>
      </c>
      <c r="AJ351" s="221">
        <v>43889</v>
      </c>
      <c r="AK351" s="121" t="s">
        <v>3423</v>
      </c>
      <c r="AL351" s="121"/>
      <c r="AM351" s="121"/>
      <c r="AN351" s="222" t="s">
        <v>3712</v>
      </c>
      <c r="AO351" s="128">
        <v>1</v>
      </c>
      <c r="AP351" s="129" t="s">
        <v>3240</v>
      </c>
      <c r="AQ351" s="130"/>
      <c r="AR351" s="130" t="s">
        <v>3423</v>
      </c>
      <c r="AS351" s="131">
        <v>1</v>
      </c>
      <c r="AT351" s="132" t="s">
        <v>634</v>
      </c>
      <c r="AU351" s="128">
        <v>2</v>
      </c>
      <c r="AV351" s="123" t="s">
        <v>716</v>
      </c>
      <c r="AW351" s="131"/>
      <c r="AX351" s="131" t="s">
        <v>3423</v>
      </c>
      <c r="AY351" s="131">
        <v>1</v>
      </c>
      <c r="AZ351" s="169" t="s">
        <v>634</v>
      </c>
      <c r="BA351" s="128"/>
      <c r="BB351" s="133"/>
      <c r="BC351" s="128"/>
      <c r="BD351" s="128"/>
      <c r="BE351" s="128"/>
      <c r="BF351" s="133"/>
      <c r="BG351" s="128"/>
      <c r="BH351" s="133"/>
      <c r="BI351" s="128"/>
      <c r="BJ351" s="128"/>
      <c r="BK351" s="128"/>
      <c r="BL351" s="133"/>
      <c r="BM351" s="128"/>
      <c r="BN351" s="133"/>
      <c r="BO351" s="128"/>
      <c r="BP351" s="128"/>
      <c r="BQ351" s="128"/>
      <c r="BR351" s="133"/>
      <c r="BS351" s="128"/>
      <c r="BT351" s="133"/>
      <c r="BU351" s="128"/>
      <c r="BV351" s="128"/>
      <c r="BW351" s="128"/>
      <c r="BX351" s="133"/>
      <c r="BY351" s="128"/>
      <c r="BZ351" s="133"/>
      <c r="CA351" s="128"/>
      <c r="CB351" s="128"/>
      <c r="CC351" s="128"/>
      <c r="CD351" s="133"/>
      <c r="CE351" s="128"/>
      <c r="CF351" s="133"/>
      <c r="CG351" s="128"/>
      <c r="CH351" s="128"/>
      <c r="CI351" s="128"/>
      <c r="CJ351" s="128"/>
    </row>
    <row r="352" spans="1:88" x14ac:dyDescent="0.5">
      <c r="A352" s="262"/>
      <c r="B352" s="135"/>
      <c r="C352" s="1290"/>
      <c r="D352" s="1291"/>
      <c r="E352" s="906"/>
      <c r="F352" s="940"/>
      <c r="G352" s="941"/>
      <c r="H352" s="1307"/>
      <c r="I352" s="1138"/>
      <c r="J352" s="963"/>
      <c r="K352" s="964"/>
      <c r="L352" s="135"/>
      <c r="M352" s="141"/>
      <c r="N352" s="135"/>
      <c r="O352" s="142"/>
      <c r="P352" s="142"/>
      <c r="Q352" s="142"/>
      <c r="R352" s="213"/>
      <c r="S352" s="172"/>
      <c r="T352" s="173"/>
      <c r="U352" s="174"/>
      <c r="V352" s="1296"/>
      <c r="W352" s="1293"/>
      <c r="X352" s="1294"/>
      <c r="Y352" s="1295"/>
      <c r="Z352" s="1295"/>
      <c r="AA352" s="1308"/>
      <c r="AB352" s="1308"/>
      <c r="AC352" s="150"/>
      <c r="AD352" s="1297"/>
      <c r="AE352" s="154">
        <v>20030083</v>
      </c>
      <c r="AF352" s="1298" t="s">
        <v>3423</v>
      </c>
      <c r="AG352" s="155">
        <v>171075</v>
      </c>
      <c r="AH352" s="253">
        <f t="shared" si="503"/>
        <v>11975.25</v>
      </c>
      <c r="AI352" s="156">
        <f t="shared" si="504"/>
        <v>183050.25</v>
      </c>
      <c r="AJ352" s="157">
        <v>43962</v>
      </c>
      <c r="AK352" s="152" t="s">
        <v>3423</v>
      </c>
      <c r="AL352" s="152"/>
      <c r="AM352" s="152"/>
      <c r="AN352" s="134" t="s">
        <v>4346</v>
      </c>
      <c r="AO352" s="158"/>
      <c r="AP352" s="159"/>
      <c r="AQ352" s="160"/>
      <c r="AR352" s="160"/>
      <c r="AS352" s="161"/>
      <c r="AT352" s="162"/>
      <c r="AU352" s="158"/>
      <c r="AV352" s="154"/>
      <c r="AW352" s="161"/>
      <c r="AX352" s="161"/>
      <c r="AY352" s="161"/>
      <c r="AZ352" s="177"/>
      <c r="BA352" s="158"/>
      <c r="BB352" s="163"/>
      <c r="BC352" s="158"/>
      <c r="BD352" s="158"/>
      <c r="BE352" s="158"/>
      <c r="BF352" s="163"/>
      <c r="BG352" s="158"/>
      <c r="BH352" s="163"/>
      <c r="BI352" s="158"/>
      <c r="BJ352" s="158"/>
      <c r="BK352" s="158"/>
      <c r="BL352" s="163"/>
      <c r="BM352" s="158"/>
      <c r="BN352" s="163"/>
      <c r="BO352" s="158"/>
      <c r="BP352" s="158"/>
      <c r="BQ352" s="158"/>
      <c r="BR352" s="163"/>
      <c r="BS352" s="158"/>
      <c r="BT352" s="163"/>
      <c r="BU352" s="158"/>
      <c r="BV352" s="158"/>
      <c r="BW352" s="158"/>
      <c r="BX352" s="163"/>
      <c r="BY352" s="158"/>
      <c r="BZ352" s="163"/>
      <c r="CA352" s="158"/>
      <c r="CB352" s="158"/>
      <c r="CC352" s="158"/>
      <c r="CD352" s="163"/>
      <c r="CE352" s="158"/>
      <c r="CF352" s="163"/>
      <c r="CG352" s="158"/>
      <c r="CH352" s="158"/>
      <c r="CI352" s="158"/>
      <c r="CJ352" s="158"/>
    </row>
    <row r="353" spans="1:88" x14ac:dyDescent="0.5">
      <c r="A353" s="259">
        <v>20026510</v>
      </c>
      <c r="B353" s="104">
        <v>20020156</v>
      </c>
      <c r="C353" s="1243" t="s">
        <v>1424</v>
      </c>
      <c r="D353" s="1244" t="s">
        <v>2691</v>
      </c>
      <c r="E353" s="302">
        <v>43915</v>
      </c>
      <c r="F353" s="936" t="s">
        <v>3368</v>
      </c>
      <c r="G353" s="937" t="s">
        <v>1411</v>
      </c>
      <c r="H353" s="914">
        <v>43909</v>
      </c>
      <c r="I353" s="1315">
        <v>63072</v>
      </c>
      <c r="J353" s="960" t="s">
        <v>3423</v>
      </c>
      <c r="K353" s="965">
        <v>43910</v>
      </c>
      <c r="L353" s="104" t="s">
        <v>3564</v>
      </c>
      <c r="M353" s="110" t="s">
        <v>3567</v>
      </c>
      <c r="N353" s="104" t="s">
        <v>50</v>
      </c>
      <c r="O353" s="111">
        <v>228100</v>
      </c>
      <c r="P353" s="111">
        <f t="shared" ref="P353:P359" si="505">O353*7/100</f>
        <v>15967</v>
      </c>
      <c r="Q353" s="111">
        <f t="shared" ref="Q353:Q359" si="506">O353+P353</f>
        <v>244067</v>
      </c>
      <c r="R353" s="212"/>
      <c r="S353" s="165"/>
      <c r="T353" s="166"/>
      <c r="U353" s="167"/>
      <c r="V353" s="1302"/>
      <c r="W353" s="1245">
        <v>60.67</v>
      </c>
      <c r="X353" s="1246">
        <f>O353</f>
        <v>228100</v>
      </c>
      <c r="Y353" s="1247">
        <f t="shared" ref="Y353:Y359" si="507">SUM((50-W353)/(100)*(2.5)+(0.5))</f>
        <v>0.23324999999999996</v>
      </c>
      <c r="Z353" s="1247">
        <f>X353*0.23/100</f>
        <v>524.63</v>
      </c>
      <c r="AA353" s="1265">
        <v>0.5</v>
      </c>
      <c r="AB353" s="1265">
        <f t="shared" ref="AB353:AB359" si="508">X353*AA353/100</f>
        <v>1140.5</v>
      </c>
      <c r="AC353" s="119">
        <v>0.2</v>
      </c>
      <c r="AD353" s="1248">
        <f t="shared" ref="AD353:AD359" si="509">X353*AC353/100</f>
        <v>456.2</v>
      </c>
      <c r="AE353" s="229">
        <v>20020055</v>
      </c>
      <c r="AF353" s="1313"/>
      <c r="AG353" s="230">
        <v>57025</v>
      </c>
      <c r="AH353" s="233">
        <f t="shared" ref="AH353:AH359" si="510">AG353*7/100</f>
        <v>3991.75</v>
      </c>
      <c r="AI353" s="220">
        <f t="shared" ref="AI353:AI359" si="511">AG353+AH353</f>
        <v>61016.75</v>
      </c>
      <c r="AJ353" s="221">
        <v>43889</v>
      </c>
      <c r="AK353" s="121" t="s">
        <v>3423</v>
      </c>
      <c r="AL353" s="121"/>
      <c r="AM353" s="121"/>
      <c r="AN353" s="222" t="s">
        <v>3712</v>
      </c>
      <c r="AO353" s="128">
        <v>1</v>
      </c>
      <c r="AP353" s="129" t="s">
        <v>3240</v>
      </c>
      <c r="AQ353" s="130"/>
      <c r="AR353" s="130" t="s">
        <v>3423</v>
      </c>
      <c r="AS353" s="131">
        <v>1</v>
      </c>
      <c r="AT353" s="132" t="s">
        <v>634</v>
      </c>
      <c r="AU353" s="128">
        <v>2</v>
      </c>
      <c r="AV353" s="123" t="s">
        <v>716</v>
      </c>
      <c r="AW353" s="131"/>
      <c r="AX353" s="131" t="s">
        <v>3423</v>
      </c>
      <c r="AY353" s="131">
        <v>1</v>
      </c>
      <c r="AZ353" s="169" t="s">
        <v>634</v>
      </c>
      <c r="BA353" s="128"/>
      <c r="BB353" s="133"/>
      <c r="BC353" s="128"/>
      <c r="BD353" s="128"/>
      <c r="BE353" s="128"/>
      <c r="BF353" s="133"/>
      <c r="BG353" s="128"/>
      <c r="BH353" s="133"/>
      <c r="BI353" s="128"/>
      <c r="BJ353" s="128"/>
      <c r="BK353" s="128"/>
      <c r="BL353" s="133"/>
      <c r="BM353" s="128"/>
      <c r="BN353" s="133"/>
      <c r="BO353" s="128"/>
      <c r="BP353" s="128"/>
      <c r="BQ353" s="128"/>
      <c r="BR353" s="133"/>
      <c r="BS353" s="128"/>
      <c r="BT353" s="133"/>
      <c r="BU353" s="128"/>
      <c r="BV353" s="128"/>
      <c r="BW353" s="128"/>
      <c r="BX353" s="133"/>
      <c r="BY353" s="128"/>
      <c r="BZ353" s="133"/>
      <c r="CA353" s="128"/>
      <c r="CB353" s="128"/>
      <c r="CC353" s="128"/>
      <c r="CD353" s="133"/>
      <c r="CE353" s="128"/>
      <c r="CF353" s="133"/>
      <c r="CG353" s="128"/>
      <c r="CH353" s="128"/>
      <c r="CI353" s="128"/>
      <c r="CJ353" s="128"/>
    </row>
    <row r="354" spans="1:88" x14ac:dyDescent="0.5">
      <c r="A354" s="268"/>
      <c r="B354" s="181"/>
      <c r="C354" s="1236"/>
      <c r="D354" s="1237"/>
      <c r="E354" s="749"/>
      <c r="F354" s="938" t="s">
        <v>3368</v>
      </c>
      <c r="G354" s="939" t="s">
        <v>1404</v>
      </c>
      <c r="H354" s="749">
        <v>43916</v>
      </c>
      <c r="I354" s="1125">
        <v>63081</v>
      </c>
      <c r="J354" s="961"/>
      <c r="K354" s="966">
        <v>43917</v>
      </c>
      <c r="L354" s="181"/>
      <c r="M354" s="188"/>
      <c r="N354" s="181"/>
      <c r="O354" s="189"/>
      <c r="P354" s="189"/>
      <c r="Q354" s="189"/>
      <c r="R354" s="214"/>
      <c r="S354" s="191"/>
      <c r="T354" s="192"/>
      <c r="U354" s="193"/>
      <c r="V354" s="1254"/>
      <c r="W354" s="1238"/>
      <c r="X354" s="1239"/>
      <c r="Y354" s="1240"/>
      <c r="Z354" s="1240"/>
      <c r="AA354" s="1263"/>
      <c r="AB354" s="1263"/>
      <c r="AC354" s="197"/>
      <c r="AD354" s="1241"/>
      <c r="AE354" s="200">
        <v>20030082</v>
      </c>
      <c r="AF354" s="1242" t="s">
        <v>3423</v>
      </c>
      <c r="AG354" s="201">
        <v>171075</v>
      </c>
      <c r="AH354" s="237">
        <f t="shared" si="510"/>
        <v>11975.25</v>
      </c>
      <c r="AI354" s="202">
        <f t="shared" si="511"/>
        <v>183050.25</v>
      </c>
      <c r="AJ354" s="203">
        <v>43962</v>
      </c>
      <c r="AK354" s="199" t="s">
        <v>3423</v>
      </c>
      <c r="AL354" s="199"/>
      <c r="AM354" s="199"/>
      <c r="AN354" s="180" t="s">
        <v>4346</v>
      </c>
      <c r="AO354" s="204"/>
      <c r="AP354" s="205"/>
      <c r="AQ354" s="206"/>
      <c r="AR354" s="206"/>
      <c r="AS354" s="207"/>
      <c r="AT354" s="208"/>
      <c r="AU354" s="204"/>
      <c r="AV354" s="200"/>
      <c r="AW354" s="207"/>
      <c r="AX354" s="207"/>
      <c r="AY354" s="207"/>
      <c r="AZ354" s="209"/>
      <c r="BA354" s="204"/>
      <c r="BB354" s="210"/>
      <c r="BC354" s="204"/>
      <c r="BD354" s="204"/>
      <c r="BE354" s="204"/>
      <c r="BF354" s="210"/>
      <c r="BG354" s="204"/>
      <c r="BH354" s="210"/>
      <c r="BI354" s="204"/>
      <c r="BJ354" s="204"/>
      <c r="BK354" s="204"/>
      <c r="BL354" s="210"/>
      <c r="BM354" s="204"/>
      <c r="BN354" s="210"/>
      <c r="BO354" s="204"/>
      <c r="BP354" s="204"/>
      <c r="BQ354" s="204"/>
      <c r="BR354" s="210"/>
      <c r="BS354" s="204"/>
      <c r="BT354" s="210"/>
      <c r="BU354" s="204"/>
      <c r="BV354" s="204"/>
      <c r="BW354" s="204"/>
      <c r="BX354" s="210"/>
      <c r="BY354" s="204"/>
      <c r="BZ354" s="210"/>
      <c r="CA354" s="204"/>
      <c r="CB354" s="204"/>
      <c r="CC354" s="204"/>
      <c r="CD354" s="210"/>
      <c r="CE354" s="204"/>
      <c r="CF354" s="210"/>
      <c r="CG354" s="204"/>
      <c r="CH354" s="204"/>
      <c r="CI354" s="204"/>
      <c r="CJ354" s="204"/>
    </row>
    <row r="355" spans="1:88" x14ac:dyDescent="0.5">
      <c r="A355" s="21">
        <v>20026509</v>
      </c>
      <c r="B355" s="22">
        <v>20026509</v>
      </c>
      <c r="C355" s="1019" t="s">
        <v>1425</v>
      </c>
      <c r="D355" s="1020" t="s">
        <v>2691</v>
      </c>
      <c r="E355" s="884">
        <v>44042</v>
      </c>
      <c r="F355" s="932"/>
      <c r="G355" s="933"/>
      <c r="H355" s="831"/>
      <c r="I355" s="1021"/>
      <c r="J355" s="931"/>
      <c r="K355" s="40"/>
      <c r="L355" s="22" t="s">
        <v>60</v>
      </c>
      <c r="M355" s="28" t="s">
        <v>3568</v>
      </c>
      <c r="N355" s="22" t="s">
        <v>52</v>
      </c>
      <c r="O355" s="29">
        <v>118000</v>
      </c>
      <c r="P355" s="29">
        <f t="shared" si="505"/>
        <v>8260</v>
      </c>
      <c r="Q355" s="29">
        <f t="shared" si="506"/>
        <v>126260</v>
      </c>
      <c r="R355" s="61"/>
      <c r="S355" s="1301" t="s">
        <v>3643</v>
      </c>
      <c r="T355" s="32">
        <f t="shared" ref="T355:T358" si="512">O355-R355</f>
        <v>118000</v>
      </c>
      <c r="U355" s="33">
        <v>5</v>
      </c>
      <c r="V355" s="1251">
        <f t="shared" ref="V355:V358" si="513">T355*U355/100</f>
        <v>5900</v>
      </c>
      <c r="W355" s="1231">
        <v>59.01</v>
      </c>
      <c r="X355" s="1184">
        <f t="shared" ref="X355:X358" si="514">T355-V355</f>
        <v>112100</v>
      </c>
      <c r="Y355" s="1223">
        <f t="shared" si="507"/>
        <v>0.27475000000000005</v>
      </c>
      <c r="Z355" s="1223">
        <f>X355*0.27/100</f>
        <v>302.67</v>
      </c>
      <c r="AA355" s="1228">
        <v>0.5</v>
      </c>
      <c r="AB355" s="1228">
        <f t="shared" si="508"/>
        <v>560.5</v>
      </c>
      <c r="AC355" s="37">
        <v>0.2</v>
      </c>
      <c r="AD355" s="1234">
        <f t="shared" si="509"/>
        <v>224.2</v>
      </c>
      <c r="AE355" s="40"/>
      <c r="AF355" s="1186"/>
      <c r="AG355" s="41"/>
      <c r="AH355" s="63">
        <f t="shared" si="510"/>
        <v>0</v>
      </c>
      <c r="AI355" s="52">
        <f t="shared" si="511"/>
        <v>0</v>
      </c>
      <c r="AJ355" s="43"/>
      <c r="AK355" s="39"/>
      <c r="AL355" s="39"/>
      <c r="AM355" s="39"/>
      <c r="AN355" s="21"/>
      <c r="AO355" s="1261">
        <v>1</v>
      </c>
      <c r="AP355" s="45" t="s">
        <v>3569</v>
      </c>
      <c r="AQ355" s="46" t="s">
        <v>3423</v>
      </c>
      <c r="AR355" s="46"/>
      <c r="AS355" s="47">
        <v>2</v>
      </c>
      <c r="AT355" s="48" t="s">
        <v>636</v>
      </c>
      <c r="AU355" s="1261">
        <v>2</v>
      </c>
      <c r="AV355" s="40" t="s">
        <v>755</v>
      </c>
      <c r="AW355" s="47" t="s">
        <v>3423</v>
      </c>
      <c r="AX355" s="47"/>
      <c r="AY355" s="47">
        <v>5</v>
      </c>
      <c r="AZ355" s="49" t="s">
        <v>634</v>
      </c>
      <c r="BA355" s="1266"/>
      <c r="BB355" s="54"/>
      <c r="BC355" s="1266"/>
      <c r="BD355" s="1266"/>
      <c r="BE355" s="1266"/>
      <c r="BF355" s="54"/>
      <c r="BG355" s="1266"/>
      <c r="BH355" s="54"/>
      <c r="BI355" s="1266"/>
      <c r="BJ355" s="1266"/>
      <c r="BK355" s="1266"/>
      <c r="BL355" s="54"/>
      <c r="BM355" s="1266"/>
      <c r="BN355" s="54"/>
      <c r="BO355" s="1266"/>
      <c r="BP355" s="1266"/>
      <c r="BQ355" s="1266"/>
      <c r="BR355" s="54"/>
      <c r="BS355" s="1266"/>
      <c r="BT355" s="54"/>
      <c r="BU355" s="1266"/>
      <c r="BV355" s="1266"/>
      <c r="BW355" s="1266"/>
      <c r="BX355" s="54"/>
      <c r="BY355" s="1266"/>
      <c r="BZ355" s="54"/>
      <c r="CA355" s="1266"/>
      <c r="CB355" s="1266"/>
      <c r="CC355" s="1266"/>
      <c r="CD355" s="54"/>
      <c r="CE355" s="1266"/>
      <c r="CF355" s="54"/>
      <c r="CG355" s="1266"/>
      <c r="CH355" s="1266"/>
      <c r="CI355" s="1266"/>
      <c r="CJ355" s="1266"/>
    </row>
    <row r="356" spans="1:88" x14ac:dyDescent="0.5">
      <c r="A356" s="259">
        <v>20026508</v>
      </c>
      <c r="B356" s="104">
        <v>19090893</v>
      </c>
      <c r="C356" s="1243" t="s">
        <v>1426</v>
      </c>
      <c r="D356" s="1244" t="s">
        <v>2691</v>
      </c>
      <c r="E356" s="302">
        <v>43903</v>
      </c>
      <c r="F356" s="936" t="s">
        <v>3368</v>
      </c>
      <c r="G356" s="937" t="s">
        <v>1394</v>
      </c>
      <c r="H356" s="914">
        <v>43935</v>
      </c>
      <c r="I356" s="1315">
        <v>63097</v>
      </c>
      <c r="J356" s="960" t="s">
        <v>3423</v>
      </c>
      <c r="K356" s="965">
        <v>43936</v>
      </c>
      <c r="L356" s="104" t="s">
        <v>60</v>
      </c>
      <c r="M356" s="110" t="s">
        <v>3570</v>
      </c>
      <c r="N356" s="104" t="s">
        <v>52</v>
      </c>
      <c r="O356" s="111">
        <v>626000</v>
      </c>
      <c r="P356" s="111">
        <f t="shared" si="505"/>
        <v>43820</v>
      </c>
      <c r="Q356" s="111">
        <f t="shared" si="506"/>
        <v>669820</v>
      </c>
      <c r="R356" s="212"/>
      <c r="S356" s="1010" t="s">
        <v>3643</v>
      </c>
      <c r="T356" s="114">
        <f t="shared" si="512"/>
        <v>626000</v>
      </c>
      <c r="U356" s="115">
        <v>5</v>
      </c>
      <c r="V356" s="1252">
        <f t="shared" si="513"/>
        <v>31300</v>
      </c>
      <c r="W356" s="1245">
        <v>58.58</v>
      </c>
      <c r="X356" s="1246">
        <f t="shared" si="514"/>
        <v>594700</v>
      </c>
      <c r="Y356" s="1247">
        <f t="shared" si="507"/>
        <v>0.28550000000000003</v>
      </c>
      <c r="Z356" s="1247">
        <f>X356*0.29/100</f>
        <v>1724.63</v>
      </c>
      <c r="AA356" s="1265">
        <v>0.5</v>
      </c>
      <c r="AB356" s="1265">
        <f t="shared" si="508"/>
        <v>2973.5</v>
      </c>
      <c r="AC356" s="119">
        <v>0.2</v>
      </c>
      <c r="AD356" s="1248">
        <f t="shared" si="509"/>
        <v>1189.4000000000001</v>
      </c>
      <c r="AE356" s="123">
        <v>20040111</v>
      </c>
      <c r="AF356" s="1249" t="s">
        <v>3423</v>
      </c>
      <c r="AG356" s="124">
        <v>538000</v>
      </c>
      <c r="AH356" s="260">
        <f t="shared" si="510"/>
        <v>37660</v>
      </c>
      <c r="AI356" s="125">
        <f t="shared" si="511"/>
        <v>575660</v>
      </c>
      <c r="AJ356" s="126">
        <v>43995</v>
      </c>
      <c r="AK356" s="127" t="s">
        <v>3423</v>
      </c>
      <c r="AL356" s="127"/>
      <c r="AM356" s="127"/>
      <c r="AN356" s="103" t="s">
        <v>4360</v>
      </c>
      <c r="AO356" s="777">
        <v>1</v>
      </c>
      <c r="AP356" s="778" t="s">
        <v>3571</v>
      </c>
      <c r="AQ356" s="779"/>
      <c r="AR356" s="779" t="s">
        <v>3423</v>
      </c>
      <c r="AS356" s="780">
        <v>2</v>
      </c>
      <c r="AT356" s="781" t="s">
        <v>634</v>
      </c>
      <c r="AU356" s="128">
        <v>2</v>
      </c>
      <c r="AV356" s="123" t="s">
        <v>3572</v>
      </c>
      <c r="AW356" s="131"/>
      <c r="AX356" s="131" t="s">
        <v>3423</v>
      </c>
      <c r="AY356" s="131">
        <v>2</v>
      </c>
      <c r="AZ356" s="169" t="s">
        <v>636</v>
      </c>
      <c r="BA356" s="128"/>
      <c r="BB356" s="133"/>
      <c r="BC356" s="128"/>
      <c r="BD356" s="128"/>
      <c r="BE356" s="128"/>
      <c r="BF356" s="133"/>
      <c r="BG356" s="128"/>
      <c r="BH356" s="133"/>
      <c r="BI356" s="128"/>
      <c r="BJ356" s="128"/>
      <c r="BK356" s="128"/>
      <c r="BL356" s="133"/>
      <c r="BM356" s="128"/>
      <c r="BN356" s="133"/>
      <c r="BO356" s="128"/>
      <c r="BP356" s="128"/>
      <c r="BQ356" s="128"/>
      <c r="BR356" s="133"/>
      <c r="BS356" s="128"/>
      <c r="BT356" s="133"/>
      <c r="BU356" s="128"/>
      <c r="BV356" s="128"/>
      <c r="BW356" s="128"/>
      <c r="BX356" s="133"/>
      <c r="BY356" s="128"/>
      <c r="BZ356" s="133"/>
      <c r="CA356" s="128"/>
      <c r="CB356" s="128"/>
      <c r="CC356" s="128"/>
      <c r="CD356" s="133"/>
      <c r="CE356" s="128"/>
      <c r="CF356" s="133"/>
      <c r="CG356" s="128"/>
      <c r="CH356" s="128"/>
      <c r="CI356" s="128"/>
      <c r="CJ356" s="128"/>
    </row>
    <row r="357" spans="1:88" x14ac:dyDescent="0.5">
      <c r="A357" s="268"/>
      <c r="B357" s="181"/>
      <c r="C357" s="1236"/>
      <c r="D357" s="1237"/>
      <c r="E357" s="749"/>
      <c r="F357" s="938"/>
      <c r="G357" s="939"/>
      <c r="H357" s="749">
        <v>43935</v>
      </c>
      <c r="I357" s="1125">
        <v>63098</v>
      </c>
      <c r="J357" s="961"/>
      <c r="K357" s="966">
        <v>43941</v>
      </c>
      <c r="L357" s="181" t="s">
        <v>4188</v>
      </c>
      <c r="M357" s="188"/>
      <c r="N357" s="181"/>
      <c r="O357" s="189"/>
      <c r="P357" s="189"/>
      <c r="Q357" s="189"/>
      <c r="R357" s="214"/>
      <c r="S357" s="1003"/>
      <c r="T357" s="216"/>
      <c r="U357" s="217"/>
      <c r="V357" s="1253"/>
      <c r="W357" s="1238"/>
      <c r="X357" s="1239"/>
      <c r="Y357" s="1240"/>
      <c r="Z357" s="1240"/>
      <c r="AA357" s="1263"/>
      <c r="AB357" s="1263"/>
      <c r="AC357" s="197"/>
      <c r="AD357" s="1241"/>
      <c r="AE357" s="200"/>
      <c r="AF357" s="1242"/>
      <c r="AG357" s="201"/>
      <c r="AH357" s="237"/>
      <c r="AI357" s="202"/>
      <c r="AJ357" s="241"/>
      <c r="AK357" s="199"/>
      <c r="AL357" s="199"/>
      <c r="AM357" s="199"/>
      <c r="AN357" s="180"/>
      <c r="AO357" s="204"/>
      <c r="AP357" s="205"/>
      <c r="AQ357" s="206"/>
      <c r="AR357" s="206"/>
      <c r="AS357" s="207"/>
      <c r="AT357" s="208"/>
      <c r="AU357" s="204"/>
      <c r="AV357" s="200"/>
      <c r="AW357" s="207"/>
      <c r="AX357" s="207"/>
      <c r="AY357" s="207"/>
      <c r="AZ357" s="209"/>
      <c r="BA357" s="204"/>
      <c r="BB357" s="210"/>
      <c r="BC357" s="204"/>
      <c r="BD357" s="204"/>
      <c r="BE357" s="204"/>
      <c r="BF357" s="210"/>
      <c r="BG357" s="204"/>
      <c r="BH357" s="210"/>
      <c r="BI357" s="204"/>
      <c r="BJ357" s="204"/>
      <c r="BK357" s="204"/>
      <c r="BL357" s="210"/>
      <c r="BM357" s="204"/>
      <c r="BN357" s="210"/>
      <c r="BO357" s="204"/>
      <c r="BP357" s="204"/>
      <c r="BQ357" s="204"/>
      <c r="BR357" s="210"/>
      <c r="BS357" s="204"/>
      <c r="BT357" s="210"/>
      <c r="BU357" s="204"/>
      <c r="BV357" s="204"/>
      <c r="BW357" s="204"/>
      <c r="BX357" s="210"/>
      <c r="BY357" s="204"/>
      <c r="BZ357" s="210"/>
      <c r="CA357" s="204"/>
      <c r="CB357" s="204"/>
      <c r="CC357" s="204"/>
      <c r="CD357" s="210"/>
      <c r="CE357" s="204"/>
      <c r="CF357" s="210"/>
      <c r="CG357" s="204"/>
      <c r="CH357" s="204"/>
      <c r="CI357" s="204"/>
      <c r="CJ357" s="204"/>
    </row>
    <row r="358" spans="1:88" x14ac:dyDescent="0.5">
      <c r="A358" s="227">
        <v>20026507</v>
      </c>
      <c r="B358" s="22">
        <v>20020155</v>
      </c>
      <c r="C358" s="1019" t="s">
        <v>1420</v>
      </c>
      <c r="D358" s="1020" t="s">
        <v>2691</v>
      </c>
      <c r="E358" s="884">
        <v>43899</v>
      </c>
      <c r="F358" s="932" t="s">
        <v>3368</v>
      </c>
      <c r="G358" s="933" t="s">
        <v>1419</v>
      </c>
      <c r="H358" s="884">
        <v>43902</v>
      </c>
      <c r="I358" s="1021">
        <v>63065</v>
      </c>
      <c r="J358" s="931" t="s">
        <v>3423</v>
      </c>
      <c r="K358" s="957">
        <v>43902</v>
      </c>
      <c r="L358" s="22" t="s">
        <v>23</v>
      </c>
      <c r="M358" s="28" t="s">
        <v>160</v>
      </c>
      <c r="N358" s="22" t="s">
        <v>51</v>
      </c>
      <c r="O358" s="29">
        <v>717000</v>
      </c>
      <c r="P358" s="29">
        <f t="shared" si="505"/>
        <v>50190</v>
      </c>
      <c r="Q358" s="29">
        <f t="shared" si="506"/>
        <v>767190</v>
      </c>
      <c r="R358" s="30"/>
      <c r="S358" s="31"/>
      <c r="T358" s="32">
        <f t="shared" si="512"/>
        <v>717000</v>
      </c>
      <c r="U358" s="33"/>
      <c r="V358" s="1251">
        <f t="shared" si="513"/>
        <v>0</v>
      </c>
      <c r="W358" s="1231"/>
      <c r="X358" s="1184">
        <f t="shared" si="514"/>
        <v>717000</v>
      </c>
      <c r="Y358" s="1223">
        <f t="shared" si="507"/>
        <v>1.75</v>
      </c>
      <c r="Z358" s="1223"/>
      <c r="AA358" s="1228"/>
      <c r="AB358" s="1228">
        <f t="shared" si="508"/>
        <v>0</v>
      </c>
      <c r="AC358" s="37"/>
      <c r="AD358" s="1234">
        <f t="shared" si="509"/>
        <v>0</v>
      </c>
      <c r="AE358" s="40">
        <v>20030061</v>
      </c>
      <c r="AF358" s="1186" t="s">
        <v>3423</v>
      </c>
      <c r="AG358" s="41">
        <v>717000</v>
      </c>
      <c r="AH358" s="63">
        <f t="shared" si="510"/>
        <v>50190</v>
      </c>
      <c r="AI358" s="52">
        <f t="shared" si="511"/>
        <v>767190</v>
      </c>
      <c r="AJ358" s="53">
        <v>43930</v>
      </c>
      <c r="AK358" s="39" t="s">
        <v>3423</v>
      </c>
      <c r="AL358" s="39"/>
      <c r="AM358" s="39"/>
      <c r="AN358" s="21" t="s">
        <v>3795</v>
      </c>
      <c r="AO358" s="1261">
        <v>1</v>
      </c>
      <c r="AP358" s="45" t="s">
        <v>3573</v>
      </c>
      <c r="AQ358" s="46"/>
      <c r="AR358" s="46" t="s">
        <v>3423</v>
      </c>
      <c r="AS358" s="47">
        <v>1</v>
      </c>
      <c r="AT358" s="48" t="s">
        <v>634</v>
      </c>
      <c r="AU358" s="1261">
        <v>2</v>
      </c>
      <c r="AV358" s="40" t="s">
        <v>3574</v>
      </c>
      <c r="AW358" s="47"/>
      <c r="AX358" s="47" t="s">
        <v>3423</v>
      </c>
      <c r="AY358" s="47">
        <v>1</v>
      </c>
      <c r="AZ358" s="49" t="s">
        <v>634</v>
      </c>
      <c r="BA358" s="1261">
        <v>3</v>
      </c>
      <c r="BB358" s="40" t="s">
        <v>3575</v>
      </c>
      <c r="BC358" s="47"/>
      <c r="BD358" s="47" t="s">
        <v>3423</v>
      </c>
      <c r="BE358" s="47">
        <v>2</v>
      </c>
      <c r="BF358" s="49" t="s">
        <v>634</v>
      </c>
      <c r="BG358" s="1261">
        <v>4</v>
      </c>
      <c r="BH358" s="40" t="s">
        <v>3576</v>
      </c>
      <c r="BI358" s="47"/>
      <c r="BJ358" s="47" t="s">
        <v>3423</v>
      </c>
      <c r="BK358" s="47">
        <v>1</v>
      </c>
      <c r="BL358" s="49" t="s">
        <v>634</v>
      </c>
      <c r="BM358" s="1267"/>
      <c r="BN358" s="54"/>
      <c r="BO358" s="1267"/>
      <c r="BP358" s="1267"/>
      <c r="BQ358" s="1267"/>
      <c r="BR358" s="54"/>
      <c r="BS358" s="1267"/>
      <c r="BT358" s="54"/>
      <c r="BU358" s="1267"/>
      <c r="BV358" s="1267"/>
      <c r="BW358" s="1267"/>
      <c r="BX358" s="54"/>
      <c r="BY358" s="1267"/>
      <c r="BZ358" s="54"/>
      <c r="CA358" s="1267"/>
      <c r="CB358" s="1267"/>
      <c r="CC358" s="1267"/>
      <c r="CD358" s="54"/>
      <c r="CE358" s="1267"/>
      <c r="CF358" s="54"/>
      <c r="CG358" s="1267"/>
      <c r="CH358" s="1267"/>
      <c r="CI358" s="1267"/>
      <c r="CJ358" s="1267"/>
    </row>
    <row r="359" spans="1:88" x14ac:dyDescent="0.5">
      <c r="A359" s="227">
        <v>20026506</v>
      </c>
      <c r="B359" s="22">
        <v>20020152</v>
      </c>
      <c r="C359" s="1019" t="s">
        <v>1427</v>
      </c>
      <c r="D359" s="1020" t="s">
        <v>2691</v>
      </c>
      <c r="E359" s="884">
        <v>43893</v>
      </c>
      <c r="F359" s="932" t="s">
        <v>3368</v>
      </c>
      <c r="G359" s="933" t="s">
        <v>1423</v>
      </c>
      <c r="H359" s="884">
        <v>43892</v>
      </c>
      <c r="I359" s="1021">
        <v>63059</v>
      </c>
      <c r="J359" s="931" t="s">
        <v>3423</v>
      </c>
      <c r="K359" s="957">
        <v>43893</v>
      </c>
      <c r="L359" s="22" t="s">
        <v>186</v>
      </c>
      <c r="M359" s="28" t="s">
        <v>3577</v>
      </c>
      <c r="N359" s="22" t="s">
        <v>50</v>
      </c>
      <c r="O359" s="29">
        <v>6975</v>
      </c>
      <c r="P359" s="29">
        <f t="shared" si="505"/>
        <v>488.25</v>
      </c>
      <c r="Q359" s="29">
        <f t="shared" si="506"/>
        <v>7463.25</v>
      </c>
      <c r="R359" s="61"/>
      <c r="S359" s="96"/>
      <c r="T359" s="97"/>
      <c r="U359" s="98"/>
      <c r="V359" s="1225"/>
      <c r="W359" s="1231">
        <v>55</v>
      </c>
      <c r="X359" s="1184">
        <f>O359</f>
        <v>6975</v>
      </c>
      <c r="Y359" s="1223">
        <f t="shared" si="507"/>
        <v>0.375</v>
      </c>
      <c r="Z359" s="1223">
        <f>X359*0.38/100</f>
        <v>26.504999999999999</v>
      </c>
      <c r="AA359" s="1228">
        <v>0.5</v>
      </c>
      <c r="AB359" s="1228">
        <f t="shared" si="508"/>
        <v>34.875</v>
      </c>
      <c r="AC359" s="37">
        <v>0.2</v>
      </c>
      <c r="AD359" s="1234">
        <f t="shared" si="509"/>
        <v>13.95</v>
      </c>
      <c r="AE359" s="40">
        <v>20030058</v>
      </c>
      <c r="AF359" s="1186" t="s">
        <v>3423</v>
      </c>
      <c r="AG359" s="41">
        <v>6975</v>
      </c>
      <c r="AH359" s="63">
        <f t="shared" si="510"/>
        <v>488.25</v>
      </c>
      <c r="AI359" s="52">
        <f t="shared" si="511"/>
        <v>7463.25</v>
      </c>
      <c r="AJ359" s="53">
        <v>43929</v>
      </c>
      <c r="AK359" s="39" t="s">
        <v>3423</v>
      </c>
      <c r="AL359" s="39"/>
      <c r="AM359" s="39"/>
      <c r="AN359" s="21" t="s">
        <v>3788</v>
      </c>
      <c r="AO359" s="1261">
        <v>1</v>
      </c>
      <c r="AP359" s="45" t="s">
        <v>3578</v>
      </c>
      <c r="AQ359" s="46"/>
      <c r="AR359" s="46" t="s">
        <v>3423</v>
      </c>
      <c r="AS359" s="47">
        <v>1</v>
      </c>
      <c r="AT359" s="48" t="s">
        <v>634</v>
      </c>
      <c r="AU359" s="1267"/>
      <c r="AV359" s="54"/>
      <c r="AW359" s="1267"/>
      <c r="AX359" s="1267"/>
      <c r="AY359" s="1267"/>
      <c r="AZ359" s="54"/>
      <c r="BA359" s="1267"/>
      <c r="BB359" s="54"/>
      <c r="BC359" s="1267"/>
      <c r="BD359" s="1267"/>
      <c r="BE359" s="1267"/>
      <c r="BF359" s="54"/>
      <c r="BG359" s="1267"/>
      <c r="BH359" s="54"/>
      <c r="BI359" s="1267"/>
      <c r="BJ359" s="1267"/>
      <c r="BK359" s="1267"/>
      <c r="BL359" s="54"/>
      <c r="BM359" s="1267"/>
      <c r="BN359" s="54"/>
      <c r="BO359" s="1267"/>
      <c r="BP359" s="1267"/>
      <c r="BQ359" s="1267"/>
      <c r="BR359" s="54"/>
      <c r="BS359" s="1267"/>
      <c r="BT359" s="54"/>
      <c r="BU359" s="1267"/>
      <c r="BV359" s="1267"/>
      <c r="BW359" s="1267"/>
      <c r="BX359" s="54"/>
      <c r="BY359" s="1267"/>
      <c r="BZ359" s="54"/>
      <c r="CA359" s="1267"/>
      <c r="CB359" s="1267"/>
      <c r="CC359" s="1267"/>
      <c r="CD359" s="54"/>
      <c r="CE359" s="1267"/>
      <c r="CF359" s="54"/>
      <c r="CG359" s="1267"/>
      <c r="CH359" s="1267"/>
      <c r="CI359" s="1267"/>
      <c r="CJ359" s="1267"/>
    </row>
    <row r="360" spans="1:88" x14ac:dyDescent="0.5">
      <c r="A360" s="227">
        <v>20026505</v>
      </c>
      <c r="B360" s="22">
        <v>20020145</v>
      </c>
      <c r="C360" s="55"/>
      <c r="D360" s="56"/>
      <c r="E360" s="910"/>
      <c r="F360" s="57"/>
      <c r="G360" s="58"/>
      <c r="H360" s="59"/>
      <c r="I360" s="60"/>
      <c r="J360" s="269"/>
      <c r="K360" s="59"/>
      <c r="L360" s="22" t="s">
        <v>3550</v>
      </c>
      <c r="M360" s="28" t="s">
        <v>3551</v>
      </c>
      <c r="N360" s="22" t="s">
        <v>51</v>
      </c>
      <c r="O360" s="29">
        <v>25700</v>
      </c>
      <c r="P360" s="29">
        <f t="shared" si="498"/>
        <v>1799</v>
      </c>
      <c r="Q360" s="29">
        <f t="shared" si="499"/>
        <v>27499</v>
      </c>
      <c r="R360" s="61"/>
      <c r="S360" s="96"/>
      <c r="T360" s="97"/>
      <c r="U360" s="98"/>
      <c r="V360" s="1225"/>
      <c r="W360" s="1225"/>
      <c r="X360" s="100"/>
      <c r="Y360" s="1225"/>
      <c r="Z360" s="1225"/>
      <c r="AA360" s="1225"/>
      <c r="AB360" s="1225"/>
      <c r="AC360" s="100"/>
      <c r="AD360" s="595"/>
      <c r="AE360" s="40">
        <v>20040108</v>
      </c>
      <c r="AF360" s="1186" t="s">
        <v>3423</v>
      </c>
      <c r="AG360" s="41">
        <v>25700</v>
      </c>
      <c r="AH360" s="63">
        <f t="shared" si="503"/>
        <v>1799</v>
      </c>
      <c r="AI360" s="52">
        <f t="shared" si="504"/>
        <v>27499</v>
      </c>
      <c r="AJ360" s="53">
        <v>43974</v>
      </c>
      <c r="AK360" s="39" t="s">
        <v>3423</v>
      </c>
      <c r="AL360" s="39"/>
      <c r="AM360" s="39"/>
      <c r="AN360" s="21" t="s">
        <v>4013</v>
      </c>
      <c r="AO360" s="1259">
        <v>1</v>
      </c>
      <c r="AP360" s="45" t="s">
        <v>3552</v>
      </c>
      <c r="AQ360" s="46"/>
      <c r="AR360" s="46"/>
      <c r="AS360" s="47">
        <v>1</v>
      </c>
      <c r="AT360" s="48" t="s">
        <v>628</v>
      </c>
      <c r="AU360" s="1259">
        <v>2</v>
      </c>
      <c r="AV360" s="40" t="s">
        <v>3553</v>
      </c>
      <c r="AW360" s="47"/>
      <c r="AX360" s="47"/>
      <c r="AY360" s="47">
        <v>1</v>
      </c>
      <c r="AZ360" s="49" t="s">
        <v>628</v>
      </c>
      <c r="BA360" s="1261"/>
      <c r="BB360" s="54"/>
      <c r="BC360" s="1261"/>
      <c r="BD360" s="1261"/>
      <c r="BE360" s="1261"/>
      <c r="BF360" s="54"/>
      <c r="BG360" s="1261"/>
      <c r="BH360" s="54"/>
      <c r="BI360" s="1261"/>
      <c r="BJ360" s="1261"/>
      <c r="BK360" s="1261"/>
      <c r="BL360" s="54"/>
      <c r="BM360" s="1261"/>
      <c r="BN360" s="54"/>
      <c r="BO360" s="1261"/>
      <c r="BP360" s="1261"/>
      <c r="BQ360" s="1261"/>
      <c r="BR360" s="54"/>
      <c r="BS360" s="1261"/>
      <c r="BT360" s="54"/>
      <c r="BU360" s="1261"/>
      <c r="BV360" s="1261"/>
      <c r="BW360" s="1261"/>
      <c r="BX360" s="54"/>
      <c r="BY360" s="1261"/>
      <c r="BZ360" s="54"/>
      <c r="CA360" s="1261"/>
      <c r="CB360" s="1261"/>
      <c r="CC360" s="1261"/>
      <c r="CD360" s="54"/>
      <c r="CE360" s="1261"/>
      <c r="CF360" s="54"/>
      <c r="CG360" s="1261"/>
      <c r="CH360" s="1261"/>
      <c r="CI360" s="1261"/>
      <c r="CJ360" s="1261"/>
    </row>
    <row r="361" spans="1:88" x14ac:dyDescent="0.5">
      <c r="A361" s="259">
        <v>20026504</v>
      </c>
      <c r="B361" s="104">
        <v>20020135</v>
      </c>
      <c r="C361" s="1243" t="s">
        <v>1428</v>
      </c>
      <c r="D361" s="1244" t="s">
        <v>2691</v>
      </c>
      <c r="E361" s="302">
        <v>43910</v>
      </c>
      <c r="F361" s="936" t="s">
        <v>3368</v>
      </c>
      <c r="G361" s="937" t="s">
        <v>1397</v>
      </c>
      <c r="H361" s="302">
        <v>43934</v>
      </c>
      <c r="I361" s="1124">
        <v>63096</v>
      </c>
      <c r="J361" s="960" t="s">
        <v>3423</v>
      </c>
      <c r="K361" s="965">
        <v>43931</v>
      </c>
      <c r="L361" s="104" t="s">
        <v>3554</v>
      </c>
      <c r="M361" s="110" t="s">
        <v>3555</v>
      </c>
      <c r="N361" s="104" t="s">
        <v>50</v>
      </c>
      <c r="O361" s="111">
        <v>233644.86</v>
      </c>
      <c r="P361" s="111">
        <f t="shared" si="498"/>
        <v>16355.1402</v>
      </c>
      <c r="Q361" s="111">
        <f t="shared" si="499"/>
        <v>250000.00019999998</v>
      </c>
      <c r="R361" s="311">
        <v>17000</v>
      </c>
      <c r="S361" s="165"/>
      <c r="T361" s="166"/>
      <c r="U361" s="167"/>
      <c r="V361" s="1302"/>
      <c r="W361" s="1245">
        <v>58.1</v>
      </c>
      <c r="X361" s="1246">
        <f>O361-R361</f>
        <v>216644.86</v>
      </c>
      <c r="Y361" s="1247">
        <f t="shared" si="500"/>
        <v>0.29749999999999999</v>
      </c>
      <c r="Z361" s="1247">
        <f>X361*0.3/100</f>
        <v>649.93457999999987</v>
      </c>
      <c r="AA361" s="1265">
        <v>0.5</v>
      </c>
      <c r="AB361" s="1265">
        <f t="shared" si="501"/>
        <v>1083.2242999999999</v>
      </c>
      <c r="AC361" s="119">
        <v>0.2</v>
      </c>
      <c r="AD361" s="1248">
        <f t="shared" si="502"/>
        <v>433.28971999999999</v>
      </c>
      <c r="AE361" s="229">
        <v>20020048</v>
      </c>
      <c r="AF361" s="1249" t="s">
        <v>3423</v>
      </c>
      <c r="AG361" s="230">
        <v>70093.460000000006</v>
      </c>
      <c r="AH361" s="233">
        <f t="shared" si="503"/>
        <v>4906.5421999999999</v>
      </c>
      <c r="AI361" s="220">
        <f t="shared" si="504"/>
        <v>75000.002200000003</v>
      </c>
      <c r="AJ361" s="221">
        <v>43885</v>
      </c>
      <c r="AK361" s="121" t="s">
        <v>3423</v>
      </c>
      <c r="AL361" s="121"/>
      <c r="AM361" s="121"/>
      <c r="AN361" s="222" t="s">
        <v>3604</v>
      </c>
      <c r="AO361" s="128">
        <v>1</v>
      </c>
      <c r="AP361" s="129" t="s">
        <v>3556</v>
      </c>
      <c r="AQ361" s="130"/>
      <c r="AR361" s="130" t="s">
        <v>3423</v>
      </c>
      <c r="AS361" s="131">
        <v>1</v>
      </c>
      <c r="AT361" s="132" t="s">
        <v>634</v>
      </c>
      <c r="AU361" s="128">
        <v>2</v>
      </c>
      <c r="AV361" s="123" t="s">
        <v>1831</v>
      </c>
      <c r="AW361" s="131"/>
      <c r="AX361" s="131" t="s">
        <v>3423</v>
      </c>
      <c r="AY361" s="131">
        <v>1</v>
      </c>
      <c r="AZ361" s="169" t="s">
        <v>634</v>
      </c>
      <c r="BA361" s="128"/>
      <c r="BB361" s="133"/>
      <c r="BC361" s="128"/>
      <c r="BD361" s="128"/>
      <c r="BE361" s="128"/>
      <c r="BF361" s="133"/>
      <c r="BG361" s="128"/>
      <c r="BH361" s="133"/>
      <c r="BI361" s="128"/>
      <c r="BJ361" s="128"/>
      <c r="BK361" s="128"/>
      <c r="BL361" s="133"/>
      <c r="BM361" s="128"/>
      <c r="BN361" s="133"/>
      <c r="BO361" s="128"/>
      <c r="BP361" s="128"/>
      <c r="BQ361" s="128"/>
      <c r="BR361" s="133"/>
      <c r="BS361" s="128"/>
      <c r="BT361" s="133"/>
      <c r="BU361" s="128"/>
      <c r="BV361" s="128"/>
      <c r="BW361" s="128"/>
      <c r="BX361" s="133"/>
      <c r="BY361" s="128"/>
      <c r="BZ361" s="133"/>
      <c r="CA361" s="128"/>
      <c r="CB361" s="128"/>
      <c r="CC361" s="128"/>
      <c r="CD361" s="133"/>
      <c r="CE361" s="128"/>
      <c r="CF361" s="133"/>
      <c r="CG361" s="128"/>
      <c r="CH361" s="128"/>
      <c r="CI361" s="128"/>
      <c r="CJ361" s="128"/>
    </row>
    <row r="362" spans="1:88" x14ac:dyDescent="0.5">
      <c r="A362" s="262"/>
      <c r="B362" s="135"/>
      <c r="C362" s="1290"/>
      <c r="D362" s="1291"/>
      <c r="E362" s="906"/>
      <c r="F362" s="940"/>
      <c r="G362" s="941"/>
      <c r="H362" s="1307"/>
      <c r="I362" s="1138"/>
      <c r="J362" s="963"/>
      <c r="K362" s="154"/>
      <c r="L362" s="135"/>
      <c r="M362" s="141"/>
      <c r="N362" s="135"/>
      <c r="O362" s="142"/>
      <c r="P362" s="142"/>
      <c r="Q362" s="142"/>
      <c r="R362" s="143"/>
      <c r="S362" s="172"/>
      <c r="T362" s="173"/>
      <c r="U362" s="174"/>
      <c r="V362" s="1296"/>
      <c r="W362" s="1293"/>
      <c r="X362" s="1294"/>
      <c r="Y362" s="1295"/>
      <c r="Z362" s="1295"/>
      <c r="AA362" s="1308"/>
      <c r="AB362" s="1308"/>
      <c r="AC362" s="150"/>
      <c r="AD362" s="1297"/>
      <c r="AE362" s="154">
        <v>20030067</v>
      </c>
      <c r="AF362" s="1298"/>
      <c r="AG362" s="155">
        <v>163551.4</v>
      </c>
      <c r="AH362" s="253">
        <f t="shared" si="503"/>
        <v>11448.598</v>
      </c>
      <c r="AI362" s="156">
        <f t="shared" si="504"/>
        <v>174999.99799999999</v>
      </c>
      <c r="AJ362" s="157">
        <v>43937</v>
      </c>
      <c r="AK362" s="152" t="s">
        <v>3423</v>
      </c>
      <c r="AL362" s="152"/>
      <c r="AM362" s="152"/>
      <c r="AN362" s="842" t="s">
        <v>3790</v>
      </c>
      <c r="AO362" s="158"/>
      <c r="AP362" s="159"/>
      <c r="AQ362" s="160"/>
      <c r="AR362" s="160"/>
      <c r="AS362" s="161"/>
      <c r="AT362" s="162"/>
      <c r="AU362" s="158"/>
      <c r="AV362" s="154"/>
      <c r="AW362" s="161"/>
      <c r="AX362" s="161"/>
      <c r="AY362" s="161"/>
      <c r="AZ362" s="177"/>
      <c r="BA362" s="158"/>
      <c r="BB362" s="163"/>
      <c r="BC362" s="158"/>
      <c r="BD362" s="158"/>
      <c r="BE362" s="158"/>
      <c r="BF362" s="163"/>
      <c r="BG362" s="158"/>
      <c r="BH362" s="163"/>
      <c r="BI362" s="158"/>
      <c r="BJ362" s="158"/>
      <c r="BK362" s="158"/>
      <c r="BL362" s="163"/>
      <c r="BM362" s="158"/>
      <c r="BN362" s="163"/>
      <c r="BO362" s="158"/>
      <c r="BP362" s="158"/>
      <c r="BQ362" s="158"/>
      <c r="BR362" s="163"/>
      <c r="BS362" s="158"/>
      <c r="BT362" s="163"/>
      <c r="BU362" s="158"/>
      <c r="BV362" s="158"/>
      <c r="BW362" s="158"/>
      <c r="BX362" s="163"/>
      <c r="BY362" s="158"/>
      <c r="BZ362" s="163"/>
      <c r="CA362" s="158"/>
      <c r="CB362" s="158"/>
      <c r="CC362" s="158"/>
      <c r="CD362" s="163"/>
      <c r="CE362" s="158"/>
      <c r="CF362" s="163"/>
      <c r="CG362" s="158"/>
      <c r="CH362" s="158"/>
      <c r="CI362" s="158"/>
      <c r="CJ362" s="158"/>
    </row>
    <row r="363" spans="1:88" x14ac:dyDescent="0.5">
      <c r="A363" s="259">
        <v>20026503</v>
      </c>
      <c r="B363" s="104">
        <v>20020136</v>
      </c>
      <c r="C363" s="1243" t="s">
        <v>1431</v>
      </c>
      <c r="D363" s="1244" t="s">
        <v>3557</v>
      </c>
      <c r="E363" s="302">
        <v>43910</v>
      </c>
      <c r="F363" s="936" t="s">
        <v>3368</v>
      </c>
      <c r="G363" s="937" t="s">
        <v>1396</v>
      </c>
      <c r="H363" s="914">
        <v>43934</v>
      </c>
      <c r="I363" s="1315">
        <v>63092</v>
      </c>
      <c r="J363" s="960" t="s">
        <v>3423</v>
      </c>
      <c r="K363" s="965">
        <v>43931</v>
      </c>
      <c r="L363" s="104" t="s">
        <v>3554</v>
      </c>
      <c r="M363" s="110" t="s">
        <v>3555</v>
      </c>
      <c r="N363" s="104" t="s">
        <v>50</v>
      </c>
      <c r="O363" s="111">
        <v>560747.66</v>
      </c>
      <c r="P363" s="111">
        <f t="shared" si="498"/>
        <v>39252.336199999998</v>
      </c>
      <c r="Q363" s="111">
        <f t="shared" si="499"/>
        <v>599999.99620000005</v>
      </c>
      <c r="R363" s="311">
        <v>39200</v>
      </c>
      <c r="S363" s="165"/>
      <c r="T363" s="166"/>
      <c r="U363" s="167"/>
      <c r="V363" s="1302"/>
      <c r="W363" s="1245">
        <v>58.09</v>
      </c>
      <c r="X363" s="1246">
        <f>O363-39200-48000</f>
        <v>473547.66000000003</v>
      </c>
      <c r="Y363" s="1247">
        <f t="shared" si="500"/>
        <v>0.29774999999999996</v>
      </c>
      <c r="Z363" s="1247">
        <f>X363*0.3/100</f>
        <v>1420.6429800000001</v>
      </c>
      <c r="AA363" s="1265">
        <v>0.5</v>
      </c>
      <c r="AB363" s="1265">
        <f t="shared" si="501"/>
        <v>2367.7383</v>
      </c>
      <c r="AC363" s="119">
        <v>0.2</v>
      </c>
      <c r="AD363" s="1248">
        <f t="shared" si="502"/>
        <v>947.09532000000002</v>
      </c>
      <c r="AE363" s="229">
        <v>20020047</v>
      </c>
      <c r="AF363" s="1249"/>
      <c r="AG363" s="230">
        <v>168224.3</v>
      </c>
      <c r="AH363" s="233">
        <f t="shared" si="503"/>
        <v>11775.700999999999</v>
      </c>
      <c r="AI363" s="220">
        <f t="shared" si="504"/>
        <v>180000.00099999999</v>
      </c>
      <c r="AJ363" s="221">
        <v>43885</v>
      </c>
      <c r="AK363" s="121" t="s">
        <v>3423</v>
      </c>
      <c r="AL363" s="121"/>
      <c r="AM363" s="121"/>
      <c r="AN363" s="222" t="s">
        <v>3602</v>
      </c>
      <c r="AO363" s="128">
        <v>1</v>
      </c>
      <c r="AP363" s="129" t="s">
        <v>2638</v>
      </c>
      <c r="AQ363" s="130" t="s">
        <v>3423</v>
      </c>
      <c r="AR363" s="130"/>
      <c r="AS363" s="131">
        <v>4</v>
      </c>
      <c r="AT363" s="132" t="s">
        <v>636</v>
      </c>
      <c r="AU363" s="128"/>
      <c r="AV363" s="133"/>
      <c r="AW363" s="128"/>
      <c r="AX363" s="128"/>
      <c r="AY363" s="128"/>
      <c r="AZ363" s="133"/>
      <c r="BA363" s="128"/>
      <c r="BB363" s="133"/>
      <c r="BC363" s="128"/>
      <c r="BD363" s="128"/>
      <c r="BE363" s="128"/>
      <c r="BF363" s="133"/>
      <c r="BG363" s="128"/>
      <c r="BH363" s="133"/>
      <c r="BI363" s="128"/>
      <c r="BJ363" s="128"/>
      <c r="BK363" s="128"/>
      <c r="BL363" s="133"/>
      <c r="BM363" s="128"/>
      <c r="BN363" s="133"/>
      <c r="BO363" s="128"/>
      <c r="BP363" s="128"/>
      <c r="BQ363" s="128"/>
      <c r="BR363" s="133"/>
      <c r="BS363" s="128"/>
      <c r="BT363" s="133"/>
      <c r="BU363" s="128"/>
      <c r="BV363" s="128"/>
      <c r="BW363" s="128"/>
      <c r="BX363" s="133"/>
      <c r="BY363" s="128"/>
      <c r="BZ363" s="133"/>
      <c r="CA363" s="128"/>
      <c r="CB363" s="128"/>
      <c r="CC363" s="128"/>
      <c r="CD363" s="133"/>
      <c r="CE363" s="128"/>
      <c r="CF363" s="133"/>
      <c r="CG363" s="128"/>
      <c r="CH363" s="128"/>
      <c r="CI363" s="128"/>
      <c r="CJ363" s="128"/>
    </row>
    <row r="364" spans="1:88" x14ac:dyDescent="0.5">
      <c r="A364" s="262"/>
      <c r="B364" s="135"/>
      <c r="C364" s="1290"/>
      <c r="D364" s="1291"/>
      <c r="E364" s="906"/>
      <c r="F364" s="940"/>
      <c r="G364" s="941"/>
      <c r="H364" s="1316">
        <v>43934</v>
      </c>
      <c r="I364" s="1317">
        <v>63093</v>
      </c>
      <c r="J364" s="963"/>
      <c r="K364" s="154"/>
      <c r="L364" s="135"/>
      <c r="M364" s="141"/>
      <c r="N364" s="135"/>
      <c r="O364" s="142"/>
      <c r="P364" s="142"/>
      <c r="Q364" s="142"/>
      <c r="R364" s="143" t="s">
        <v>3558</v>
      </c>
      <c r="S364" s="172"/>
      <c r="T364" s="173"/>
      <c r="U364" s="174"/>
      <c r="V364" s="1296"/>
      <c r="W364" s="1293"/>
      <c r="X364" s="1294"/>
      <c r="Y364" s="1295"/>
      <c r="Z364" s="1295"/>
      <c r="AA364" s="1308"/>
      <c r="AB364" s="1308"/>
      <c r="AC364" s="150"/>
      <c r="AD364" s="1297"/>
      <c r="AE364" s="154">
        <v>20030068</v>
      </c>
      <c r="AF364" s="1298" t="s">
        <v>3423</v>
      </c>
      <c r="AG364" s="155">
        <v>392523.36</v>
      </c>
      <c r="AH364" s="253">
        <f t="shared" si="503"/>
        <v>27476.635200000001</v>
      </c>
      <c r="AI364" s="156">
        <f t="shared" si="504"/>
        <v>419999.9952</v>
      </c>
      <c r="AJ364" s="157">
        <v>43937</v>
      </c>
      <c r="AK364" s="152" t="s">
        <v>3423</v>
      </c>
      <c r="AL364" s="152"/>
      <c r="AM364" s="152"/>
      <c r="AN364" s="842" t="s">
        <v>3789</v>
      </c>
      <c r="AO364" s="158"/>
      <c r="AP364" s="159"/>
      <c r="AQ364" s="160"/>
      <c r="AR364" s="160"/>
      <c r="AS364" s="161"/>
      <c r="AT364" s="162"/>
      <c r="AU364" s="158"/>
      <c r="AV364" s="163"/>
      <c r="AW364" s="158"/>
      <c r="AX364" s="158"/>
      <c r="AY364" s="158"/>
      <c r="AZ364" s="163"/>
      <c r="BA364" s="158"/>
      <c r="BB364" s="163"/>
      <c r="BC364" s="158"/>
      <c r="BD364" s="158"/>
      <c r="BE364" s="158"/>
      <c r="BF364" s="163"/>
      <c r="BG364" s="158"/>
      <c r="BH364" s="163"/>
      <c r="BI364" s="158"/>
      <c r="BJ364" s="158"/>
      <c r="BK364" s="158"/>
      <c r="BL364" s="163"/>
      <c r="BM364" s="158"/>
      <c r="BN364" s="163"/>
      <c r="BO364" s="158"/>
      <c r="BP364" s="158"/>
      <c r="BQ364" s="158"/>
      <c r="BR364" s="163"/>
      <c r="BS364" s="158"/>
      <c r="BT364" s="163"/>
      <c r="BU364" s="158"/>
      <c r="BV364" s="158"/>
      <c r="BW364" s="158"/>
      <c r="BX364" s="163"/>
      <c r="BY364" s="158"/>
      <c r="BZ364" s="163"/>
      <c r="CA364" s="158"/>
      <c r="CB364" s="158"/>
      <c r="CC364" s="158"/>
      <c r="CD364" s="163"/>
      <c r="CE364" s="158"/>
      <c r="CF364" s="163"/>
      <c r="CG364" s="158"/>
      <c r="CH364" s="158"/>
      <c r="CI364" s="158"/>
      <c r="CJ364" s="158"/>
    </row>
    <row r="365" spans="1:88" x14ac:dyDescent="0.5">
      <c r="A365" s="262"/>
      <c r="B365" s="135"/>
      <c r="C365" s="1290"/>
      <c r="D365" s="1291"/>
      <c r="E365" s="906"/>
      <c r="F365" s="940"/>
      <c r="G365" s="941"/>
      <c r="H365" s="309">
        <v>43934</v>
      </c>
      <c r="I365" s="310">
        <v>63094</v>
      </c>
      <c r="J365" s="963"/>
      <c r="K365" s="154"/>
      <c r="L365" s="135"/>
      <c r="M365" s="141"/>
      <c r="N365" s="135"/>
      <c r="O365" s="142"/>
      <c r="P365" s="142"/>
      <c r="Q365" s="142"/>
      <c r="R365" s="143"/>
      <c r="S365" s="172"/>
      <c r="T365" s="173"/>
      <c r="U365" s="174"/>
      <c r="V365" s="1296"/>
      <c r="W365" s="1293"/>
      <c r="X365" s="1294"/>
      <c r="Y365" s="1295"/>
      <c r="Z365" s="1295"/>
      <c r="AA365" s="1308"/>
      <c r="AB365" s="1308"/>
      <c r="AC365" s="150"/>
      <c r="AD365" s="1297"/>
      <c r="AE365" s="154"/>
      <c r="AF365" s="1298"/>
      <c r="AG365" s="155"/>
      <c r="AH365" s="253"/>
      <c r="AI365" s="156"/>
      <c r="AJ365" s="157"/>
      <c r="AK365" s="152"/>
      <c r="AL365" s="152"/>
      <c r="AM365" s="152"/>
      <c r="AN365" s="842"/>
      <c r="AO365" s="158"/>
      <c r="AP365" s="159"/>
      <c r="AQ365" s="160"/>
      <c r="AR365" s="160"/>
      <c r="AS365" s="161"/>
      <c r="AT365" s="162"/>
      <c r="AU365" s="158"/>
      <c r="AV365" s="163"/>
      <c r="AW365" s="158"/>
      <c r="AX365" s="158"/>
      <c r="AY365" s="158"/>
      <c r="AZ365" s="163"/>
      <c r="BA365" s="158"/>
      <c r="BB365" s="163"/>
      <c r="BC365" s="158"/>
      <c r="BD365" s="158"/>
      <c r="BE365" s="158"/>
      <c r="BF365" s="163"/>
      <c r="BG365" s="158"/>
      <c r="BH365" s="163"/>
      <c r="BI365" s="158"/>
      <c r="BJ365" s="158"/>
      <c r="BK365" s="158"/>
      <c r="BL365" s="163"/>
      <c r="BM365" s="158"/>
      <c r="BN365" s="163"/>
      <c r="BO365" s="158"/>
      <c r="BP365" s="158"/>
      <c r="BQ365" s="158"/>
      <c r="BR365" s="163"/>
      <c r="BS365" s="158"/>
      <c r="BT365" s="163"/>
      <c r="BU365" s="158"/>
      <c r="BV365" s="158"/>
      <c r="BW365" s="158"/>
      <c r="BX365" s="163"/>
      <c r="BY365" s="158"/>
      <c r="BZ365" s="163"/>
      <c r="CA365" s="158"/>
      <c r="CB365" s="158"/>
      <c r="CC365" s="158"/>
      <c r="CD365" s="163"/>
      <c r="CE365" s="158"/>
      <c r="CF365" s="163"/>
      <c r="CG365" s="158"/>
      <c r="CH365" s="158"/>
      <c r="CI365" s="158"/>
      <c r="CJ365" s="158"/>
    </row>
    <row r="366" spans="1:88" x14ac:dyDescent="0.5">
      <c r="A366" s="268"/>
      <c r="B366" s="181"/>
      <c r="C366" s="1236"/>
      <c r="D366" s="1237"/>
      <c r="E366" s="749"/>
      <c r="F366" s="938"/>
      <c r="G366" s="939"/>
      <c r="H366" s="749">
        <v>43934</v>
      </c>
      <c r="I366" s="1125">
        <v>63095</v>
      </c>
      <c r="J366" s="961"/>
      <c r="K366" s="200"/>
      <c r="L366" s="181"/>
      <c r="M366" s="188"/>
      <c r="N366" s="181"/>
      <c r="O366" s="189"/>
      <c r="P366" s="189"/>
      <c r="Q366" s="189"/>
      <c r="R366" s="190"/>
      <c r="S366" s="191"/>
      <c r="T366" s="192"/>
      <c r="U366" s="193"/>
      <c r="V366" s="1254"/>
      <c r="W366" s="1238"/>
      <c r="X366" s="1239"/>
      <c r="Y366" s="1240"/>
      <c r="Z366" s="1240"/>
      <c r="AA366" s="1263"/>
      <c r="AB366" s="1263"/>
      <c r="AC366" s="197"/>
      <c r="AD366" s="1241"/>
      <c r="AE366" s="200"/>
      <c r="AF366" s="1242"/>
      <c r="AG366" s="201"/>
      <c r="AH366" s="237"/>
      <c r="AI366" s="202"/>
      <c r="AJ366" s="203"/>
      <c r="AK366" s="199"/>
      <c r="AL366" s="199"/>
      <c r="AM366" s="199"/>
      <c r="AN366" s="843"/>
      <c r="AO366" s="204"/>
      <c r="AP366" s="205"/>
      <c r="AQ366" s="206"/>
      <c r="AR366" s="206"/>
      <c r="AS366" s="207"/>
      <c r="AT366" s="208"/>
      <c r="AU366" s="204"/>
      <c r="AV366" s="210"/>
      <c r="AW366" s="204"/>
      <c r="AX366" s="204"/>
      <c r="AY366" s="204"/>
      <c r="AZ366" s="210"/>
      <c r="BA366" s="204"/>
      <c r="BB366" s="210"/>
      <c r="BC366" s="204"/>
      <c r="BD366" s="204"/>
      <c r="BE366" s="204"/>
      <c r="BF366" s="210"/>
      <c r="BG366" s="204"/>
      <c r="BH366" s="210"/>
      <c r="BI366" s="204"/>
      <c r="BJ366" s="204"/>
      <c r="BK366" s="204"/>
      <c r="BL366" s="210"/>
      <c r="BM366" s="204"/>
      <c r="BN366" s="210"/>
      <c r="BO366" s="204"/>
      <c r="BP366" s="204"/>
      <c r="BQ366" s="204"/>
      <c r="BR366" s="210"/>
      <c r="BS366" s="204"/>
      <c r="BT366" s="210"/>
      <c r="BU366" s="204"/>
      <c r="BV366" s="204"/>
      <c r="BW366" s="204"/>
      <c r="BX366" s="210"/>
      <c r="BY366" s="204"/>
      <c r="BZ366" s="210"/>
      <c r="CA366" s="204"/>
      <c r="CB366" s="204"/>
      <c r="CC366" s="204"/>
      <c r="CD366" s="210"/>
      <c r="CE366" s="204"/>
      <c r="CF366" s="210"/>
      <c r="CG366" s="204"/>
      <c r="CH366" s="204"/>
      <c r="CI366" s="204"/>
      <c r="CJ366" s="204"/>
    </row>
    <row r="367" spans="1:88" x14ac:dyDescent="0.5">
      <c r="A367" s="227">
        <v>20026502</v>
      </c>
      <c r="B367" s="22">
        <v>20020130</v>
      </c>
      <c r="C367" s="55"/>
      <c r="D367" s="56"/>
      <c r="E367" s="910"/>
      <c r="F367" s="57"/>
      <c r="G367" s="58"/>
      <c r="H367" s="59"/>
      <c r="I367" s="60"/>
      <c r="J367" s="269"/>
      <c r="K367" s="59"/>
      <c r="L367" s="22" t="s">
        <v>1546</v>
      </c>
      <c r="M367" s="28" t="s">
        <v>3559</v>
      </c>
      <c r="N367" s="22" t="s">
        <v>1523</v>
      </c>
      <c r="O367" s="29">
        <v>38500</v>
      </c>
      <c r="P367" s="29">
        <f t="shared" si="323"/>
        <v>2695</v>
      </c>
      <c r="Q367" s="29">
        <f t="shared" si="494"/>
        <v>41195</v>
      </c>
      <c r="R367" s="61"/>
      <c r="S367" s="96"/>
      <c r="T367" s="97"/>
      <c r="U367" s="98"/>
      <c r="V367" s="1225"/>
      <c r="W367" s="1225"/>
      <c r="X367" s="1184">
        <f>O367</f>
        <v>38500</v>
      </c>
      <c r="Y367" s="1223">
        <v>1</v>
      </c>
      <c r="Z367" s="1223">
        <f>X367*Y367/100</f>
        <v>385</v>
      </c>
      <c r="AA367" s="1225"/>
      <c r="AB367" s="1225"/>
      <c r="AC367" s="100"/>
      <c r="AD367" s="595"/>
      <c r="AE367" s="40">
        <v>20030070</v>
      </c>
      <c r="AF367" s="1186" t="s">
        <v>3423</v>
      </c>
      <c r="AG367" s="41">
        <v>38500</v>
      </c>
      <c r="AH367" s="63">
        <f t="shared" si="330"/>
        <v>2695</v>
      </c>
      <c r="AI367" s="52">
        <f t="shared" si="495"/>
        <v>41195</v>
      </c>
      <c r="AJ367" s="53">
        <v>43908</v>
      </c>
      <c r="AK367" s="39" t="s">
        <v>3423</v>
      </c>
      <c r="AL367" s="39"/>
      <c r="AM367" s="39"/>
      <c r="AN367" s="21" t="s">
        <v>3697</v>
      </c>
      <c r="AO367" s="1259">
        <v>1</v>
      </c>
      <c r="AP367" s="45" t="s">
        <v>2907</v>
      </c>
      <c r="AQ367" s="46"/>
      <c r="AR367" s="46"/>
      <c r="AS367" s="47">
        <v>7</v>
      </c>
      <c r="AT367" s="48" t="s">
        <v>628</v>
      </c>
      <c r="AU367" s="1262"/>
      <c r="AV367" s="54"/>
      <c r="AW367" s="1262"/>
      <c r="AX367" s="1262"/>
      <c r="AY367" s="1262"/>
      <c r="AZ367" s="54"/>
      <c r="BA367" s="1262"/>
      <c r="BB367" s="54"/>
      <c r="BC367" s="1262"/>
      <c r="BD367" s="1262"/>
      <c r="BE367" s="1262"/>
      <c r="BF367" s="54"/>
      <c r="BG367" s="1262"/>
      <c r="BH367" s="54"/>
      <c r="BI367" s="1262"/>
      <c r="BJ367" s="1262"/>
      <c r="BK367" s="1262"/>
      <c r="BL367" s="54"/>
      <c r="BM367" s="1262"/>
      <c r="BN367" s="54"/>
      <c r="BO367" s="1262"/>
      <c r="BP367" s="1262"/>
      <c r="BQ367" s="1262"/>
      <c r="BR367" s="54"/>
      <c r="BS367" s="1262"/>
      <c r="BT367" s="54"/>
      <c r="BU367" s="1262"/>
      <c r="BV367" s="1262"/>
      <c r="BW367" s="1262"/>
      <c r="BX367" s="54"/>
      <c r="BY367" s="1262"/>
      <c r="BZ367" s="54"/>
      <c r="CA367" s="1262"/>
      <c r="CB367" s="1262"/>
      <c r="CC367" s="1262"/>
      <c r="CD367" s="54"/>
      <c r="CE367" s="1262"/>
      <c r="CF367" s="54"/>
      <c r="CG367" s="1262"/>
      <c r="CH367" s="1262"/>
      <c r="CI367" s="1262"/>
      <c r="CJ367" s="1262"/>
    </row>
    <row r="368" spans="1:88" x14ac:dyDescent="0.5">
      <c r="A368" s="259">
        <v>20026501</v>
      </c>
      <c r="B368" s="104">
        <v>20020129</v>
      </c>
      <c r="C368" s="1243" t="s">
        <v>1432</v>
      </c>
      <c r="D368" s="1244" t="s">
        <v>2691</v>
      </c>
      <c r="E368" s="302">
        <v>43899</v>
      </c>
      <c r="F368" s="936" t="s">
        <v>3368</v>
      </c>
      <c r="G368" s="937" t="s">
        <v>1416</v>
      </c>
      <c r="H368" s="914">
        <v>43903</v>
      </c>
      <c r="I368" s="1315">
        <v>63066</v>
      </c>
      <c r="J368" s="960" t="s">
        <v>3423</v>
      </c>
      <c r="K368" s="965">
        <v>43904</v>
      </c>
      <c r="L368" s="104" t="s">
        <v>1546</v>
      </c>
      <c r="M368" s="110" t="s">
        <v>3560</v>
      </c>
      <c r="N368" s="104" t="s">
        <v>1523</v>
      </c>
      <c r="O368" s="111">
        <v>187876</v>
      </c>
      <c r="P368" s="111">
        <f t="shared" ref="P368:P373" si="515">O368*7/100</f>
        <v>13151.32</v>
      </c>
      <c r="Q368" s="111">
        <f t="shared" si="324"/>
        <v>201027.32</v>
      </c>
      <c r="R368" s="212"/>
      <c r="S368" s="113" t="s">
        <v>1310</v>
      </c>
      <c r="T368" s="114">
        <f t="shared" si="325"/>
        <v>187876</v>
      </c>
      <c r="U368" s="115">
        <v>5</v>
      </c>
      <c r="V368" s="1252">
        <f t="shared" si="326"/>
        <v>9393.7999999999993</v>
      </c>
      <c r="W368" s="1245">
        <v>57.25</v>
      </c>
      <c r="X368" s="1246">
        <f t="shared" si="327"/>
        <v>178482.2</v>
      </c>
      <c r="Y368" s="1247">
        <f t="shared" ref="Y368:Y373" si="516">SUM((50-W368)/(100)*(2.5)+(0.5))</f>
        <v>0.31874999999999998</v>
      </c>
      <c r="Z368" s="1247">
        <f>178482.2*0.32/100</f>
        <v>571.14304000000004</v>
      </c>
      <c r="AA368" s="1265">
        <v>0.5</v>
      </c>
      <c r="AB368" s="1265">
        <f t="shared" si="0"/>
        <v>892.41100000000006</v>
      </c>
      <c r="AC368" s="119">
        <v>0.2</v>
      </c>
      <c r="AD368" s="1248">
        <f t="shared" si="329"/>
        <v>356.96440000000001</v>
      </c>
      <c r="AE368" s="123">
        <v>20030077</v>
      </c>
      <c r="AF368" s="1249" t="s">
        <v>3423</v>
      </c>
      <c r="AG368" s="124">
        <v>187876</v>
      </c>
      <c r="AH368" s="260">
        <f t="shared" ref="AH368:AH374" si="517">AG368*7/100</f>
        <v>13151.32</v>
      </c>
      <c r="AI368" s="125">
        <f t="shared" si="331"/>
        <v>201027.32</v>
      </c>
      <c r="AJ368" s="126">
        <v>43945</v>
      </c>
      <c r="AK368" s="127" t="s">
        <v>3423</v>
      </c>
      <c r="AL368" s="127"/>
      <c r="AM368" s="127"/>
      <c r="AN368" s="103" t="s">
        <v>4031</v>
      </c>
      <c r="AO368" s="128">
        <v>1</v>
      </c>
      <c r="AP368" s="129" t="s">
        <v>810</v>
      </c>
      <c r="AQ368" s="130"/>
      <c r="AR368" s="130" t="s">
        <v>3423</v>
      </c>
      <c r="AS368" s="131">
        <v>1</v>
      </c>
      <c r="AT368" s="132" t="s">
        <v>636</v>
      </c>
      <c r="AU368" s="128">
        <v>2</v>
      </c>
      <c r="AV368" s="123" t="s">
        <v>3561</v>
      </c>
      <c r="AW368" s="131"/>
      <c r="AX368" s="131" t="s">
        <v>3423</v>
      </c>
      <c r="AY368" s="131">
        <v>1</v>
      </c>
      <c r="AZ368" s="169" t="s">
        <v>634</v>
      </c>
      <c r="BA368" s="128">
        <v>3</v>
      </c>
      <c r="BB368" s="123" t="s">
        <v>2958</v>
      </c>
      <c r="BC368" s="131"/>
      <c r="BD368" s="131" t="s">
        <v>3423</v>
      </c>
      <c r="BE368" s="131">
        <v>1</v>
      </c>
      <c r="BF368" s="169" t="s">
        <v>634</v>
      </c>
      <c r="BG368" s="128"/>
      <c r="BH368" s="133"/>
      <c r="BI368" s="128"/>
      <c r="BJ368" s="128"/>
      <c r="BK368" s="128"/>
      <c r="BL368" s="133"/>
      <c r="BM368" s="128"/>
      <c r="BN368" s="133"/>
      <c r="BO368" s="128"/>
      <c r="BP368" s="128"/>
      <c r="BQ368" s="128"/>
      <c r="BR368" s="133"/>
      <c r="BS368" s="128"/>
      <c r="BT368" s="133"/>
      <c r="BU368" s="128"/>
      <c r="BV368" s="128"/>
      <c r="BW368" s="128"/>
      <c r="BX368" s="133"/>
      <c r="BY368" s="128"/>
      <c r="BZ368" s="133"/>
      <c r="CA368" s="128"/>
      <c r="CB368" s="128"/>
      <c r="CC368" s="128"/>
      <c r="CD368" s="133"/>
      <c r="CE368" s="128"/>
      <c r="CF368" s="133"/>
      <c r="CG368" s="128"/>
      <c r="CH368" s="128"/>
      <c r="CI368" s="128"/>
      <c r="CJ368" s="128"/>
    </row>
    <row r="369" spans="1:88" x14ac:dyDescent="0.5">
      <c r="A369" s="268"/>
      <c r="B369" s="181"/>
      <c r="C369" s="1236"/>
      <c r="D369" s="1237"/>
      <c r="E369" s="749"/>
      <c r="F369" s="938"/>
      <c r="G369" s="939"/>
      <c r="H369" s="749">
        <v>43903</v>
      </c>
      <c r="I369" s="1125">
        <v>63067</v>
      </c>
      <c r="J369" s="961"/>
      <c r="K369" s="966"/>
      <c r="L369" s="181"/>
      <c r="M369" s="188"/>
      <c r="N369" s="181"/>
      <c r="O369" s="189"/>
      <c r="P369" s="189"/>
      <c r="Q369" s="189"/>
      <c r="R369" s="214"/>
      <c r="S369" s="215"/>
      <c r="T369" s="216"/>
      <c r="U369" s="217"/>
      <c r="V369" s="1253"/>
      <c r="W369" s="1238"/>
      <c r="X369" s="1239"/>
      <c r="Y369" s="1240"/>
      <c r="Z369" s="1240"/>
      <c r="AA369" s="1263"/>
      <c r="AB369" s="1263"/>
      <c r="AC369" s="197"/>
      <c r="AD369" s="1241"/>
      <c r="AE369" s="200"/>
      <c r="AF369" s="1242"/>
      <c r="AG369" s="201"/>
      <c r="AH369" s="237"/>
      <c r="AI369" s="202"/>
      <c r="AJ369" s="203"/>
      <c r="AK369" s="199"/>
      <c r="AL369" s="199"/>
      <c r="AM369" s="199"/>
      <c r="AN369" s="180"/>
      <c r="AO369" s="204"/>
      <c r="AP369" s="205"/>
      <c r="AQ369" s="206"/>
      <c r="AR369" s="206"/>
      <c r="AS369" s="207"/>
      <c r="AT369" s="208"/>
      <c r="AU369" s="204"/>
      <c r="AV369" s="200"/>
      <c r="AW369" s="207"/>
      <c r="AX369" s="207"/>
      <c r="AY369" s="207"/>
      <c r="AZ369" s="209"/>
      <c r="BA369" s="204"/>
      <c r="BB369" s="200"/>
      <c r="BC369" s="207"/>
      <c r="BD369" s="207"/>
      <c r="BE369" s="207"/>
      <c r="BF369" s="209"/>
      <c r="BG369" s="204"/>
      <c r="BH369" s="210"/>
      <c r="BI369" s="204"/>
      <c r="BJ369" s="204"/>
      <c r="BK369" s="204"/>
      <c r="BL369" s="210"/>
      <c r="BM369" s="204"/>
      <c r="BN369" s="210"/>
      <c r="BO369" s="204"/>
      <c r="BP369" s="204"/>
      <c r="BQ369" s="204"/>
      <c r="BR369" s="210"/>
      <c r="BS369" s="204"/>
      <c r="BT369" s="210"/>
      <c r="BU369" s="204"/>
      <c r="BV369" s="204"/>
      <c r="BW369" s="204"/>
      <c r="BX369" s="210"/>
      <c r="BY369" s="204"/>
      <c r="BZ369" s="210"/>
      <c r="CA369" s="204"/>
      <c r="CB369" s="204"/>
      <c r="CC369" s="204"/>
      <c r="CD369" s="210"/>
      <c r="CE369" s="204"/>
      <c r="CF369" s="210"/>
      <c r="CG369" s="204"/>
      <c r="CH369" s="204"/>
      <c r="CI369" s="204"/>
      <c r="CJ369" s="204"/>
    </row>
    <row r="370" spans="1:88" x14ac:dyDescent="0.5">
      <c r="A370" s="227">
        <v>20026500</v>
      </c>
      <c r="B370" s="22">
        <v>20020128</v>
      </c>
      <c r="C370" s="1019" t="s">
        <v>1433</v>
      </c>
      <c r="D370" s="1020" t="s">
        <v>2691</v>
      </c>
      <c r="E370" s="884">
        <v>43894</v>
      </c>
      <c r="F370" s="932" t="s">
        <v>3368</v>
      </c>
      <c r="G370" s="933" t="s">
        <v>1421</v>
      </c>
      <c r="H370" s="884">
        <v>43893</v>
      </c>
      <c r="I370" s="1021">
        <v>63061</v>
      </c>
      <c r="J370" s="931" t="s">
        <v>3423</v>
      </c>
      <c r="K370" s="957">
        <v>43894</v>
      </c>
      <c r="L370" s="22" t="s">
        <v>1221</v>
      </c>
      <c r="M370" s="28" t="s">
        <v>3562</v>
      </c>
      <c r="N370" s="22" t="s">
        <v>51</v>
      </c>
      <c r="O370" s="29">
        <v>200000</v>
      </c>
      <c r="P370" s="29">
        <f t="shared" si="515"/>
        <v>14000</v>
      </c>
      <c r="Q370" s="29">
        <f t="shared" si="324"/>
        <v>214000</v>
      </c>
      <c r="R370" s="61"/>
      <c r="S370" s="96"/>
      <c r="T370" s="97"/>
      <c r="U370" s="98"/>
      <c r="V370" s="1225"/>
      <c r="W370" s="1225"/>
      <c r="X370" s="100"/>
      <c r="Y370" s="1225"/>
      <c r="Z370" s="1225"/>
      <c r="AA370" s="1225"/>
      <c r="AB370" s="1225"/>
      <c r="AC370" s="100"/>
      <c r="AD370" s="595"/>
      <c r="AE370" s="40">
        <v>20030057</v>
      </c>
      <c r="AF370" s="1186" t="s">
        <v>3423</v>
      </c>
      <c r="AG370" s="41">
        <v>200000</v>
      </c>
      <c r="AH370" s="63">
        <f t="shared" si="517"/>
        <v>14000</v>
      </c>
      <c r="AI370" s="52">
        <f t="shared" si="331"/>
        <v>214000</v>
      </c>
      <c r="AJ370" s="53">
        <v>43940</v>
      </c>
      <c r="AK370" s="39" t="s">
        <v>3423</v>
      </c>
      <c r="AL370" s="39"/>
      <c r="AM370" s="39"/>
      <c r="AN370" s="21" t="s">
        <v>3794</v>
      </c>
      <c r="AO370" s="1258">
        <v>1</v>
      </c>
      <c r="AP370" s="45" t="s">
        <v>2011</v>
      </c>
      <c r="AQ370" s="46" t="s">
        <v>3423</v>
      </c>
      <c r="AR370" s="46"/>
      <c r="AS370" s="47">
        <v>1</v>
      </c>
      <c r="AT370" s="48" t="s">
        <v>635</v>
      </c>
      <c r="AU370" s="1262"/>
      <c r="AV370" s="54"/>
      <c r="AW370" s="1262"/>
      <c r="AX370" s="1262"/>
      <c r="AY370" s="1262"/>
      <c r="AZ370" s="54"/>
      <c r="BA370" s="1262"/>
      <c r="BB370" s="54"/>
      <c r="BC370" s="1262"/>
      <c r="BD370" s="1262"/>
      <c r="BE370" s="1262"/>
      <c r="BF370" s="54"/>
      <c r="BG370" s="1262"/>
      <c r="BH370" s="54"/>
      <c r="BI370" s="1262"/>
      <c r="BJ370" s="1262"/>
      <c r="BK370" s="1262"/>
      <c r="BL370" s="54"/>
      <c r="BM370" s="1262"/>
      <c r="BN370" s="54"/>
      <c r="BO370" s="1262"/>
      <c r="BP370" s="1262"/>
      <c r="BQ370" s="1262"/>
      <c r="BR370" s="54"/>
      <c r="BS370" s="1262"/>
      <c r="BT370" s="54"/>
      <c r="BU370" s="1262"/>
      <c r="BV370" s="1262"/>
      <c r="BW370" s="1262"/>
      <c r="BX370" s="54"/>
      <c r="BY370" s="1262"/>
      <c r="BZ370" s="54"/>
      <c r="CA370" s="1262"/>
      <c r="CB370" s="1262"/>
      <c r="CC370" s="1262"/>
      <c r="CD370" s="54"/>
      <c r="CE370" s="1262"/>
      <c r="CF370" s="54"/>
      <c r="CG370" s="1262"/>
      <c r="CH370" s="1262"/>
      <c r="CI370" s="1262"/>
      <c r="CJ370" s="1262"/>
    </row>
    <row r="371" spans="1:88" x14ac:dyDescent="0.5">
      <c r="A371" s="259">
        <v>20026499</v>
      </c>
      <c r="B371" s="104">
        <v>20020126</v>
      </c>
      <c r="C371" s="1243" t="s">
        <v>1434</v>
      </c>
      <c r="D371" s="1244" t="s">
        <v>2691</v>
      </c>
      <c r="E371" s="302">
        <v>43903</v>
      </c>
      <c r="F371" s="936" t="s">
        <v>3368</v>
      </c>
      <c r="G371" s="937" t="s">
        <v>1417</v>
      </c>
      <c r="H371" s="302">
        <v>43900</v>
      </c>
      <c r="I371" s="1124">
        <v>63064</v>
      </c>
      <c r="J371" s="960" t="s">
        <v>3423</v>
      </c>
      <c r="K371" s="965">
        <v>43901</v>
      </c>
      <c r="L371" s="104" t="s">
        <v>1160</v>
      </c>
      <c r="M371" s="110" t="s">
        <v>3532</v>
      </c>
      <c r="N371" s="104" t="s">
        <v>50</v>
      </c>
      <c r="O371" s="111">
        <v>67602</v>
      </c>
      <c r="P371" s="111">
        <f t="shared" si="515"/>
        <v>4732.1400000000003</v>
      </c>
      <c r="Q371" s="111">
        <f t="shared" si="324"/>
        <v>72334.14</v>
      </c>
      <c r="R371" s="212"/>
      <c r="S371" s="165"/>
      <c r="T371" s="166"/>
      <c r="U371" s="167"/>
      <c r="V371" s="1302"/>
      <c r="W371" s="1245">
        <v>62</v>
      </c>
      <c r="X371" s="1246">
        <f>O371</f>
        <v>67602</v>
      </c>
      <c r="Y371" s="1247">
        <f t="shared" si="516"/>
        <v>0.2</v>
      </c>
      <c r="Z371" s="1247">
        <f>67602*0.2/100</f>
        <v>135.20400000000001</v>
      </c>
      <c r="AA371" s="1265">
        <v>0.5</v>
      </c>
      <c r="AB371" s="1265">
        <f t="shared" si="0"/>
        <v>338.01</v>
      </c>
      <c r="AC371" s="119">
        <v>0.2</v>
      </c>
      <c r="AD371" s="1248">
        <f t="shared" si="329"/>
        <v>135.20400000000001</v>
      </c>
      <c r="AE371" s="229" t="s">
        <v>3563</v>
      </c>
      <c r="AF371" s="1313"/>
      <c r="AG371" s="230">
        <v>20280.599999999999</v>
      </c>
      <c r="AH371" s="233">
        <f t="shared" si="517"/>
        <v>1419.6419999999998</v>
      </c>
      <c r="AI371" s="220">
        <f t="shared" si="331"/>
        <v>21700.241999999998</v>
      </c>
      <c r="AJ371" s="221">
        <v>43882</v>
      </c>
      <c r="AK371" s="121" t="s">
        <v>3423</v>
      </c>
      <c r="AL371" s="121"/>
      <c r="AM371" s="121"/>
      <c r="AN371" s="222" t="s">
        <v>3703</v>
      </c>
      <c r="AO371" s="128">
        <v>1</v>
      </c>
      <c r="AP371" s="129" t="s">
        <v>624</v>
      </c>
      <c r="AQ371" s="130"/>
      <c r="AR371" s="130" t="s">
        <v>3423</v>
      </c>
      <c r="AS371" s="131">
        <v>1</v>
      </c>
      <c r="AT371" s="132" t="s">
        <v>634</v>
      </c>
      <c r="AU371" s="128">
        <v>2</v>
      </c>
      <c r="AV371" s="123" t="s">
        <v>2888</v>
      </c>
      <c r="AW371" s="131"/>
      <c r="AX371" s="131" t="s">
        <v>3423</v>
      </c>
      <c r="AY371" s="131">
        <v>1</v>
      </c>
      <c r="AZ371" s="169" t="s">
        <v>634</v>
      </c>
      <c r="BA371" s="128"/>
      <c r="BB371" s="133"/>
      <c r="BC371" s="128"/>
      <c r="BD371" s="128"/>
      <c r="BE371" s="128"/>
      <c r="BF371" s="133"/>
      <c r="BG371" s="128"/>
      <c r="BH371" s="133"/>
      <c r="BI371" s="128"/>
      <c r="BJ371" s="128"/>
      <c r="BK371" s="128"/>
      <c r="BL371" s="133"/>
      <c r="BM371" s="128"/>
      <c r="BN371" s="133"/>
      <c r="BO371" s="128"/>
      <c r="BP371" s="128"/>
      <c r="BQ371" s="128"/>
      <c r="BR371" s="133"/>
      <c r="BS371" s="128"/>
      <c r="BT371" s="133"/>
      <c r="BU371" s="128"/>
      <c r="BV371" s="128"/>
      <c r="BW371" s="128"/>
      <c r="BX371" s="133"/>
      <c r="BY371" s="128"/>
      <c r="BZ371" s="133"/>
      <c r="CA371" s="128"/>
      <c r="CB371" s="128"/>
      <c r="CC371" s="128"/>
      <c r="CD371" s="133"/>
      <c r="CE371" s="128"/>
      <c r="CF371" s="133"/>
      <c r="CG371" s="128"/>
      <c r="CH371" s="128"/>
      <c r="CI371" s="128"/>
      <c r="CJ371" s="128"/>
    </row>
    <row r="372" spans="1:88" x14ac:dyDescent="0.5">
      <c r="A372" s="268"/>
      <c r="B372" s="181"/>
      <c r="C372" s="1236"/>
      <c r="D372" s="1237"/>
      <c r="E372" s="749"/>
      <c r="F372" s="938"/>
      <c r="G372" s="939"/>
      <c r="H372" s="749"/>
      <c r="I372" s="1125"/>
      <c r="J372" s="961"/>
      <c r="K372" s="966"/>
      <c r="L372" s="181"/>
      <c r="M372" s="188"/>
      <c r="N372" s="181"/>
      <c r="O372" s="189"/>
      <c r="P372" s="189"/>
      <c r="Q372" s="189"/>
      <c r="R372" s="214"/>
      <c r="S372" s="191"/>
      <c r="T372" s="192"/>
      <c r="U372" s="193"/>
      <c r="V372" s="1254"/>
      <c r="W372" s="1238"/>
      <c r="X372" s="1239"/>
      <c r="Y372" s="1240"/>
      <c r="Z372" s="1240"/>
      <c r="AA372" s="1263"/>
      <c r="AB372" s="1263"/>
      <c r="AC372" s="197"/>
      <c r="AD372" s="1241"/>
      <c r="AE372" s="200">
        <v>20030080</v>
      </c>
      <c r="AF372" s="1242" t="s">
        <v>3423</v>
      </c>
      <c r="AG372" s="201">
        <v>47321.4</v>
      </c>
      <c r="AH372" s="237">
        <f t="shared" si="517"/>
        <v>3312.498</v>
      </c>
      <c r="AI372" s="202">
        <f t="shared" si="331"/>
        <v>50633.898000000001</v>
      </c>
      <c r="AJ372" s="203">
        <v>43945</v>
      </c>
      <c r="AK372" s="199" t="s">
        <v>3423</v>
      </c>
      <c r="AL372" s="199"/>
      <c r="AM372" s="199"/>
      <c r="AN372" s="180" t="s">
        <v>4022</v>
      </c>
      <c r="AO372" s="204"/>
      <c r="AP372" s="205"/>
      <c r="AQ372" s="206"/>
      <c r="AR372" s="206"/>
      <c r="AS372" s="207"/>
      <c r="AT372" s="208"/>
      <c r="AU372" s="204"/>
      <c r="AV372" s="200"/>
      <c r="AW372" s="207"/>
      <c r="AX372" s="207"/>
      <c r="AY372" s="207"/>
      <c r="AZ372" s="209"/>
      <c r="BA372" s="204"/>
      <c r="BB372" s="210"/>
      <c r="BC372" s="204"/>
      <c r="BD372" s="204"/>
      <c r="BE372" s="204"/>
      <c r="BF372" s="210"/>
      <c r="BG372" s="204"/>
      <c r="BH372" s="210"/>
      <c r="BI372" s="204"/>
      <c r="BJ372" s="204"/>
      <c r="BK372" s="204"/>
      <c r="BL372" s="210"/>
      <c r="BM372" s="204"/>
      <c r="BN372" s="210"/>
      <c r="BO372" s="204"/>
      <c r="BP372" s="204"/>
      <c r="BQ372" s="204"/>
      <c r="BR372" s="210"/>
      <c r="BS372" s="204"/>
      <c r="BT372" s="210"/>
      <c r="BU372" s="204"/>
      <c r="BV372" s="204"/>
      <c r="BW372" s="204"/>
      <c r="BX372" s="210"/>
      <c r="BY372" s="204"/>
      <c r="BZ372" s="210"/>
      <c r="CA372" s="204"/>
      <c r="CB372" s="204"/>
      <c r="CC372" s="204"/>
      <c r="CD372" s="210"/>
      <c r="CE372" s="204"/>
      <c r="CF372" s="210"/>
      <c r="CG372" s="204"/>
      <c r="CH372" s="204"/>
      <c r="CI372" s="204"/>
      <c r="CJ372" s="204"/>
    </row>
    <row r="373" spans="1:88" x14ac:dyDescent="0.5">
      <c r="A373" s="259">
        <v>20026498</v>
      </c>
      <c r="B373" s="104">
        <v>20020120</v>
      </c>
      <c r="C373" s="1243" t="s">
        <v>1435</v>
      </c>
      <c r="D373" s="1244" t="s">
        <v>2691</v>
      </c>
      <c r="E373" s="302">
        <v>43895</v>
      </c>
      <c r="F373" s="936" t="s">
        <v>3368</v>
      </c>
      <c r="G373" s="937" t="s">
        <v>1392</v>
      </c>
      <c r="H373" s="302">
        <v>43943</v>
      </c>
      <c r="I373" s="1124">
        <v>63102</v>
      </c>
      <c r="J373" s="960" t="s">
        <v>3423</v>
      </c>
      <c r="K373" s="965">
        <v>43944</v>
      </c>
      <c r="L373" s="104" t="s">
        <v>3533</v>
      </c>
      <c r="M373" s="110" t="s">
        <v>3534</v>
      </c>
      <c r="N373" s="104" t="s">
        <v>50</v>
      </c>
      <c r="O373" s="111">
        <v>7000</v>
      </c>
      <c r="P373" s="111">
        <f t="shared" si="515"/>
        <v>490</v>
      </c>
      <c r="Q373" s="111">
        <f t="shared" si="324"/>
        <v>7490</v>
      </c>
      <c r="R373" s="212"/>
      <c r="S373" s="1010" t="s">
        <v>3643</v>
      </c>
      <c r="T373" s="114">
        <f t="shared" si="325"/>
        <v>7000</v>
      </c>
      <c r="U373" s="115">
        <v>3</v>
      </c>
      <c r="V373" s="1252">
        <f t="shared" si="326"/>
        <v>210</v>
      </c>
      <c r="W373" s="1245">
        <v>61.2</v>
      </c>
      <c r="X373" s="1246">
        <f t="shared" si="327"/>
        <v>6790</v>
      </c>
      <c r="Y373" s="1247">
        <f t="shared" si="516"/>
        <v>0.21999999999999992</v>
      </c>
      <c r="Z373" s="1247">
        <f>6790*0.22/100</f>
        <v>14.937999999999999</v>
      </c>
      <c r="AA373" s="1265">
        <v>0.5</v>
      </c>
      <c r="AB373" s="1265">
        <f t="shared" si="0"/>
        <v>33.950000000000003</v>
      </c>
      <c r="AC373" s="119">
        <v>0.2</v>
      </c>
      <c r="AD373" s="1248">
        <f t="shared" si="329"/>
        <v>13.58</v>
      </c>
      <c r="AE373" s="229">
        <v>20020044</v>
      </c>
      <c r="AF373" s="1313"/>
      <c r="AG373" s="230">
        <v>2100</v>
      </c>
      <c r="AH373" s="233">
        <f t="shared" si="517"/>
        <v>147</v>
      </c>
      <c r="AI373" s="220">
        <f t="shared" si="331"/>
        <v>2247</v>
      </c>
      <c r="AJ373" s="221">
        <v>43882</v>
      </c>
      <c r="AK373" s="121" t="s">
        <v>3423</v>
      </c>
      <c r="AL373" s="121"/>
      <c r="AM373" s="121"/>
      <c r="AN373" s="222" t="s">
        <v>3606</v>
      </c>
      <c r="AO373" s="128">
        <v>1</v>
      </c>
      <c r="AP373" s="129" t="s">
        <v>712</v>
      </c>
      <c r="AQ373" s="130" t="s">
        <v>3423</v>
      </c>
      <c r="AR373" s="130"/>
      <c r="AS373" s="131">
        <v>1</v>
      </c>
      <c r="AT373" s="132" t="s">
        <v>636</v>
      </c>
      <c r="AU373" s="128"/>
      <c r="AV373" s="133"/>
      <c r="AW373" s="128"/>
      <c r="AX373" s="128"/>
      <c r="AY373" s="128"/>
      <c r="AZ373" s="133"/>
      <c r="BA373" s="128"/>
      <c r="BB373" s="133"/>
      <c r="BC373" s="128"/>
      <c r="BD373" s="128"/>
      <c r="BE373" s="128"/>
      <c r="BF373" s="133"/>
      <c r="BG373" s="128"/>
      <c r="BH373" s="133"/>
      <c r="BI373" s="128"/>
      <c r="BJ373" s="128"/>
      <c r="BK373" s="128"/>
      <c r="BL373" s="133"/>
      <c r="BM373" s="128"/>
      <c r="BN373" s="133"/>
      <c r="BO373" s="128"/>
      <c r="BP373" s="128"/>
      <c r="BQ373" s="128"/>
      <c r="BR373" s="133"/>
      <c r="BS373" s="128"/>
      <c r="BT373" s="133"/>
      <c r="BU373" s="128"/>
      <c r="BV373" s="128"/>
      <c r="BW373" s="128"/>
      <c r="BX373" s="133"/>
      <c r="BY373" s="128"/>
      <c r="BZ373" s="133"/>
      <c r="CA373" s="128"/>
      <c r="CB373" s="128"/>
      <c r="CC373" s="128"/>
      <c r="CD373" s="133"/>
      <c r="CE373" s="128"/>
      <c r="CF373" s="133"/>
      <c r="CG373" s="128"/>
      <c r="CH373" s="128"/>
      <c r="CI373" s="128"/>
      <c r="CJ373" s="128"/>
    </row>
    <row r="374" spans="1:88" x14ac:dyDescent="0.5">
      <c r="A374" s="262"/>
      <c r="B374" s="135"/>
      <c r="C374" s="1290"/>
      <c r="D374" s="1291"/>
      <c r="E374" s="906"/>
      <c r="F374" s="940"/>
      <c r="G374" s="941"/>
      <c r="H374" s="1307"/>
      <c r="I374" s="1138"/>
      <c r="J374" s="963"/>
      <c r="K374" s="154"/>
      <c r="L374" s="135"/>
      <c r="M374" s="141"/>
      <c r="N374" s="135"/>
      <c r="O374" s="142"/>
      <c r="P374" s="142"/>
      <c r="Q374" s="142"/>
      <c r="R374" s="213"/>
      <c r="S374" s="1324"/>
      <c r="T374" s="145"/>
      <c r="U374" s="146"/>
      <c r="V374" s="1292"/>
      <c r="W374" s="1293"/>
      <c r="X374" s="1294"/>
      <c r="Y374" s="1295"/>
      <c r="Z374" s="1295"/>
      <c r="AA374" s="1308"/>
      <c r="AB374" s="1308"/>
      <c r="AC374" s="150"/>
      <c r="AD374" s="1297"/>
      <c r="AE374" s="154">
        <v>20040102</v>
      </c>
      <c r="AF374" s="1298" t="s">
        <v>3423</v>
      </c>
      <c r="AG374" s="155">
        <v>4900</v>
      </c>
      <c r="AH374" s="253">
        <f t="shared" si="517"/>
        <v>343</v>
      </c>
      <c r="AI374" s="156">
        <f t="shared" si="331"/>
        <v>5243</v>
      </c>
      <c r="AJ374" s="157">
        <v>43942</v>
      </c>
      <c r="AK374" s="152" t="s">
        <v>3423</v>
      </c>
      <c r="AL374" s="152"/>
      <c r="AM374" s="152"/>
      <c r="AN374" s="134" t="s">
        <v>3792</v>
      </c>
      <c r="AO374" s="158"/>
      <c r="AP374" s="159"/>
      <c r="AQ374" s="160"/>
      <c r="AR374" s="160"/>
      <c r="AS374" s="161"/>
      <c r="AT374" s="162"/>
      <c r="AU374" s="158"/>
      <c r="AV374" s="163"/>
      <c r="AW374" s="158"/>
      <c r="AX374" s="158"/>
      <c r="AY374" s="158"/>
      <c r="AZ374" s="163"/>
      <c r="BA374" s="158"/>
      <c r="BB374" s="163"/>
      <c r="BC374" s="158"/>
      <c r="BD374" s="158"/>
      <c r="BE374" s="158"/>
      <c r="BF374" s="163"/>
      <c r="BG374" s="158"/>
      <c r="BH374" s="163"/>
      <c r="BI374" s="158"/>
      <c r="BJ374" s="158"/>
      <c r="BK374" s="158"/>
      <c r="BL374" s="163"/>
      <c r="BM374" s="158"/>
      <c r="BN374" s="163"/>
      <c r="BO374" s="158"/>
      <c r="BP374" s="158"/>
      <c r="BQ374" s="158"/>
      <c r="BR374" s="163"/>
      <c r="BS374" s="158"/>
      <c r="BT374" s="163"/>
      <c r="BU374" s="158"/>
      <c r="BV374" s="158"/>
      <c r="BW374" s="158"/>
      <c r="BX374" s="163"/>
      <c r="BY374" s="158"/>
      <c r="BZ374" s="163"/>
      <c r="CA374" s="158"/>
      <c r="CB374" s="158"/>
      <c r="CC374" s="158"/>
      <c r="CD374" s="163"/>
      <c r="CE374" s="158"/>
      <c r="CF374" s="163"/>
      <c r="CG374" s="158"/>
      <c r="CH374" s="158"/>
      <c r="CI374" s="158"/>
      <c r="CJ374" s="158"/>
    </row>
    <row r="375" spans="1:88" x14ac:dyDescent="0.5">
      <c r="A375" s="259">
        <v>20026497</v>
      </c>
      <c r="B375" s="104">
        <v>20020119</v>
      </c>
      <c r="C375" s="1243" t="s">
        <v>1436</v>
      </c>
      <c r="D375" s="1244" t="s">
        <v>2691</v>
      </c>
      <c r="E375" s="302">
        <v>43900</v>
      </c>
      <c r="F375" s="244"/>
      <c r="G375" s="245"/>
      <c r="H375" s="246"/>
      <c r="I375" s="247"/>
      <c r="J375" s="306"/>
      <c r="K375" s="246"/>
      <c r="L375" s="104" t="s">
        <v>3535</v>
      </c>
      <c r="M375" s="110" t="s">
        <v>1485</v>
      </c>
      <c r="N375" s="104" t="s">
        <v>51</v>
      </c>
      <c r="O375" s="111">
        <v>180000</v>
      </c>
      <c r="P375" s="111">
        <f t="shared" si="323"/>
        <v>12600</v>
      </c>
      <c r="Q375" s="111">
        <f t="shared" ref="Q375:Q384" si="518">O375+P375</f>
        <v>192600</v>
      </c>
      <c r="R375" s="212"/>
      <c r="S375" s="165"/>
      <c r="T375" s="166"/>
      <c r="U375" s="167"/>
      <c r="V375" s="1302"/>
      <c r="W375" s="1302"/>
      <c r="X375" s="231"/>
      <c r="Y375" s="1302"/>
      <c r="Z375" s="1302"/>
      <c r="AA375" s="1302"/>
      <c r="AB375" s="1302"/>
      <c r="AC375" s="231"/>
      <c r="AD375" s="1309"/>
      <c r="AE375" s="229">
        <v>20020046</v>
      </c>
      <c r="AF375" s="1249"/>
      <c r="AG375" s="230">
        <v>54000</v>
      </c>
      <c r="AH375" s="233">
        <f t="shared" si="330"/>
        <v>3780</v>
      </c>
      <c r="AI375" s="220">
        <f t="shared" ref="AI375:AI385" si="519">AG375+AH375</f>
        <v>57780</v>
      </c>
      <c r="AJ375" s="221">
        <v>43882</v>
      </c>
      <c r="AK375" s="121" t="s">
        <v>3423</v>
      </c>
      <c r="AL375" s="121"/>
      <c r="AM375" s="121"/>
      <c r="AN375" s="222" t="s">
        <v>3605</v>
      </c>
      <c r="AO375" s="128">
        <v>1</v>
      </c>
      <c r="AP375" s="129" t="s">
        <v>3536</v>
      </c>
      <c r="AQ375" s="130"/>
      <c r="AR375" s="130"/>
      <c r="AS375" s="131">
        <v>1</v>
      </c>
      <c r="AT375" s="132" t="s">
        <v>1485</v>
      </c>
      <c r="AU375" s="128"/>
      <c r="AV375" s="133"/>
      <c r="AW375" s="128"/>
      <c r="AX375" s="128"/>
      <c r="AY375" s="128"/>
      <c r="AZ375" s="133"/>
      <c r="BA375" s="128"/>
      <c r="BB375" s="133"/>
      <c r="BC375" s="128"/>
      <c r="BD375" s="128"/>
      <c r="BE375" s="128"/>
      <c r="BF375" s="133"/>
      <c r="BG375" s="128"/>
      <c r="BH375" s="133"/>
      <c r="BI375" s="128"/>
      <c r="BJ375" s="128"/>
      <c r="BK375" s="128"/>
      <c r="BL375" s="133"/>
      <c r="BM375" s="128"/>
      <c r="BN375" s="133"/>
      <c r="BO375" s="128"/>
      <c r="BP375" s="128"/>
      <c r="BQ375" s="128"/>
      <c r="BR375" s="133"/>
      <c r="BS375" s="128"/>
      <c r="BT375" s="133"/>
      <c r="BU375" s="128"/>
      <c r="BV375" s="128"/>
      <c r="BW375" s="128"/>
      <c r="BX375" s="133"/>
      <c r="BY375" s="128"/>
      <c r="BZ375" s="133"/>
      <c r="CA375" s="128"/>
      <c r="CB375" s="128"/>
      <c r="CC375" s="128"/>
      <c r="CD375" s="133"/>
      <c r="CE375" s="128"/>
      <c r="CF375" s="133"/>
      <c r="CG375" s="128"/>
      <c r="CH375" s="128"/>
      <c r="CI375" s="128"/>
      <c r="CJ375" s="128"/>
    </row>
    <row r="376" spans="1:88" x14ac:dyDescent="0.5">
      <c r="A376" s="268"/>
      <c r="B376" s="181"/>
      <c r="C376" s="1236"/>
      <c r="D376" s="1237"/>
      <c r="E376" s="749"/>
      <c r="F376" s="287"/>
      <c r="G376" s="288"/>
      <c r="H376" s="289"/>
      <c r="I376" s="290"/>
      <c r="J376" s="832"/>
      <c r="K376" s="289"/>
      <c r="L376" s="181"/>
      <c r="M376" s="188"/>
      <c r="N376" s="181"/>
      <c r="O376" s="189"/>
      <c r="P376" s="189"/>
      <c r="Q376" s="189"/>
      <c r="R376" s="214"/>
      <c r="S376" s="191"/>
      <c r="T376" s="192"/>
      <c r="U376" s="193"/>
      <c r="V376" s="1254"/>
      <c r="W376" s="1254"/>
      <c r="X376" s="235"/>
      <c r="Y376" s="1254"/>
      <c r="Z376" s="1254"/>
      <c r="AA376" s="1254"/>
      <c r="AB376" s="1254"/>
      <c r="AC376" s="235"/>
      <c r="AD376" s="1303"/>
      <c r="AE376" s="200">
        <v>20030071</v>
      </c>
      <c r="AF376" s="1242" t="s">
        <v>3423</v>
      </c>
      <c r="AG376" s="201">
        <v>126000</v>
      </c>
      <c r="AH376" s="237">
        <f t="shared" si="330"/>
        <v>8820</v>
      </c>
      <c r="AI376" s="202">
        <f t="shared" si="519"/>
        <v>134820</v>
      </c>
      <c r="AJ376" s="203">
        <v>43943</v>
      </c>
      <c r="AK376" s="199" t="s">
        <v>3423</v>
      </c>
      <c r="AL376" s="199"/>
      <c r="AM376" s="199"/>
      <c r="AN376" s="180" t="s">
        <v>3785</v>
      </c>
      <c r="AO376" s="204"/>
      <c r="AP376" s="205"/>
      <c r="AQ376" s="206"/>
      <c r="AR376" s="206"/>
      <c r="AS376" s="207"/>
      <c r="AT376" s="208"/>
      <c r="AU376" s="204"/>
      <c r="AV376" s="210"/>
      <c r="AW376" s="204"/>
      <c r="AX376" s="204"/>
      <c r="AY376" s="204"/>
      <c r="AZ376" s="210"/>
      <c r="BA376" s="204"/>
      <c r="BB376" s="210"/>
      <c r="BC376" s="204"/>
      <c r="BD376" s="204"/>
      <c r="BE376" s="204"/>
      <c r="BF376" s="210"/>
      <c r="BG376" s="204"/>
      <c r="BH376" s="210"/>
      <c r="BI376" s="204"/>
      <c r="BJ376" s="204"/>
      <c r="BK376" s="204"/>
      <c r="BL376" s="210"/>
      <c r="BM376" s="204"/>
      <c r="BN376" s="210"/>
      <c r="BO376" s="204"/>
      <c r="BP376" s="204"/>
      <c r="BQ376" s="204"/>
      <c r="BR376" s="210"/>
      <c r="BS376" s="204"/>
      <c r="BT376" s="210"/>
      <c r="BU376" s="204"/>
      <c r="BV376" s="204"/>
      <c r="BW376" s="204"/>
      <c r="BX376" s="210"/>
      <c r="BY376" s="204"/>
      <c r="BZ376" s="210"/>
      <c r="CA376" s="204"/>
      <c r="CB376" s="204"/>
      <c r="CC376" s="204"/>
      <c r="CD376" s="210"/>
      <c r="CE376" s="204"/>
      <c r="CF376" s="210"/>
      <c r="CG376" s="204"/>
      <c r="CH376" s="204"/>
      <c r="CI376" s="204"/>
      <c r="CJ376" s="204"/>
    </row>
    <row r="377" spans="1:88" x14ac:dyDescent="0.5">
      <c r="A377" s="227">
        <v>20026496</v>
      </c>
      <c r="B377" s="22">
        <v>20020118</v>
      </c>
      <c r="C377" s="55"/>
      <c r="D377" s="56"/>
      <c r="E377" s="910"/>
      <c r="F377" s="57"/>
      <c r="G377" s="58"/>
      <c r="H377" s="59"/>
      <c r="I377" s="60"/>
      <c r="J377" s="269"/>
      <c r="K377" s="59"/>
      <c r="L377" s="22" t="s">
        <v>3168</v>
      </c>
      <c r="M377" s="28" t="s">
        <v>3530</v>
      </c>
      <c r="N377" s="22" t="s">
        <v>51</v>
      </c>
      <c r="O377" s="29">
        <v>23500</v>
      </c>
      <c r="P377" s="29">
        <f t="shared" ref="P377:P382" si="520">O377*7/100</f>
        <v>1645</v>
      </c>
      <c r="Q377" s="29">
        <f t="shared" ref="Q377:Q382" si="521">O377+P377</f>
        <v>25145</v>
      </c>
      <c r="R377" s="61"/>
      <c r="S377" s="96"/>
      <c r="T377" s="97"/>
      <c r="U377" s="98"/>
      <c r="V377" s="1225"/>
      <c r="W377" s="1225"/>
      <c r="X377" s="100"/>
      <c r="Y377" s="1225"/>
      <c r="Z377" s="1225"/>
      <c r="AA377" s="1225"/>
      <c r="AB377" s="1225"/>
      <c r="AC377" s="100"/>
      <c r="AD377" s="595"/>
      <c r="AE377" s="40">
        <v>20020038</v>
      </c>
      <c r="AF377" s="1186" t="s">
        <v>3423</v>
      </c>
      <c r="AG377" s="41">
        <v>23500</v>
      </c>
      <c r="AH377" s="63">
        <f t="shared" ref="AH377:AH382" si="522">AG377*7/100</f>
        <v>1645</v>
      </c>
      <c r="AI377" s="52">
        <f t="shared" ref="AI377:AI382" si="523">AG377+AH377</f>
        <v>25145</v>
      </c>
      <c r="AJ377" s="53">
        <v>43910</v>
      </c>
      <c r="AK377" s="39" t="s">
        <v>3423</v>
      </c>
      <c r="AL377" s="39"/>
      <c r="AM377" s="39"/>
      <c r="AN377" s="21" t="s">
        <v>3807</v>
      </c>
      <c r="AO377" s="1257">
        <v>1</v>
      </c>
      <c r="AP377" s="45" t="s">
        <v>3531</v>
      </c>
      <c r="AQ377" s="46"/>
      <c r="AR377" s="46"/>
      <c r="AS377" s="47">
        <v>1</v>
      </c>
      <c r="AT377" s="48" t="s">
        <v>628</v>
      </c>
      <c r="AU377" s="1258"/>
      <c r="AV377" s="54"/>
      <c r="AW377" s="1258"/>
      <c r="AX377" s="1258"/>
      <c r="AY377" s="1258"/>
      <c r="AZ377" s="54"/>
      <c r="BA377" s="1258"/>
      <c r="BB377" s="54"/>
      <c r="BC377" s="1258"/>
      <c r="BD377" s="1258"/>
      <c r="BE377" s="1258"/>
      <c r="BF377" s="54"/>
      <c r="BG377" s="1258"/>
      <c r="BH377" s="54"/>
      <c r="BI377" s="1258"/>
      <c r="BJ377" s="1258"/>
      <c r="BK377" s="1258"/>
      <c r="BL377" s="54"/>
      <c r="BM377" s="1258"/>
      <c r="BN377" s="54"/>
      <c r="BO377" s="1258"/>
      <c r="BP377" s="1258"/>
      <c r="BQ377" s="1258"/>
      <c r="BR377" s="54"/>
      <c r="BS377" s="1258"/>
      <c r="BT377" s="54"/>
      <c r="BU377" s="1258"/>
      <c r="BV377" s="1258"/>
      <c r="BW377" s="1258"/>
      <c r="BX377" s="54"/>
      <c r="BY377" s="1258"/>
      <c r="BZ377" s="54"/>
      <c r="CA377" s="1258"/>
      <c r="CB377" s="1258"/>
      <c r="CC377" s="1258"/>
      <c r="CD377" s="54"/>
      <c r="CE377" s="1258"/>
      <c r="CF377" s="54"/>
      <c r="CG377" s="1258"/>
      <c r="CH377" s="1258"/>
      <c r="CI377" s="1258"/>
      <c r="CJ377" s="1258"/>
    </row>
    <row r="378" spans="1:88" x14ac:dyDescent="0.5">
      <c r="A378" s="259">
        <v>20026495</v>
      </c>
      <c r="B378" s="104" t="s">
        <v>3537</v>
      </c>
      <c r="C378" s="1243" t="s">
        <v>1437</v>
      </c>
      <c r="D378" s="1244" t="s">
        <v>2691</v>
      </c>
      <c r="E378" s="302">
        <v>43915</v>
      </c>
      <c r="F378" s="936" t="s">
        <v>3368</v>
      </c>
      <c r="G378" s="937" t="s">
        <v>1363</v>
      </c>
      <c r="H378" s="302">
        <v>44005</v>
      </c>
      <c r="I378" s="1124">
        <v>63152</v>
      </c>
      <c r="J378" s="960" t="s">
        <v>3423</v>
      </c>
      <c r="K378" s="965">
        <v>44006</v>
      </c>
      <c r="L378" s="104" t="s">
        <v>3538</v>
      </c>
      <c r="M378" s="110" t="s">
        <v>3539</v>
      </c>
      <c r="N378" s="104" t="s">
        <v>52</v>
      </c>
      <c r="O378" s="111">
        <v>145000</v>
      </c>
      <c r="P378" s="111">
        <f t="shared" si="520"/>
        <v>10150</v>
      </c>
      <c r="Q378" s="111">
        <f t="shared" si="521"/>
        <v>155150</v>
      </c>
      <c r="R378" s="311">
        <v>14000</v>
      </c>
      <c r="S378" s="113" t="s">
        <v>568</v>
      </c>
      <c r="T378" s="114">
        <f t="shared" ref="T378:T382" si="524">O378-R378</f>
        <v>131000</v>
      </c>
      <c r="U378" s="115">
        <v>5</v>
      </c>
      <c r="V378" s="1252">
        <f t="shared" ref="V378:V382" si="525">T378*U378/100</f>
        <v>6550</v>
      </c>
      <c r="W378" s="1245">
        <v>56.08</v>
      </c>
      <c r="X378" s="1246">
        <f t="shared" ref="X378:X382" si="526">T378-V378</f>
        <v>124450</v>
      </c>
      <c r="Y378" s="1247">
        <f t="shared" ref="Y378" si="527">SUM((50-W378)/(100)*(2.5)+(0.5))</f>
        <v>0.34800000000000003</v>
      </c>
      <c r="Z378" s="1247">
        <f>X378*0.35/100</f>
        <v>435.57499999999999</v>
      </c>
      <c r="AA378" s="1265">
        <v>0.5</v>
      </c>
      <c r="AB378" s="1265">
        <f t="shared" ref="AB378:AB382" si="528">X378*AA378/100</f>
        <v>622.25</v>
      </c>
      <c r="AC378" s="119">
        <v>0.2</v>
      </c>
      <c r="AD378" s="1248">
        <f t="shared" ref="AD378:AD382" si="529">X378*AC378/100</f>
        <v>248.9</v>
      </c>
      <c r="AE378" s="229">
        <v>20060165</v>
      </c>
      <c r="AF378" s="1313"/>
      <c r="AG378" s="230">
        <v>43500</v>
      </c>
      <c r="AH378" s="233">
        <f t="shared" si="522"/>
        <v>3045</v>
      </c>
      <c r="AI378" s="220">
        <f t="shared" si="523"/>
        <v>46545</v>
      </c>
      <c r="AJ378" s="221">
        <v>43997</v>
      </c>
      <c r="AK378" s="121" t="s">
        <v>3423</v>
      </c>
      <c r="AL378" s="121"/>
      <c r="AM378" s="121"/>
      <c r="AN378" s="979" t="s">
        <v>3999</v>
      </c>
      <c r="AO378" s="128">
        <v>1</v>
      </c>
      <c r="AP378" s="129" t="s">
        <v>3540</v>
      </c>
      <c r="AQ378" s="130"/>
      <c r="AR378" s="130" t="s">
        <v>3423</v>
      </c>
      <c r="AS378" s="131">
        <v>1</v>
      </c>
      <c r="AT378" s="132" t="s">
        <v>634</v>
      </c>
      <c r="AU378" s="128">
        <v>2</v>
      </c>
      <c r="AV378" s="123" t="s">
        <v>772</v>
      </c>
      <c r="AW378" s="131" t="s">
        <v>3423</v>
      </c>
      <c r="AX378" s="131"/>
      <c r="AY378" s="131">
        <v>2</v>
      </c>
      <c r="AZ378" s="169" t="s">
        <v>636</v>
      </c>
      <c r="BA378" s="128">
        <v>3</v>
      </c>
      <c r="BB378" s="123" t="s">
        <v>883</v>
      </c>
      <c r="BC378" s="131"/>
      <c r="BD378" s="131" t="s">
        <v>3423</v>
      </c>
      <c r="BE378" s="131">
        <v>1</v>
      </c>
      <c r="BF378" s="169" t="s">
        <v>636</v>
      </c>
      <c r="BG378" s="128"/>
      <c r="BH378" s="133"/>
      <c r="BI378" s="128"/>
      <c r="BJ378" s="128"/>
      <c r="BK378" s="128"/>
      <c r="BL378" s="133"/>
      <c r="BM378" s="128"/>
      <c r="BN378" s="133"/>
      <c r="BO378" s="128"/>
      <c r="BP378" s="128"/>
      <c r="BQ378" s="128"/>
      <c r="BR378" s="133"/>
      <c r="BS378" s="128"/>
      <c r="BT378" s="133"/>
      <c r="BU378" s="128"/>
      <c r="BV378" s="128"/>
      <c r="BW378" s="128"/>
      <c r="BX378" s="133"/>
      <c r="BY378" s="128"/>
      <c r="BZ378" s="133"/>
      <c r="CA378" s="128"/>
      <c r="CB378" s="128"/>
      <c r="CC378" s="128"/>
      <c r="CD378" s="133"/>
      <c r="CE378" s="128"/>
      <c r="CF378" s="133"/>
      <c r="CG378" s="128"/>
      <c r="CH378" s="128"/>
      <c r="CI378" s="128"/>
      <c r="CJ378" s="128"/>
    </row>
    <row r="379" spans="1:88" x14ac:dyDescent="0.5">
      <c r="A379" s="262"/>
      <c r="B379" s="135"/>
      <c r="C379" s="1290"/>
      <c r="D379" s="1291"/>
      <c r="E379" s="906"/>
      <c r="F379" s="940"/>
      <c r="G379" s="941"/>
      <c r="H379" s="906">
        <v>44005</v>
      </c>
      <c r="I379" s="1138">
        <v>63153</v>
      </c>
      <c r="J379" s="963"/>
      <c r="K379" s="154"/>
      <c r="L379" s="135"/>
      <c r="M379" s="141"/>
      <c r="N379" s="135"/>
      <c r="O379" s="142"/>
      <c r="P379" s="142"/>
      <c r="Q379" s="142"/>
      <c r="R379" s="143"/>
      <c r="S379" s="144"/>
      <c r="T379" s="145"/>
      <c r="U379" s="146"/>
      <c r="V379" s="1292"/>
      <c r="W379" s="1293"/>
      <c r="X379" s="1294"/>
      <c r="Y379" s="1295"/>
      <c r="Z379" s="1295"/>
      <c r="AA379" s="1308"/>
      <c r="AB379" s="1308"/>
      <c r="AC379" s="150"/>
      <c r="AD379" s="1297"/>
      <c r="AE379" s="292">
        <v>20060169</v>
      </c>
      <c r="AF379" s="1413"/>
      <c r="AG379" s="293">
        <v>98000</v>
      </c>
      <c r="AH379" s="294">
        <f t="shared" si="522"/>
        <v>6860</v>
      </c>
      <c r="AI379" s="307">
        <f t="shared" si="523"/>
        <v>104860</v>
      </c>
      <c r="AJ379" s="295">
        <v>44004</v>
      </c>
      <c r="AK379" s="296" t="s">
        <v>3423</v>
      </c>
      <c r="AL379" s="296"/>
      <c r="AM379" s="296"/>
      <c r="AN379" s="1414" t="s">
        <v>3992</v>
      </c>
      <c r="AO379" s="158"/>
      <c r="AP379" s="159"/>
      <c r="AQ379" s="160"/>
      <c r="AR379" s="160"/>
      <c r="AS379" s="161"/>
      <c r="AT379" s="162"/>
      <c r="AU379" s="158"/>
      <c r="AV379" s="154"/>
      <c r="AW379" s="161"/>
      <c r="AX379" s="161"/>
      <c r="AY379" s="161"/>
      <c r="AZ379" s="177"/>
      <c r="BA379" s="158"/>
      <c r="BB379" s="154"/>
      <c r="BC379" s="161"/>
      <c r="BD379" s="161"/>
      <c r="BE379" s="161"/>
      <c r="BF379" s="177"/>
      <c r="BG379" s="158"/>
      <c r="BH379" s="163"/>
      <c r="BI379" s="158"/>
      <c r="BJ379" s="158"/>
      <c r="BK379" s="158"/>
      <c r="BL379" s="163"/>
      <c r="BM379" s="158"/>
      <c r="BN379" s="163"/>
      <c r="BO379" s="158"/>
      <c r="BP379" s="158"/>
      <c r="BQ379" s="158"/>
      <c r="BR379" s="163"/>
      <c r="BS379" s="158"/>
      <c r="BT379" s="163"/>
      <c r="BU379" s="158"/>
      <c r="BV379" s="158"/>
      <c r="BW379" s="158"/>
      <c r="BX379" s="163"/>
      <c r="BY379" s="158"/>
      <c r="BZ379" s="163"/>
      <c r="CA379" s="158"/>
      <c r="CB379" s="158"/>
      <c r="CC379" s="158"/>
      <c r="CD379" s="163"/>
      <c r="CE379" s="158"/>
      <c r="CF379" s="163"/>
      <c r="CG379" s="158"/>
      <c r="CH379" s="158"/>
      <c r="CI379" s="158"/>
      <c r="CJ379" s="158"/>
    </row>
    <row r="380" spans="1:88" x14ac:dyDescent="0.5">
      <c r="A380" s="268"/>
      <c r="B380" s="181"/>
      <c r="C380" s="1236"/>
      <c r="D380" s="1237"/>
      <c r="E380" s="749"/>
      <c r="F380" s="938"/>
      <c r="G380" s="939"/>
      <c r="H380" s="304"/>
      <c r="I380" s="1125"/>
      <c r="J380" s="961"/>
      <c r="K380" s="200"/>
      <c r="L380" s="181"/>
      <c r="M380" s="188"/>
      <c r="N380" s="181"/>
      <c r="O380" s="189"/>
      <c r="P380" s="189"/>
      <c r="Q380" s="189"/>
      <c r="R380" s="190"/>
      <c r="S380" s="215"/>
      <c r="T380" s="216"/>
      <c r="U380" s="217"/>
      <c r="V380" s="1253"/>
      <c r="W380" s="1238"/>
      <c r="X380" s="1239"/>
      <c r="Y380" s="1240"/>
      <c r="Z380" s="1240"/>
      <c r="AA380" s="1263"/>
      <c r="AB380" s="1263"/>
      <c r="AC380" s="197"/>
      <c r="AD380" s="1241"/>
      <c r="AE380" s="200">
        <v>20060170</v>
      </c>
      <c r="AF380" s="1242" t="s">
        <v>3423</v>
      </c>
      <c r="AG380" s="201">
        <v>3500</v>
      </c>
      <c r="AH380" s="237">
        <f t="shared" si="522"/>
        <v>245</v>
      </c>
      <c r="AI380" s="202">
        <f t="shared" si="523"/>
        <v>3745</v>
      </c>
      <c r="AJ380" s="203">
        <v>44004</v>
      </c>
      <c r="AK380" s="199" t="s">
        <v>3423</v>
      </c>
      <c r="AL380" s="199"/>
      <c r="AM380" s="199"/>
      <c r="AN380" s="843" t="s">
        <v>3993</v>
      </c>
      <c r="AO380" s="204"/>
      <c r="AP380" s="205"/>
      <c r="AQ380" s="206"/>
      <c r="AR380" s="206"/>
      <c r="AS380" s="207"/>
      <c r="AT380" s="208"/>
      <c r="AU380" s="204"/>
      <c r="AV380" s="200"/>
      <c r="AW380" s="207"/>
      <c r="AX380" s="207"/>
      <c r="AY380" s="207"/>
      <c r="AZ380" s="209"/>
      <c r="BA380" s="204"/>
      <c r="BB380" s="200"/>
      <c r="BC380" s="207"/>
      <c r="BD380" s="207"/>
      <c r="BE380" s="207"/>
      <c r="BF380" s="209"/>
      <c r="BG380" s="204"/>
      <c r="BH380" s="210"/>
      <c r="BI380" s="204"/>
      <c r="BJ380" s="204"/>
      <c r="BK380" s="204"/>
      <c r="BL380" s="210"/>
      <c r="BM380" s="204"/>
      <c r="BN380" s="210"/>
      <c r="BO380" s="204"/>
      <c r="BP380" s="204"/>
      <c r="BQ380" s="204"/>
      <c r="BR380" s="210"/>
      <c r="BS380" s="204"/>
      <c r="BT380" s="210"/>
      <c r="BU380" s="204"/>
      <c r="BV380" s="204"/>
      <c r="BW380" s="204"/>
      <c r="BX380" s="210"/>
      <c r="BY380" s="204"/>
      <c r="BZ380" s="210"/>
      <c r="CA380" s="204"/>
      <c r="CB380" s="204"/>
      <c r="CC380" s="204"/>
      <c r="CD380" s="210"/>
      <c r="CE380" s="204"/>
      <c r="CF380" s="210"/>
      <c r="CG380" s="204"/>
      <c r="CH380" s="204"/>
      <c r="CI380" s="204"/>
      <c r="CJ380" s="204"/>
    </row>
    <row r="381" spans="1:88" x14ac:dyDescent="0.5">
      <c r="A381" s="227">
        <v>20026494</v>
      </c>
      <c r="B381" s="22">
        <v>20020115</v>
      </c>
      <c r="C381" s="1019" t="s">
        <v>1438</v>
      </c>
      <c r="D381" s="1020" t="s">
        <v>2691</v>
      </c>
      <c r="E381" s="884">
        <v>43888</v>
      </c>
      <c r="F381" s="932" t="s">
        <v>3368</v>
      </c>
      <c r="G381" s="933" t="s">
        <v>1422</v>
      </c>
      <c r="H381" s="884">
        <v>43887</v>
      </c>
      <c r="I381" s="1021">
        <v>63056</v>
      </c>
      <c r="J381" s="931" t="s">
        <v>3423</v>
      </c>
      <c r="K381" s="957">
        <v>43888</v>
      </c>
      <c r="L381" s="22" t="s">
        <v>15</v>
      </c>
      <c r="M381" s="28" t="s">
        <v>3541</v>
      </c>
      <c r="N381" s="22" t="s">
        <v>51</v>
      </c>
      <c r="O381" s="29">
        <v>367460</v>
      </c>
      <c r="P381" s="29">
        <f t="shared" si="520"/>
        <v>25722.2</v>
      </c>
      <c r="Q381" s="29">
        <f t="shared" si="521"/>
        <v>393182.2</v>
      </c>
      <c r="R381" s="61"/>
      <c r="S381" s="96"/>
      <c r="T381" s="97"/>
      <c r="U381" s="98"/>
      <c r="V381" s="1225"/>
      <c r="W381" s="1225"/>
      <c r="X381" s="100"/>
      <c r="Y381" s="1225"/>
      <c r="Z381" s="1225"/>
      <c r="AA381" s="1225"/>
      <c r="AB381" s="1225"/>
      <c r="AC381" s="100"/>
      <c r="AD381" s="595"/>
      <c r="AE381" s="40">
        <v>20020052</v>
      </c>
      <c r="AF381" s="1186" t="s">
        <v>3423</v>
      </c>
      <c r="AG381" s="41">
        <v>367460</v>
      </c>
      <c r="AH381" s="63">
        <f t="shared" si="522"/>
        <v>25722.2</v>
      </c>
      <c r="AI381" s="52">
        <f t="shared" si="523"/>
        <v>393182.2</v>
      </c>
      <c r="AJ381" s="53">
        <v>43934</v>
      </c>
      <c r="AK381" s="39" t="s">
        <v>3423</v>
      </c>
      <c r="AL381" s="39"/>
      <c r="AM381" s="39"/>
      <c r="AN381" s="21" t="s">
        <v>3800</v>
      </c>
      <c r="AO381" s="1257">
        <v>1</v>
      </c>
      <c r="AP381" s="45" t="s">
        <v>3542</v>
      </c>
      <c r="AQ381" s="46"/>
      <c r="AR381" s="46" t="s">
        <v>3423</v>
      </c>
      <c r="AS381" s="47">
        <v>2</v>
      </c>
      <c r="AT381" s="48" t="s">
        <v>635</v>
      </c>
      <c r="AU381" s="1260"/>
      <c r="AV381" s="54"/>
      <c r="AW381" s="1260"/>
      <c r="AX381" s="1260"/>
      <c r="AY381" s="1260"/>
      <c r="AZ381" s="54"/>
      <c r="BA381" s="1260"/>
      <c r="BB381" s="54"/>
      <c r="BC381" s="1260"/>
      <c r="BD381" s="1260"/>
      <c r="BE381" s="1260"/>
      <c r="BF381" s="54"/>
      <c r="BG381" s="1260"/>
      <c r="BH381" s="54"/>
      <c r="BI381" s="1260"/>
      <c r="BJ381" s="1260"/>
      <c r="BK381" s="1260"/>
      <c r="BL381" s="54"/>
      <c r="BM381" s="1260"/>
      <c r="BN381" s="54"/>
      <c r="BO381" s="1260"/>
      <c r="BP381" s="1260"/>
      <c r="BQ381" s="1260"/>
      <c r="BR381" s="54"/>
      <c r="BS381" s="1260"/>
      <c r="BT381" s="54"/>
      <c r="BU381" s="1260"/>
      <c r="BV381" s="1260"/>
      <c r="BW381" s="1260"/>
      <c r="BX381" s="54"/>
      <c r="BY381" s="1260"/>
      <c r="BZ381" s="54"/>
      <c r="CA381" s="1260"/>
      <c r="CB381" s="1260"/>
      <c r="CC381" s="1260"/>
      <c r="CD381" s="54"/>
      <c r="CE381" s="1260"/>
      <c r="CF381" s="54"/>
      <c r="CG381" s="1260"/>
      <c r="CH381" s="1260"/>
      <c r="CI381" s="1260"/>
      <c r="CJ381" s="1260"/>
    </row>
    <row r="382" spans="1:88" s="95" customFormat="1" x14ac:dyDescent="0.5">
      <c r="A382" s="65">
        <v>20026493</v>
      </c>
      <c r="B382" s="66">
        <v>20020114</v>
      </c>
      <c r="C382" s="327" t="s">
        <v>1439</v>
      </c>
      <c r="D382" s="328" t="s">
        <v>2691</v>
      </c>
      <c r="E382" s="905">
        <v>43971</v>
      </c>
      <c r="F382" s="934"/>
      <c r="G382" s="935"/>
      <c r="H382" s="326"/>
      <c r="I382" s="331"/>
      <c r="J382" s="958"/>
      <c r="K382" s="84"/>
      <c r="L382" s="66" t="s">
        <v>3544</v>
      </c>
      <c r="M382" s="72" t="s">
        <v>3543</v>
      </c>
      <c r="N382" s="66" t="s">
        <v>1523</v>
      </c>
      <c r="O382" s="73">
        <v>354000</v>
      </c>
      <c r="P382" s="73">
        <f t="shared" si="520"/>
        <v>24780</v>
      </c>
      <c r="Q382" s="73">
        <f t="shared" si="521"/>
        <v>378780</v>
      </c>
      <c r="R382" s="318"/>
      <c r="S382" s="1424" t="s">
        <v>3643</v>
      </c>
      <c r="T382" s="76">
        <f t="shared" si="524"/>
        <v>354000</v>
      </c>
      <c r="U382" s="77">
        <v>5</v>
      </c>
      <c r="V382" s="1370">
        <f t="shared" si="525"/>
        <v>17700</v>
      </c>
      <c r="W382" s="1420">
        <v>56.92</v>
      </c>
      <c r="X382" s="1421">
        <f t="shared" si="526"/>
        <v>336300</v>
      </c>
      <c r="Y382" s="1422">
        <f t="shared" ref="Y382" si="530">SUM((50-W382)/(100)*(2.5)+(0.5))</f>
        <v>0.32699999999999996</v>
      </c>
      <c r="Z382" s="1422">
        <f>336300*0.33/100</f>
        <v>1109.79</v>
      </c>
      <c r="AA382" s="1425">
        <v>0.5</v>
      </c>
      <c r="AB382" s="1425">
        <f t="shared" si="528"/>
        <v>1681.5</v>
      </c>
      <c r="AC382" s="81">
        <v>0.2</v>
      </c>
      <c r="AD382" s="1423">
        <f t="shared" si="529"/>
        <v>672.6</v>
      </c>
      <c r="AE382" s="84"/>
      <c r="AF382" s="1323"/>
      <c r="AG382" s="85"/>
      <c r="AH382" s="590">
        <f t="shared" si="522"/>
        <v>0</v>
      </c>
      <c r="AI382" s="908">
        <f t="shared" si="523"/>
        <v>0</v>
      </c>
      <c r="AJ382" s="87"/>
      <c r="AK382" s="83"/>
      <c r="AL382" s="83"/>
      <c r="AM382" s="83"/>
      <c r="AN382" s="65"/>
      <c r="AO382" s="88">
        <v>1</v>
      </c>
      <c r="AP382" s="89" t="s">
        <v>3545</v>
      </c>
      <c r="AQ382" s="90"/>
      <c r="AR382" s="90" t="s">
        <v>3423</v>
      </c>
      <c r="AS382" s="91">
        <v>2</v>
      </c>
      <c r="AT382" s="92" t="s">
        <v>634</v>
      </c>
      <c r="AU382" s="88">
        <v>2</v>
      </c>
      <c r="AV382" s="84" t="s">
        <v>3546</v>
      </c>
      <c r="AW382" s="91" t="s">
        <v>3423</v>
      </c>
      <c r="AX382" s="91"/>
      <c r="AY382" s="91">
        <v>3</v>
      </c>
      <c r="AZ382" s="93" t="s">
        <v>636</v>
      </c>
      <c r="BA382" s="88"/>
      <c r="BB382" s="94"/>
      <c r="BC382" s="88"/>
      <c r="BD382" s="88"/>
      <c r="BE382" s="88"/>
      <c r="BF382" s="94"/>
      <c r="BG382" s="88"/>
      <c r="BH382" s="94"/>
      <c r="BI382" s="88"/>
      <c r="BJ382" s="88"/>
      <c r="BK382" s="88"/>
      <c r="BL382" s="94"/>
      <c r="BM382" s="88"/>
      <c r="BN382" s="94"/>
      <c r="BO382" s="88"/>
      <c r="BP382" s="88"/>
      <c r="BQ382" s="88"/>
      <c r="BR382" s="94"/>
      <c r="BS382" s="88"/>
      <c r="BT382" s="94"/>
      <c r="BU382" s="88"/>
      <c r="BV382" s="88"/>
      <c r="BW382" s="88"/>
      <c r="BX382" s="94"/>
      <c r="BY382" s="88"/>
      <c r="BZ382" s="94"/>
      <c r="CA382" s="88"/>
      <c r="CB382" s="88"/>
      <c r="CC382" s="88"/>
      <c r="CD382" s="94"/>
      <c r="CE382" s="88"/>
      <c r="CF382" s="94"/>
      <c r="CG382" s="88"/>
      <c r="CH382" s="88"/>
      <c r="CI382" s="88"/>
      <c r="CJ382" s="88"/>
    </row>
    <row r="383" spans="1:88" x14ac:dyDescent="0.5">
      <c r="A383" s="21">
        <v>20026492</v>
      </c>
      <c r="B383" s="22">
        <v>20020113</v>
      </c>
      <c r="C383" s="1019" t="s">
        <v>1440</v>
      </c>
      <c r="D383" s="1020" t="s">
        <v>2691</v>
      </c>
      <c r="E383" s="884">
        <v>43941</v>
      </c>
      <c r="F383" s="932"/>
      <c r="G383" s="933"/>
      <c r="H383" s="831"/>
      <c r="I383" s="1021"/>
      <c r="J383" s="931"/>
      <c r="K383" s="40"/>
      <c r="L383" s="22" t="s">
        <v>3544</v>
      </c>
      <c r="M383" s="28" t="s">
        <v>3547</v>
      </c>
      <c r="N383" s="22" t="s">
        <v>1523</v>
      </c>
      <c r="O383" s="29">
        <v>261682.24</v>
      </c>
      <c r="P383" s="29">
        <f t="shared" si="323"/>
        <v>18317.756799999999</v>
      </c>
      <c r="Q383" s="29">
        <f t="shared" si="518"/>
        <v>279999.99679999996</v>
      </c>
      <c r="R383" s="61"/>
      <c r="S383" s="1301" t="s">
        <v>3643</v>
      </c>
      <c r="T383" s="32">
        <f t="shared" ref="T383:T384" si="531">O383-R383</f>
        <v>261682.24</v>
      </c>
      <c r="U383" s="33">
        <v>5</v>
      </c>
      <c r="V383" s="1251">
        <f t="shared" ref="V383:V384" si="532">T383*U383/100</f>
        <v>13084.111999999999</v>
      </c>
      <c r="W383" s="1231">
        <v>57.08</v>
      </c>
      <c r="X383" s="1184">
        <f t="shared" ref="X383:X384" si="533">T383-V383</f>
        <v>248598.128</v>
      </c>
      <c r="Y383" s="1223">
        <f t="shared" ref="Y383:Y384" si="534">SUM((50-W383)/(100)*(2.5)+(0.5))</f>
        <v>0.32300000000000006</v>
      </c>
      <c r="Z383" s="1223">
        <f>248598.13*0.32/100</f>
        <v>795.51401599999997</v>
      </c>
      <c r="AA383" s="1228">
        <v>0.5</v>
      </c>
      <c r="AB383" s="1228">
        <f t="shared" ref="AB383:AB384" si="535">X383*AA383/100</f>
        <v>1242.99064</v>
      </c>
      <c r="AC383" s="37">
        <v>0.2</v>
      </c>
      <c r="AD383" s="1234">
        <f t="shared" ref="AD383:AD384" si="536">X383*AC383/100</f>
        <v>497.19625600000001</v>
      </c>
      <c r="AE383" s="40"/>
      <c r="AF383" s="1186"/>
      <c r="AG383" s="41"/>
      <c r="AH383" s="63">
        <f t="shared" si="330"/>
        <v>0</v>
      </c>
      <c r="AI383" s="52">
        <f t="shared" si="519"/>
        <v>0</v>
      </c>
      <c r="AJ383" s="43"/>
      <c r="AK383" s="39"/>
      <c r="AL383" s="39"/>
      <c r="AM383" s="39"/>
      <c r="AN383" s="21"/>
      <c r="AO383" s="1255">
        <v>1</v>
      </c>
      <c r="AP383" s="45" t="s">
        <v>3548</v>
      </c>
      <c r="AQ383" s="46"/>
      <c r="AR383" s="46" t="s">
        <v>3423</v>
      </c>
      <c r="AS383" s="47">
        <v>1</v>
      </c>
      <c r="AT383" s="48" t="s">
        <v>634</v>
      </c>
      <c r="AU383" s="1255">
        <v>2</v>
      </c>
      <c r="AV383" s="40" t="s">
        <v>3549</v>
      </c>
      <c r="AW383" s="47"/>
      <c r="AX383" s="47" t="s">
        <v>3423</v>
      </c>
      <c r="AY383" s="47">
        <v>1</v>
      </c>
      <c r="AZ383" s="49" t="s">
        <v>634</v>
      </c>
      <c r="BA383" s="1260"/>
      <c r="BB383" s="54"/>
      <c r="BC383" s="1260"/>
      <c r="BD383" s="1260"/>
      <c r="BE383" s="1260"/>
      <c r="BF383" s="54"/>
      <c r="BG383" s="1260"/>
      <c r="BH383" s="54"/>
      <c r="BI383" s="1260"/>
      <c r="BJ383" s="1260"/>
      <c r="BK383" s="1260"/>
      <c r="BL383" s="54"/>
      <c r="BM383" s="1260"/>
      <c r="BN383" s="54"/>
      <c r="BO383" s="1260"/>
      <c r="BP383" s="1260"/>
      <c r="BQ383" s="1260"/>
      <c r="BR383" s="54"/>
      <c r="BS383" s="1260"/>
      <c r="BT383" s="54"/>
      <c r="BU383" s="1260"/>
      <c r="BV383" s="1260"/>
      <c r="BW383" s="1260"/>
      <c r="BX383" s="54"/>
      <c r="BY383" s="1260"/>
      <c r="BZ383" s="54"/>
      <c r="CA383" s="1260"/>
      <c r="CB383" s="1260"/>
      <c r="CC383" s="1260"/>
      <c r="CD383" s="54"/>
      <c r="CE383" s="1260"/>
      <c r="CF383" s="54"/>
      <c r="CG383" s="1260"/>
      <c r="CH383" s="1260"/>
      <c r="CI383" s="1260"/>
      <c r="CJ383" s="1260"/>
    </row>
    <row r="384" spans="1:88" x14ac:dyDescent="0.5">
      <c r="A384" s="103">
        <v>20026491</v>
      </c>
      <c r="B384" s="104" t="s">
        <v>3518</v>
      </c>
      <c r="C384" s="1243" t="s">
        <v>1441</v>
      </c>
      <c r="D384" s="1244" t="s">
        <v>2691</v>
      </c>
      <c r="E384" s="302">
        <v>43910</v>
      </c>
      <c r="F384" s="936"/>
      <c r="G384" s="937"/>
      <c r="H384" s="1264"/>
      <c r="I384" s="1124"/>
      <c r="J384" s="960"/>
      <c r="K384" s="123"/>
      <c r="L384" s="104" t="s">
        <v>3519</v>
      </c>
      <c r="M384" s="110" t="s">
        <v>3520</v>
      </c>
      <c r="N384" s="104" t="s">
        <v>52</v>
      </c>
      <c r="O384" s="111">
        <v>90150</v>
      </c>
      <c r="P384" s="111">
        <f t="shared" si="323"/>
        <v>6310.5</v>
      </c>
      <c r="Q384" s="111">
        <f t="shared" si="518"/>
        <v>96460.5</v>
      </c>
      <c r="R384" s="311">
        <v>7000</v>
      </c>
      <c r="S384" s="113" t="s">
        <v>568</v>
      </c>
      <c r="T384" s="114">
        <f t="shared" si="531"/>
        <v>83150</v>
      </c>
      <c r="U384" s="115">
        <v>5</v>
      </c>
      <c r="V384" s="1252">
        <f t="shared" si="532"/>
        <v>4157.5</v>
      </c>
      <c r="W384" s="1245">
        <v>56.35</v>
      </c>
      <c r="X384" s="1246">
        <f t="shared" si="533"/>
        <v>78992.5</v>
      </c>
      <c r="Y384" s="1247">
        <f t="shared" si="534"/>
        <v>0.34124999999999994</v>
      </c>
      <c r="Z384" s="1247">
        <f>78992.5*0.34%</f>
        <v>268.5745</v>
      </c>
      <c r="AA384" s="1265">
        <v>0.5</v>
      </c>
      <c r="AB384" s="1265">
        <f t="shared" si="535"/>
        <v>394.96249999999998</v>
      </c>
      <c r="AC384" s="119">
        <v>0.2</v>
      </c>
      <c r="AD384" s="1248">
        <f t="shared" si="536"/>
        <v>157.98500000000001</v>
      </c>
      <c r="AE384" s="229">
        <v>20020053</v>
      </c>
      <c r="AF384" s="1249" t="s">
        <v>3423</v>
      </c>
      <c r="AG384" s="230">
        <v>27045</v>
      </c>
      <c r="AH384" s="233">
        <f t="shared" si="330"/>
        <v>1893.15</v>
      </c>
      <c r="AI384" s="220">
        <f t="shared" si="519"/>
        <v>28938.15</v>
      </c>
      <c r="AJ384" s="221">
        <v>43889</v>
      </c>
      <c r="AK384" s="121"/>
      <c r="AL384" s="121" t="s">
        <v>3423</v>
      </c>
      <c r="AM384" s="121"/>
      <c r="AN384" s="222" t="s">
        <v>3607</v>
      </c>
      <c r="AO384" s="128">
        <v>1</v>
      </c>
      <c r="AP384" s="129" t="s">
        <v>3521</v>
      </c>
      <c r="AQ384" s="130"/>
      <c r="AR384" s="130" t="s">
        <v>3423</v>
      </c>
      <c r="AS384" s="131">
        <v>1</v>
      </c>
      <c r="AT384" s="132" t="s">
        <v>634</v>
      </c>
      <c r="AU384" s="128">
        <v>2</v>
      </c>
      <c r="AV384" s="123" t="s">
        <v>600</v>
      </c>
      <c r="AW384" s="131"/>
      <c r="AX384" s="131" t="s">
        <v>3423</v>
      </c>
      <c r="AY384" s="131">
        <v>1</v>
      </c>
      <c r="AZ384" s="169" t="s">
        <v>636</v>
      </c>
      <c r="BA384" s="128"/>
      <c r="BB384" s="133"/>
      <c r="BC384" s="128"/>
      <c r="BD384" s="128"/>
      <c r="BE384" s="128"/>
      <c r="BF384" s="133"/>
      <c r="BG384" s="128"/>
      <c r="BH384" s="133"/>
      <c r="BI384" s="128"/>
      <c r="BJ384" s="128"/>
      <c r="BK384" s="128"/>
      <c r="BL384" s="133"/>
      <c r="BM384" s="128"/>
      <c r="BN384" s="133"/>
      <c r="BO384" s="128"/>
      <c r="BP384" s="128"/>
      <c r="BQ384" s="128"/>
      <c r="BR384" s="133"/>
      <c r="BS384" s="128"/>
      <c r="BT384" s="133"/>
      <c r="BU384" s="128"/>
      <c r="BV384" s="128"/>
      <c r="BW384" s="128"/>
      <c r="BX384" s="133"/>
      <c r="BY384" s="128"/>
      <c r="BZ384" s="133"/>
      <c r="CA384" s="128"/>
      <c r="CB384" s="128"/>
      <c r="CC384" s="128"/>
      <c r="CD384" s="133"/>
      <c r="CE384" s="128"/>
      <c r="CF384" s="133"/>
      <c r="CG384" s="128"/>
      <c r="CH384" s="128"/>
      <c r="CI384" s="128"/>
      <c r="CJ384" s="128"/>
    </row>
    <row r="385" spans="1:88" x14ac:dyDescent="0.5">
      <c r="A385" s="180"/>
      <c r="B385" s="181"/>
      <c r="C385" s="1236"/>
      <c r="D385" s="1237"/>
      <c r="E385" s="749"/>
      <c r="F385" s="938"/>
      <c r="G385" s="939"/>
      <c r="H385" s="304"/>
      <c r="I385" s="1125"/>
      <c r="J385" s="961"/>
      <c r="K385" s="200"/>
      <c r="L385" s="181"/>
      <c r="M385" s="188"/>
      <c r="N385" s="181"/>
      <c r="O385" s="189"/>
      <c r="P385" s="189"/>
      <c r="Q385" s="189"/>
      <c r="R385" s="190"/>
      <c r="S385" s="215"/>
      <c r="T385" s="216"/>
      <c r="U385" s="217"/>
      <c r="V385" s="1253"/>
      <c r="W385" s="1238"/>
      <c r="X385" s="1239"/>
      <c r="Y385" s="1240"/>
      <c r="Z385" s="1240"/>
      <c r="AA385" s="1263"/>
      <c r="AB385" s="1263"/>
      <c r="AC385" s="197"/>
      <c r="AD385" s="1241"/>
      <c r="AE385" s="200">
        <v>20020054</v>
      </c>
      <c r="AF385" s="1242"/>
      <c r="AG385" s="201">
        <v>63105</v>
      </c>
      <c r="AH385" s="237">
        <f t="shared" si="330"/>
        <v>4417.3500000000004</v>
      </c>
      <c r="AI385" s="202">
        <f t="shared" si="519"/>
        <v>67522.350000000006</v>
      </c>
      <c r="AJ385" s="203">
        <v>43892</v>
      </c>
      <c r="AK385" s="199"/>
      <c r="AL385" s="199"/>
      <c r="AM385" s="199" t="s">
        <v>3423</v>
      </c>
      <c r="AN385" s="180"/>
      <c r="AO385" s="204"/>
      <c r="AP385" s="205"/>
      <c r="AQ385" s="206"/>
      <c r="AR385" s="206"/>
      <c r="AS385" s="207"/>
      <c r="AT385" s="208"/>
      <c r="AU385" s="204"/>
      <c r="AV385" s="200"/>
      <c r="AW385" s="207"/>
      <c r="AX385" s="207"/>
      <c r="AY385" s="207"/>
      <c r="AZ385" s="209"/>
      <c r="BA385" s="204"/>
      <c r="BB385" s="210"/>
      <c r="BC385" s="204"/>
      <c r="BD385" s="204"/>
      <c r="BE385" s="204"/>
      <c r="BF385" s="210"/>
      <c r="BG385" s="204"/>
      <c r="BH385" s="210"/>
      <c r="BI385" s="204"/>
      <c r="BJ385" s="204"/>
      <c r="BK385" s="204"/>
      <c r="BL385" s="210"/>
      <c r="BM385" s="204"/>
      <c r="BN385" s="210"/>
      <c r="BO385" s="204"/>
      <c r="BP385" s="204"/>
      <c r="BQ385" s="204"/>
      <c r="BR385" s="210"/>
      <c r="BS385" s="204"/>
      <c r="BT385" s="210"/>
      <c r="BU385" s="204"/>
      <c r="BV385" s="204"/>
      <c r="BW385" s="204"/>
      <c r="BX385" s="210"/>
      <c r="BY385" s="204"/>
      <c r="BZ385" s="210"/>
      <c r="CA385" s="204"/>
      <c r="CB385" s="204"/>
      <c r="CC385" s="204"/>
      <c r="CD385" s="210"/>
      <c r="CE385" s="204"/>
      <c r="CF385" s="210"/>
      <c r="CG385" s="204"/>
      <c r="CH385" s="204"/>
      <c r="CI385" s="204"/>
      <c r="CJ385" s="204"/>
    </row>
    <row r="386" spans="1:88" x14ac:dyDescent="0.5">
      <c r="A386" s="227">
        <v>20026490</v>
      </c>
      <c r="B386" s="22">
        <v>20020110</v>
      </c>
      <c r="C386" s="1019" t="s">
        <v>1443</v>
      </c>
      <c r="D386" s="1020" t="s">
        <v>2691</v>
      </c>
      <c r="E386" s="884">
        <v>43885</v>
      </c>
      <c r="F386" s="932" t="s">
        <v>3368</v>
      </c>
      <c r="G386" s="933" t="s">
        <v>2151</v>
      </c>
      <c r="H386" s="884">
        <v>44019</v>
      </c>
      <c r="I386" s="1021">
        <v>63170</v>
      </c>
      <c r="J386" s="931" t="s">
        <v>3423</v>
      </c>
      <c r="K386" s="957">
        <v>44020</v>
      </c>
      <c r="L386" s="22" t="s">
        <v>15</v>
      </c>
      <c r="M386" s="28" t="s">
        <v>1702</v>
      </c>
      <c r="N386" s="22" t="s">
        <v>51</v>
      </c>
      <c r="O386" s="29">
        <v>56700</v>
      </c>
      <c r="P386" s="29">
        <f t="shared" si="323"/>
        <v>3969</v>
      </c>
      <c r="Q386" s="29">
        <f t="shared" si="324"/>
        <v>60669</v>
      </c>
      <c r="R386" s="61"/>
      <c r="S386" s="96"/>
      <c r="T386" s="97"/>
      <c r="U386" s="98"/>
      <c r="V386" s="1225"/>
      <c r="W386" s="1225"/>
      <c r="X386" s="100"/>
      <c r="Y386" s="1225"/>
      <c r="Z386" s="1225"/>
      <c r="AA386" s="1225"/>
      <c r="AB386" s="1225"/>
      <c r="AC386" s="100"/>
      <c r="AD386" s="595"/>
      <c r="AE386" s="40">
        <v>20070193</v>
      </c>
      <c r="AF386" s="1186" t="s">
        <v>3423</v>
      </c>
      <c r="AG386" s="41">
        <v>56700</v>
      </c>
      <c r="AH386" s="63">
        <f t="shared" si="330"/>
        <v>3969</v>
      </c>
      <c r="AI386" s="52">
        <f t="shared" si="331"/>
        <v>60669</v>
      </c>
      <c r="AJ386" s="53">
        <v>44070</v>
      </c>
      <c r="AK386" s="39" t="s">
        <v>3423</v>
      </c>
      <c r="AL386" s="39"/>
      <c r="AM386" s="39"/>
      <c r="AN386" s="21" t="s">
        <v>4334</v>
      </c>
      <c r="AO386" s="1255">
        <v>1</v>
      </c>
      <c r="AP386" s="45" t="s">
        <v>3522</v>
      </c>
      <c r="AQ386" s="46" t="s">
        <v>3423</v>
      </c>
      <c r="AR386" s="46"/>
      <c r="AS386" s="47">
        <v>1</v>
      </c>
      <c r="AT386" s="48" t="s">
        <v>635</v>
      </c>
      <c r="AU386" s="1257"/>
      <c r="AV386" s="54"/>
      <c r="AW386" s="1257"/>
      <c r="AX386" s="1257"/>
      <c r="AY386" s="1257"/>
      <c r="AZ386" s="54"/>
      <c r="BA386" s="1257"/>
      <c r="BB386" s="54"/>
      <c r="BC386" s="1257"/>
      <c r="BD386" s="1257"/>
      <c r="BE386" s="1257"/>
      <c r="BF386" s="54"/>
      <c r="BG386" s="1257"/>
      <c r="BH386" s="54"/>
      <c r="BI386" s="1257"/>
      <c r="BJ386" s="1257"/>
      <c r="BK386" s="1257"/>
      <c r="BL386" s="54"/>
      <c r="BM386" s="1257"/>
      <c r="BN386" s="54"/>
      <c r="BO386" s="1257"/>
      <c r="BP386" s="1257"/>
      <c r="BQ386" s="1257"/>
      <c r="BR386" s="54"/>
      <c r="BS386" s="1257"/>
      <c r="BT386" s="54"/>
      <c r="BU386" s="1257"/>
      <c r="BV386" s="1257"/>
      <c r="BW386" s="1257"/>
      <c r="BX386" s="54"/>
      <c r="BY386" s="1257"/>
      <c r="BZ386" s="54"/>
      <c r="CA386" s="1257"/>
      <c r="CB386" s="1257"/>
      <c r="CC386" s="1257"/>
      <c r="CD386" s="54"/>
      <c r="CE386" s="1257"/>
      <c r="CF386" s="54"/>
      <c r="CG386" s="1257"/>
      <c r="CH386" s="1257"/>
      <c r="CI386" s="1257"/>
      <c r="CJ386" s="1257"/>
    </row>
    <row r="387" spans="1:88" x14ac:dyDescent="0.5">
      <c r="A387" s="227">
        <v>20026489</v>
      </c>
      <c r="B387" s="22">
        <v>20020103</v>
      </c>
      <c r="C387" s="1019" t="s">
        <v>1442</v>
      </c>
      <c r="D387" s="1020" t="s">
        <v>2691</v>
      </c>
      <c r="E387" s="884">
        <v>43882</v>
      </c>
      <c r="F387" s="932" t="s">
        <v>3368</v>
      </c>
      <c r="G387" s="933" t="s">
        <v>1429</v>
      </c>
      <c r="H387" s="884">
        <v>43881</v>
      </c>
      <c r="I387" s="1021">
        <v>63053</v>
      </c>
      <c r="J387" s="931" t="s">
        <v>3423</v>
      </c>
      <c r="K387" s="957">
        <v>43882</v>
      </c>
      <c r="L387" s="22" t="s">
        <v>15</v>
      </c>
      <c r="M387" s="28" t="s">
        <v>3523</v>
      </c>
      <c r="N387" s="22" t="s">
        <v>51</v>
      </c>
      <c r="O387" s="29">
        <v>125000</v>
      </c>
      <c r="P387" s="29">
        <f t="shared" ref="P387:P399" si="537">O387*7/100</f>
        <v>8750</v>
      </c>
      <c r="Q387" s="29">
        <f t="shared" ref="Q387:Q399" si="538">O387+P387</f>
        <v>133750</v>
      </c>
      <c r="R387" s="61"/>
      <c r="S387" s="96"/>
      <c r="T387" s="97"/>
      <c r="U387" s="98"/>
      <c r="V387" s="1225"/>
      <c r="W387" s="1225"/>
      <c r="X387" s="100"/>
      <c r="Y387" s="1225"/>
      <c r="Z387" s="1225"/>
      <c r="AA387" s="1225"/>
      <c r="AB387" s="1225"/>
      <c r="AC387" s="100"/>
      <c r="AD387" s="595"/>
      <c r="AE387" s="40">
        <v>20020039</v>
      </c>
      <c r="AF387" s="1186" t="s">
        <v>3423</v>
      </c>
      <c r="AG387" s="41">
        <v>125000</v>
      </c>
      <c r="AH387" s="63">
        <f t="shared" ref="AH387:AH399" si="539">AG387*7/100</f>
        <v>8750</v>
      </c>
      <c r="AI387" s="52">
        <f t="shared" ref="AI387:AI399" si="540">AG387+AH387</f>
        <v>133750</v>
      </c>
      <c r="AJ387" s="53">
        <v>43925</v>
      </c>
      <c r="AK387" s="39" t="s">
        <v>3423</v>
      </c>
      <c r="AL387" s="39"/>
      <c r="AM387" s="39"/>
      <c r="AN387" s="21" t="s">
        <v>3805</v>
      </c>
      <c r="AO387" s="1185">
        <v>1</v>
      </c>
      <c r="AP387" s="45" t="s">
        <v>3449</v>
      </c>
      <c r="AQ387" s="46"/>
      <c r="AR387" s="46" t="s">
        <v>3423</v>
      </c>
      <c r="AS387" s="47">
        <v>1</v>
      </c>
      <c r="AT387" s="48" t="s">
        <v>633</v>
      </c>
      <c r="AU387" s="1185">
        <v>2</v>
      </c>
      <c r="AV387" s="40" t="s">
        <v>2884</v>
      </c>
      <c r="AW387" s="47"/>
      <c r="AX387" s="47" t="s">
        <v>3423</v>
      </c>
      <c r="AY387" s="47">
        <v>1</v>
      </c>
      <c r="AZ387" s="49" t="s">
        <v>633</v>
      </c>
      <c r="BA387" s="1257"/>
      <c r="BB387" s="54"/>
      <c r="BC387" s="1257"/>
      <c r="BD387" s="1257"/>
      <c r="BE387" s="1257"/>
      <c r="BF387" s="54"/>
      <c r="BG387" s="1257"/>
      <c r="BH387" s="54"/>
      <c r="BI387" s="1257"/>
      <c r="BJ387" s="1257"/>
      <c r="BK387" s="1257"/>
      <c r="BL387" s="54"/>
      <c r="BM387" s="1257"/>
      <c r="BN387" s="54"/>
      <c r="BO387" s="1257"/>
      <c r="BP387" s="1257"/>
      <c r="BQ387" s="1257"/>
      <c r="BR387" s="54"/>
      <c r="BS387" s="1257"/>
      <c r="BT387" s="54"/>
      <c r="BU387" s="1257"/>
      <c r="BV387" s="1257"/>
      <c r="BW387" s="1257"/>
      <c r="BX387" s="54"/>
      <c r="BY387" s="1257"/>
      <c r="BZ387" s="54"/>
      <c r="CA387" s="1257"/>
      <c r="CB387" s="1257"/>
      <c r="CC387" s="1257"/>
      <c r="CD387" s="54"/>
      <c r="CE387" s="1257"/>
      <c r="CF387" s="54"/>
      <c r="CG387" s="1257"/>
      <c r="CH387" s="1257"/>
      <c r="CI387" s="1257"/>
      <c r="CJ387" s="1257"/>
    </row>
    <row r="388" spans="1:88" x14ac:dyDescent="0.5">
      <c r="A388" s="227">
        <v>20026488</v>
      </c>
      <c r="B388" s="22">
        <v>20020102</v>
      </c>
      <c r="C388" s="55"/>
      <c r="D388" s="56"/>
      <c r="E388" s="910"/>
      <c r="F388" s="57"/>
      <c r="G388" s="58"/>
      <c r="H388" s="59"/>
      <c r="I388" s="60"/>
      <c r="J388" s="269"/>
      <c r="K388" s="59"/>
      <c r="L388" s="22" t="s">
        <v>3255</v>
      </c>
      <c r="M388" s="28" t="s">
        <v>3256</v>
      </c>
      <c r="N388" s="22" t="s">
        <v>51</v>
      </c>
      <c r="O388" s="29">
        <v>25000</v>
      </c>
      <c r="P388" s="29">
        <f t="shared" si="537"/>
        <v>1750</v>
      </c>
      <c r="Q388" s="29">
        <f t="shared" si="538"/>
        <v>26750</v>
      </c>
      <c r="R388" s="61"/>
      <c r="S388" s="96"/>
      <c r="T388" s="97"/>
      <c r="U388" s="98"/>
      <c r="V388" s="1225"/>
      <c r="W388" s="1225"/>
      <c r="X388" s="100"/>
      <c r="Y388" s="1225"/>
      <c r="Z388" s="1225"/>
      <c r="AA388" s="1225"/>
      <c r="AB388" s="1225"/>
      <c r="AC388" s="100"/>
      <c r="AD388" s="595"/>
      <c r="AE388" s="40">
        <v>20020037</v>
      </c>
      <c r="AF388" s="1186" t="s">
        <v>3423</v>
      </c>
      <c r="AG388" s="41">
        <v>25000</v>
      </c>
      <c r="AH388" s="63">
        <f t="shared" si="539"/>
        <v>1750</v>
      </c>
      <c r="AI388" s="52">
        <f t="shared" si="540"/>
        <v>26750</v>
      </c>
      <c r="AJ388" s="53">
        <v>43910</v>
      </c>
      <c r="AK388" s="39" t="s">
        <v>3423</v>
      </c>
      <c r="AL388" s="39"/>
      <c r="AM388" s="39"/>
      <c r="AN388" s="21" t="s">
        <v>3806</v>
      </c>
      <c r="AO388" s="1220">
        <v>1</v>
      </c>
      <c r="AP388" s="45" t="s">
        <v>3524</v>
      </c>
      <c r="AQ388" s="46"/>
      <c r="AR388" s="46"/>
      <c r="AS388" s="47">
        <v>2</v>
      </c>
      <c r="AT388" s="48" t="s">
        <v>628</v>
      </c>
      <c r="AU388" s="1220">
        <v>2</v>
      </c>
      <c r="AV388" s="40" t="s">
        <v>3525</v>
      </c>
      <c r="AW388" s="47"/>
      <c r="AX388" s="47"/>
      <c r="AY388" s="47">
        <v>1</v>
      </c>
      <c r="AZ388" s="49" t="s">
        <v>628</v>
      </c>
      <c r="BA388" s="1220">
        <v>3</v>
      </c>
      <c r="BB388" s="40" t="s">
        <v>3526</v>
      </c>
      <c r="BC388" s="47"/>
      <c r="BD388" s="47"/>
      <c r="BE388" s="47">
        <v>1</v>
      </c>
      <c r="BF388" s="49" t="s">
        <v>628</v>
      </c>
      <c r="BG388" s="1257"/>
      <c r="BH388" s="54"/>
      <c r="BI388" s="1257"/>
      <c r="BJ388" s="1257"/>
      <c r="BK388" s="1257"/>
      <c r="BL388" s="54"/>
      <c r="BM388" s="1257"/>
      <c r="BN388" s="54"/>
      <c r="BO388" s="1257"/>
      <c r="BP388" s="1257"/>
      <c r="BQ388" s="1257"/>
      <c r="BR388" s="54"/>
      <c r="BS388" s="1257"/>
      <c r="BT388" s="54"/>
      <c r="BU388" s="1257"/>
      <c r="BV388" s="1257"/>
      <c r="BW388" s="1257"/>
      <c r="BX388" s="54"/>
      <c r="BY388" s="1257"/>
      <c r="BZ388" s="54"/>
      <c r="CA388" s="1257"/>
      <c r="CB388" s="1257"/>
      <c r="CC388" s="1257"/>
      <c r="CD388" s="54"/>
      <c r="CE388" s="1257"/>
      <c r="CF388" s="54"/>
      <c r="CG388" s="1257"/>
      <c r="CH388" s="1257"/>
      <c r="CI388" s="1257"/>
      <c r="CJ388" s="1257"/>
    </row>
    <row r="389" spans="1:88" x14ac:dyDescent="0.5">
      <c r="A389" s="103">
        <v>20026487</v>
      </c>
      <c r="B389" s="104">
        <v>20020099</v>
      </c>
      <c r="C389" s="242"/>
      <c r="D389" s="243"/>
      <c r="E389" s="912"/>
      <c r="F389" s="244"/>
      <c r="G389" s="245"/>
      <c r="H389" s="246"/>
      <c r="I389" s="247"/>
      <c r="J389" s="306"/>
      <c r="K389" s="246"/>
      <c r="L389" s="104" t="s">
        <v>3151</v>
      </c>
      <c r="M389" s="110" t="s">
        <v>259</v>
      </c>
      <c r="N389" s="104" t="s">
        <v>51</v>
      </c>
      <c r="O389" s="111">
        <v>21100</v>
      </c>
      <c r="P389" s="111">
        <f t="shared" si="537"/>
        <v>1477</v>
      </c>
      <c r="Q389" s="111">
        <f t="shared" si="538"/>
        <v>22577</v>
      </c>
      <c r="R389" s="212"/>
      <c r="S389" s="165"/>
      <c r="T389" s="166"/>
      <c r="U389" s="167"/>
      <c r="V389" s="1302"/>
      <c r="W389" s="1302"/>
      <c r="X389" s="231"/>
      <c r="Y389" s="1302"/>
      <c r="Z389" s="1302"/>
      <c r="AA389" s="1302"/>
      <c r="AB389" s="1302"/>
      <c r="AC389" s="231"/>
      <c r="AD389" s="1309"/>
      <c r="AE389" s="771">
        <v>20030063</v>
      </c>
      <c r="AF389" s="1409" t="s">
        <v>3423</v>
      </c>
      <c r="AG389" s="819">
        <v>21100</v>
      </c>
      <c r="AH389" s="820">
        <f t="shared" si="539"/>
        <v>1477</v>
      </c>
      <c r="AI389" s="821">
        <f t="shared" si="540"/>
        <v>22577</v>
      </c>
      <c r="AJ389" s="822">
        <v>43936</v>
      </c>
      <c r="AK389" s="775"/>
      <c r="AL389" s="775"/>
      <c r="AM389" s="775" t="s">
        <v>3423</v>
      </c>
      <c r="AN389" s="776"/>
      <c r="AO389" s="128">
        <v>1</v>
      </c>
      <c r="AP389" s="129" t="s">
        <v>3510</v>
      </c>
      <c r="AQ389" s="130"/>
      <c r="AR389" s="130"/>
      <c r="AS389" s="131">
        <v>1</v>
      </c>
      <c r="AT389" s="132" t="s">
        <v>628</v>
      </c>
      <c r="AU389" s="128">
        <v>2</v>
      </c>
      <c r="AV389" s="123" t="s">
        <v>3511</v>
      </c>
      <c r="AW389" s="131"/>
      <c r="AX389" s="131"/>
      <c r="AY389" s="131">
        <v>1</v>
      </c>
      <c r="AZ389" s="169" t="s">
        <v>628</v>
      </c>
      <c r="BA389" s="128">
        <v>3</v>
      </c>
      <c r="BB389" s="123" t="s">
        <v>3512</v>
      </c>
      <c r="BC389" s="131"/>
      <c r="BD389" s="131"/>
      <c r="BE389" s="131">
        <v>1</v>
      </c>
      <c r="BF389" s="169" t="s">
        <v>628</v>
      </c>
      <c r="BG389" s="128"/>
      <c r="BH389" s="133"/>
      <c r="BI389" s="128"/>
      <c r="BJ389" s="128"/>
      <c r="BK389" s="128"/>
      <c r="BL389" s="133"/>
      <c r="BM389" s="128"/>
      <c r="BN389" s="133"/>
      <c r="BO389" s="128"/>
      <c r="BP389" s="128"/>
      <c r="BQ389" s="128"/>
      <c r="BR389" s="133"/>
      <c r="BS389" s="128"/>
      <c r="BT389" s="133"/>
      <c r="BU389" s="128"/>
      <c r="BV389" s="128"/>
      <c r="BW389" s="128"/>
      <c r="BX389" s="133"/>
      <c r="BY389" s="128"/>
      <c r="BZ389" s="133"/>
      <c r="CA389" s="128"/>
      <c r="CB389" s="128"/>
      <c r="CC389" s="128"/>
      <c r="CD389" s="133"/>
      <c r="CE389" s="128"/>
      <c r="CF389" s="133"/>
      <c r="CG389" s="128"/>
      <c r="CH389" s="128"/>
      <c r="CI389" s="128"/>
      <c r="CJ389" s="128"/>
    </row>
    <row r="390" spans="1:88" x14ac:dyDescent="0.5">
      <c r="A390" s="180"/>
      <c r="B390" s="181"/>
      <c r="C390" s="285"/>
      <c r="D390" s="286"/>
      <c r="E390" s="913"/>
      <c r="F390" s="287"/>
      <c r="G390" s="288"/>
      <c r="H390" s="289"/>
      <c r="I390" s="290"/>
      <c r="J390" s="832"/>
      <c r="K390" s="289"/>
      <c r="L390" s="181"/>
      <c r="M390" s="188"/>
      <c r="N390" s="181"/>
      <c r="O390" s="189"/>
      <c r="P390" s="189"/>
      <c r="Q390" s="189"/>
      <c r="R390" s="214"/>
      <c r="S390" s="191"/>
      <c r="T390" s="192"/>
      <c r="U390" s="193"/>
      <c r="V390" s="1254"/>
      <c r="W390" s="1254"/>
      <c r="X390" s="235"/>
      <c r="Y390" s="1254"/>
      <c r="Z390" s="1254"/>
      <c r="AA390" s="1254"/>
      <c r="AB390" s="1254"/>
      <c r="AC390" s="235"/>
      <c r="AD390" s="1303"/>
      <c r="AE390" s="200" t="s">
        <v>4296</v>
      </c>
      <c r="AF390" s="1242" t="s">
        <v>3423</v>
      </c>
      <c r="AG390" s="201">
        <v>21100</v>
      </c>
      <c r="AH390" s="237">
        <f t="shared" si="539"/>
        <v>1477</v>
      </c>
      <c r="AI390" s="202">
        <f t="shared" si="540"/>
        <v>22577</v>
      </c>
      <c r="AJ390" s="203">
        <v>44104</v>
      </c>
      <c r="AK390" s="199"/>
      <c r="AL390" s="199"/>
      <c r="AM390" s="199" t="s">
        <v>3423</v>
      </c>
      <c r="AN390" s="180"/>
      <c r="AO390" s="204"/>
      <c r="AP390" s="205"/>
      <c r="AQ390" s="206"/>
      <c r="AR390" s="206"/>
      <c r="AS390" s="207"/>
      <c r="AT390" s="208"/>
      <c r="AU390" s="204"/>
      <c r="AV390" s="200"/>
      <c r="AW390" s="207"/>
      <c r="AX390" s="207"/>
      <c r="AY390" s="207"/>
      <c r="AZ390" s="209"/>
      <c r="BA390" s="204"/>
      <c r="BB390" s="200"/>
      <c r="BC390" s="207"/>
      <c r="BD390" s="207"/>
      <c r="BE390" s="207"/>
      <c r="BF390" s="209"/>
      <c r="BG390" s="204"/>
      <c r="BH390" s="210"/>
      <c r="BI390" s="204"/>
      <c r="BJ390" s="204"/>
      <c r="BK390" s="204"/>
      <c r="BL390" s="210"/>
      <c r="BM390" s="204"/>
      <c r="BN390" s="210"/>
      <c r="BO390" s="204"/>
      <c r="BP390" s="204"/>
      <c r="BQ390" s="204"/>
      <c r="BR390" s="210"/>
      <c r="BS390" s="204"/>
      <c r="BT390" s="210"/>
      <c r="BU390" s="204"/>
      <c r="BV390" s="204"/>
      <c r="BW390" s="204"/>
      <c r="BX390" s="210"/>
      <c r="BY390" s="204"/>
      <c r="BZ390" s="210"/>
      <c r="CA390" s="204"/>
      <c r="CB390" s="204"/>
      <c r="CC390" s="204"/>
      <c r="CD390" s="210"/>
      <c r="CE390" s="204"/>
      <c r="CF390" s="210"/>
      <c r="CG390" s="204"/>
      <c r="CH390" s="204"/>
      <c r="CI390" s="204"/>
      <c r="CJ390" s="204"/>
    </row>
    <row r="391" spans="1:88" x14ac:dyDescent="0.5">
      <c r="A391" s="227">
        <v>20026486</v>
      </c>
      <c r="B391" s="22">
        <v>20020085</v>
      </c>
      <c r="C391" s="1019" t="s">
        <v>1445</v>
      </c>
      <c r="D391" s="1020" t="s">
        <v>2691</v>
      </c>
      <c r="E391" s="884">
        <v>23059</v>
      </c>
      <c r="F391" s="932" t="s">
        <v>3368</v>
      </c>
      <c r="G391" s="933" t="s">
        <v>1426</v>
      </c>
      <c r="H391" s="884">
        <v>43878</v>
      </c>
      <c r="I391" s="1021">
        <v>63050</v>
      </c>
      <c r="J391" s="931" t="s">
        <v>3423</v>
      </c>
      <c r="K391" s="957">
        <v>43878</v>
      </c>
      <c r="L391" s="22" t="s">
        <v>20</v>
      </c>
      <c r="M391" s="28" t="s">
        <v>302</v>
      </c>
      <c r="N391" s="22" t="s">
        <v>51</v>
      </c>
      <c r="O391" s="29">
        <v>131400</v>
      </c>
      <c r="P391" s="29">
        <f t="shared" si="537"/>
        <v>9198</v>
      </c>
      <c r="Q391" s="29">
        <f t="shared" si="538"/>
        <v>140598</v>
      </c>
      <c r="R391" s="61"/>
      <c r="S391" s="96"/>
      <c r="T391" s="97"/>
      <c r="U391" s="98"/>
      <c r="V391" s="1225"/>
      <c r="W391" s="1225"/>
      <c r="X391" s="100"/>
      <c r="Y391" s="1225"/>
      <c r="Z391" s="1225"/>
      <c r="AA391" s="1225"/>
      <c r="AB391" s="1225"/>
      <c r="AC391" s="100"/>
      <c r="AD391" s="595"/>
      <c r="AE391" s="40">
        <v>20020041</v>
      </c>
      <c r="AF391" s="1186" t="s">
        <v>3423</v>
      </c>
      <c r="AG391" s="41">
        <v>131400</v>
      </c>
      <c r="AH391" s="63">
        <f t="shared" si="539"/>
        <v>9198</v>
      </c>
      <c r="AI391" s="52">
        <f t="shared" si="540"/>
        <v>140598</v>
      </c>
      <c r="AJ391" s="53">
        <v>43912</v>
      </c>
      <c r="AK391" s="39" t="s">
        <v>3423</v>
      </c>
      <c r="AL391" s="39"/>
      <c r="AM391" s="39"/>
      <c r="AN391" s="21" t="s">
        <v>3791</v>
      </c>
      <c r="AO391" s="1220">
        <v>1</v>
      </c>
      <c r="AP391" s="45" t="s">
        <v>3509</v>
      </c>
      <c r="AQ391" s="46" t="s">
        <v>3423</v>
      </c>
      <c r="AR391" s="46"/>
      <c r="AS391" s="47">
        <v>2</v>
      </c>
      <c r="AT391" s="48" t="s">
        <v>635</v>
      </c>
      <c r="AU391" s="1256"/>
      <c r="AV391" s="54"/>
      <c r="AW391" s="1256"/>
      <c r="AX391" s="1256"/>
      <c r="AY391" s="1256"/>
      <c r="AZ391" s="54"/>
      <c r="BA391" s="1256"/>
      <c r="BB391" s="54"/>
      <c r="BC391" s="1256"/>
      <c r="BD391" s="1256"/>
      <c r="BE391" s="1256"/>
      <c r="BF391" s="54"/>
      <c r="BG391" s="1256"/>
      <c r="BH391" s="54"/>
      <c r="BI391" s="1256"/>
      <c r="BJ391" s="1256"/>
      <c r="BK391" s="1256"/>
      <c r="BL391" s="54"/>
      <c r="BM391" s="1256"/>
      <c r="BN391" s="54"/>
      <c r="BO391" s="1256"/>
      <c r="BP391" s="1256"/>
      <c r="BQ391" s="1256"/>
      <c r="BR391" s="54"/>
      <c r="BS391" s="1256"/>
      <c r="BT391" s="54"/>
      <c r="BU391" s="1256"/>
      <c r="BV391" s="1256"/>
      <c r="BW391" s="1256"/>
      <c r="BX391" s="54"/>
      <c r="BY391" s="1256"/>
      <c r="BZ391" s="54"/>
      <c r="CA391" s="1256"/>
      <c r="CB391" s="1256"/>
      <c r="CC391" s="1256"/>
      <c r="CD391" s="54"/>
      <c r="CE391" s="1256"/>
      <c r="CF391" s="54"/>
      <c r="CG391" s="1256"/>
      <c r="CH391" s="1256"/>
      <c r="CI391" s="1256"/>
      <c r="CJ391" s="1256"/>
    </row>
    <row r="392" spans="1:88" x14ac:dyDescent="0.5">
      <c r="A392" s="227">
        <v>20026485</v>
      </c>
      <c r="B392" s="22">
        <v>20020070</v>
      </c>
      <c r="C392" s="55"/>
      <c r="D392" s="56"/>
      <c r="E392" s="910"/>
      <c r="F392" s="57"/>
      <c r="G392" s="58"/>
      <c r="H392" s="59"/>
      <c r="I392" s="60"/>
      <c r="J392" s="269"/>
      <c r="K392" s="59"/>
      <c r="L392" s="22" t="s">
        <v>256</v>
      </c>
      <c r="M392" s="28" t="s">
        <v>3445</v>
      </c>
      <c r="N392" s="22" t="s">
        <v>51</v>
      </c>
      <c r="O392" s="29">
        <v>74000</v>
      </c>
      <c r="P392" s="29">
        <f t="shared" si="537"/>
        <v>5180</v>
      </c>
      <c r="Q392" s="29">
        <f t="shared" si="538"/>
        <v>79180</v>
      </c>
      <c r="R392" s="61"/>
      <c r="S392" s="96"/>
      <c r="T392" s="97"/>
      <c r="U392" s="98"/>
      <c r="V392" s="1225"/>
      <c r="W392" s="1225"/>
      <c r="X392" s="100"/>
      <c r="Y392" s="1225"/>
      <c r="Z392" s="1225"/>
      <c r="AA392" s="1225"/>
      <c r="AB392" s="1225"/>
      <c r="AC392" s="100"/>
      <c r="AD392" s="595"/>
      <c r="AE392" s="40">
        <v>20020036</v>
      </c>
      <c r="AF392" s="1186" t="s">
        <v>3423</v>
      </c>
      <c r="AG392" s="41">
        <v>74000</v>
      </c>
      <c r="AH392" s="63">
        <f t="shared" si="539"/>
        <v>5180</v>
      </c>
      <c r="AI392" s="52">
        <f t="shared" si="540"/>
        <v>79180</v>
      </c>
      <c r="AJ392" s="53">
        <v>43904</v>
      </c>
      <c r="AK392" s="39" t="s">
        <v>3423</v>
      </c>
      <c r="AL392" s="39"/>
      <c r="AM392" s="39"/>
      <c r="AN392" s="21" t="s">
        <v>3811</v>
      </c>
      <c r="AO392" s="1214">
        <v>1</v>
      </c>
      <c r="AP392" s="45" t="s">
        <v>3446</v>
      </c>
      <c r="AQ392" s="46"/>
      <c r="AR392" s="46"/>
      <c r="AS392" s="47">
        <v>1</v>
      </c>
      <c r="AT392" s="48" t="s">
        <v>628</v>
      </c>
      <c r="AU392" s="1221"/>
      <c r="AV392" s="54"/>
      <c r="AW392" s="1221"/>
      <c r="AX392" s="1221"/>
      <c r="AY392" s="1221"/>
      <c r="AZ392" s="54"/>
      <c r="BA392" s="1221"/>
      <c r="BB392" s="54"/>
      <c r="BC392" s="1221"/>
      <c r="BD392" s="1221"/>
      <c r="BE392" s="1221"/>
      <c r="BF392" s="54"/>
      <c r="BG392" s="1221"/>
      <c r="BH392" s="54"/>
      <c r="BI392" s="1221"/>
      <c r="BJ392" s="1221"/>
      <c r="BK392" s="1221"/>
      <c r="BL392" s="54"/>
      <c r="BM392" s="1221"/>
      <c r="BN392" s="54"/>
      <c r="BO392" s="1221"/>
      <c r="BP392" s="1221"/>
      <c r="BQ392" s="1221"/>
      <c r="BR392" s="54"/>
      <c r="BS392" s="1221"/>
      <c r="BT392" s="54"/>
      <c r="BU392" s="1221"/>
      <c r="BV392" s="1221"/>
      <c r="BW392" s="1221"/>
      <c r="BX392" s="54"/>
      <c r="BY392" s="1221"/>
      <c r="BZ392" s="54"/>
      <c r="CA392" s="1221"/>
      <c r="CB392" s="1221"/>
      <c r="CC392" s="1221"/>
      <c r="CD392" s="54"/>
      <c r="CE392" s="1221"/>
      <c r="CF392" s="54"/>
      <c r="CG392" s="1221"/>
      <c r="CH392" s="1221"/>
      <c r="CI392" s="1221"/>
      <c r="CJ392" s="1221"/>
    </row>
    <row r="393" spans="1:88" x14ac:dyDescent="0.5">
      <c r="A393" s="21">
        <v>20026484</v>
      </c>
      <c r="B393" s="22">
        <v>20020069</v>
      </c>
      <c r="C393" s="55"/>
      <c r="D393" s="56"/>
      <c r="E393" s="910"/>
      <c r="F393" s="57"/>
      <c r="G393" s="58"/>
      <c r="H393" s="59"/>
      <c r="I393" s="60"/>
      <c r="J393" s="269"/>
      <c r="K393" s="59"/>
      <c r="L393" s="22" t="s">
        <v>167</v>
      </c>
      <c r="M393" s="28" t="s">
        <v>3447</v>
      </c>
      <c r="N393" s="22" t="s">
        <v>1523</v>
      </c>
      <c r="O393" s="29">
        <v>56900</v>
      </c>
      <c r="P393" s="29">
        <f t="shared" si="537"/>
        <v>3983</v>
      </c>
      <c r="Q393" s="29">
        <f t="shared" si="538"/>
        <v>60883</v>
      </c>
      <c r="R393" s="61"/>
      <c r="S393" s="96"/>
      <c r="T393" s="97"/>
      <c r="U393" s="98"/>
      <c r="V393" s="1225"/>
      <c r="W393" s="1225"/>
      <c r="X393" s="100">
        <f t="shared" ref="X393" si="541">T393-V393</f>
        <v>0</v>
      </c>
      <c r="Y393" s="1225"/>
      <c r="Z393" s="1225"/>
      <c r="AA393" s="1225"/>
      <c r="AB393" s="1225"/>
      <c r="AC393" s="100"/>
      <c r="AD393" s="595"/>
      <c r="AE393" s="40">
        <v>20020022</v>
      </c>
      <c r="AF393" s="1186" t="s">
        <v>3423</v>
      </c>
      <c r="AG393" s="41">
        <v>56900</v>
      </c>
      <c r="AH393" s="63">
        <f t="shared" si="539"/>
        <v>3983</v>
      </c>
      <c r="AI393" s="52">
        <f t="shared" si="540"/>
        <v>60883</v>
      </c>
      <c r="AJ393" s="53">
        <v>43901</v>
      </c>
      <c r="AK393" s="39"/>
      <c r="AL393" s="39"/>
      <c r="AM393" s="39" t="s">
        <v>3423</v>
      </c>
      <c r="AN393" s="21" t="s">
        <v>3441</v>
      </c>
      <c r="AO393" s="1214">
        <v>1</v>
      </c>
      <c r="AP393" s="45" t="s">
        <v>473</v>
      </c>
      <c r="AQ393" s="46"/>
      <c r="AR393" s="46"/>
      <c r="AS393" s="47">
        <v>3</v>
      </c>
      <c r="AT393" s="102"/>
      <c r="AU393" s="1214">
        <v>2</v>
      </c>
      <c r="AV393" s="40" t="s">
        <v>404</v>
      </c>
      <c r="AW393" s="47"/>
      <c r="AX393" s="47"/>
      <c r="AY393" s="47" t="s">
        <v>3423</v>
      </c>
      <c r="AZ393" s="59"/>
      <c r="BA393" s="1221"/>
      <c r="BB393" s="54"/>
      <c r="BC393" s="1221"/>
      <c r="BD393" s="1221"/>
      <c r="BE393" s="1221"/>
      <c r="BF393" s="54"/>
      <c r="BG393" s="1221"/>
      <c r="BH393" s="54"/>
      <c r="BI393" s="1221"/>
      <c r="BJ393" s="1221"/>
      <c r="BK393" s="1221"/>
      <c r="BL393" s="54"/>
      <c r="BM393" s="1221"/>
      <c r="BN393" s="54"/>
      <c r="BO393" s="1221"/>
      <c r="BP393" s="1221"/>
      <c r="BQ393" s="1221"/>
      <c r="BR393" s="54"/>
      <c r="BS393" s="1221"/>
      <c r="BT393" s="54"/>
      <c r="BU393" s="1221"/>
      <c r="BV393" s="1221"/>
      <c r="BW393" s="1221"/>
      <c r="BX393" s="54"/>
      <c r="BY393" s="1221"/>
      <c r="BZ393" s="54"/>
      <c r="CA393" s="1221"/>
      <c r="CB393" s="1221"/>
      <c r="CC393" s="1221"/>
      <c r="CD393" s="54"/>
      <c r="CE393" s="1221"/>
      <c r="CF393" s="54"/>
      <c r="CG393" s="1221"/>
      <c r="CH393" s="1221"/>
      <c r="CI393" s="1221"/>
      <c r="CJ393" s="1221"/>
    </row>
    <row r="394" spans="1:88" x14ac:dyDescent="0.5">
      <c r="A394" s="21">
        <v>20026483</v>
      </c>
      <c r="B394" s="22">
        <v>20020068</v>
      </c>
      <c r="C394" s="1019" t="s">
        <v>1444</v>
      </c>
      <c r="D394" s="1020" t="s">
        <v>2691</v>
      </c>
      <c r="E394" s="884">
        <v>43875</v>
      </c>
      <c r="F394" s="932" t="s">
        <v>3368</v>
      </c>
      <c r="G394" s="933" t="s">
        <v>1400</v>
      </c>
      <c r="H394" s="884">
        <v>43920</v>
      </c>
      <c r="I394" s="1021">
        <v>63088</v>
      </c>
      <c r="J394" s="931" t="s">
        <v>1205</v>
      </c>
      <c r="K394" s="957">
        <v>43920</v>
      </c>
      <c r="L394" s="22" t="s">
        <v>545</v>
      </c>
      <c r="M394" s="28" t="s">
        <v>160</v>
      </c>
      <c r="N394" s="22" t="s">
        <v>51</v>
      </c>
      <c r="O394" s="29">
        <v>92000</v>
      </c>
      <c r="P394" s="29">
        <f t="shared" si="537"/>
        <v>6440</v>
      </c>
      <c r="Q394" s="29">
        <f t="shared" si="538"/>
        <v>98440</v>
      </c>
      <c r="R394" s="61"/>
      <c r="S394" s="96"/>
      <c r="T394" s="97"/>
      <c r="U394" s="98"/>
      <c r="V394" s="1225"/>
      <c r="W394" s="1225"/>
      <c r="X394" s="100"/>
      <c r="Y394" s="1225"/>
      <c r="Z394" s="1225"/>
      <c r="AA394" s="1225"/>
      <c r="AB394" s="1225"/>
      <c r="AC394" s="100"/>
      <c r="AD394" s="595"/>
      <c r="AE394" s="40">
        <v>20030086</v>
      </c>
      <c r="AF394" s="1186" t="s">
        <v>1205</v>
      </c>
      <c r="AG394" s="41">
        <v>46000</v>
      </c>
      <c r="AH394" s="63">
        <f t="shared" si="539"/>
        <v>3220</v>
      </c>
      <c r="AI394" s="52">
        <f t="shared" si="540"/>
        <v>49220</v>
      </c>
      <c r="AJ394" s="53">
        <v>43950</v>
      </c>
      <c r="AK394" s="39" t="s">
        <v>3423</v>
      </c>
      <c r="AL394" s="39"/>
      <c r="AM394" s="39"/>
      <c r="AN394" s="21" t="s">
        <v>4037</v>
      </c>
      <c r="AO394" s="1214">
        <v>1</v>
      </c>
      <c r="AP394" s="45" t="s">
        <v>595</v>
      </c>
      <c r="AQ394" s="46"/>
      <c r="AR394" s="46" t="s">
        <v>3423</v>
      </c>
      <c r="AS394" s="47">
        <v>2</v>
      </c>
      <c r="AT394" s="48" t="s">
        <v>633</v>
      </c>
      <c r="AU394" s="1221"/>
      <c r="AV394" s="54"/>
      <c r="AW394" s="1221"/>
      <c r="AX394" s="1221"/>
      <c r="AY394" s="1221"/>
      <c r="AZ394" s="54"/>
      <c r="BA394" s="1221"/>
      <c r="BB394" s="54"/>
      <c r="BC394" s="1221"/>
      <c r="BD394" s="1221"/>
      <c r="BE394" s="1221"/>
      <c r="BF394" s="54"/>
      <c r="BG394" s="1221"/>
      <c r="BH394" s="54"/>
      <c r="BI394" s="1221"/>
      <c r="BJ394" s="1221"/>
      <c r="BK394" s="1221"/>
      <c r="BL394" s="54"/>
      <c r="BM394" s="1221"/>
      <c r="BN394" s="54"/>
      <c r="BO394" s="1221"/>
      <c r="BP394" s="1221"/>
      <c r="BQ394" s="1221"/>
      <c r="BR394" s="54"/>
      <c r="BS394" s="1221"/>
      <c r="BT394" s="54"/>
      <c r="BU394" s="1221"/>
      <c r="BV394" s="1221"/>
      <c r="BW394" s="1221"/>
      <c r="BX394" s="54"/>
      <c r="BY394" s="1221"/>
      <c r="BZ394" s="54"/>
      <c r="CA394" s="1221"/>
      <c r="CB394" s="1221"/>
      <c r="CC394" s="1221"/>
      <c r="CD394" s="54"/>
      <c r="CE394" s="1221"/>
      <c r="CF394" s="54"/>
      <c r="CG394" s="1221"/>
      <c r="CH394" s="1221"/>
      <c r="CI394" s="1221"/>
      <c r="CJ394" s="1221"/>
    </row>
    <row r="395" spans="1:88" s="1647" customFormat="1" ht="22.5" thickBot="1" x14ac:dyDescent="0.55000000000000004">
      <c r="A395" s="1614">
        <v>20026482</v>
      </c>
      <c r="B395" s="1615">
        <v>20020067</v>
      </c>
      <c r="C395" s="1616" t="s">
        <v>1446</v>
      </c>
      <c r="D395" s="1617" t="s">
        <v>2691</v>
      </c>
      <c r="E395" s="1618">
        <v>43875</v>
      </c>
      <c r="F395" s="1619" t="s">
        <v>3368</v>
      </c>
      <c r="G395" s="1620" t="s">
        <v>1427</v>
      </c>
      <c r="H395" s="1618">
        <v>43903</v>
      </c>
      <c r="I395" s="1621">
        <v>63045</v>
      </c>
      <c r="J395" s="1622" t="s">
        <v>3423</v>
      </c>
      <c r="K395" s="1623">
        <v>43875</v>
      </c>
      <c r="L395" s="1615" t="s">
        <v>15</v>
      </c>
      <c r="M395" s="1624" t="s">
        <v>3448</v>
      </c>
      <c r="N395" s="1615" t="s">
        <v>51</v>
      </c>
      <c r="O395" s="1625">
        <v>56100</v>
      </c>
      <c r="P395" s="1625">
        <f t="shared" si="537"/>
        <v>3927</v>
      </c>
      <c r="Q395" s="1625">
        <f t="shared" si="538"/>
        <v>60027</v>
      </c>
      <c r="R395" s="1626"/>
      <c r="S395" s="1627"/>
      <c r="T395" s="1628"/>
      <c r="U395" s="1629"/>
      <c r="V395" s="1630"/>
      <c r="W395" s="1630"/>
      <c r="X395" s="1631"/>
      <c r="Y395" s="1630"/>
      <c r="Z395" s="1630"/>
      <c r="AA395" s="1630"/>
      <c r="AB395" s="1630"/>
      <c r="AC395" s="1631"/>
      <c r="AD395" s="1632"/>
      <c r="AE395" s="1633">
        <v>20020032</v>
      </c>
      <c r="AF395" s="1634" t="s">
        <v>3423</v>
      </c>
      <c r="AG395" s="1635">
        <v>56100</v>
      </c>
      <c r="AH395" s="1636">
        <f t="shared" si="539"/>
        <v>3927</v>
      </c>
      <c r="AI395" s="1637">
        <f t="shared" si="540"/>
        <v>60027</v>
      </c>
      <c r="AJ395" s="1638">
        <v>43918</v>
      </c>
      <c r="AK395" s="1639" t="s">
        <v>3423</v>
      </c>
      <c r="AL395" s="1639"/>
      <c r="AM395" s="1639"/>
      <c r="AN395" s="1640" t="s">
        <v>3804</v>
      </c>
      <c r="AO395" s="1641">
        <v>1</v>
      </c>
      <c r="AP395" s="1642" t="s">
        <v>3449</v>
      </c>
      <c r="AQ395" s="1643"/>
      <c r="AR395" s="1643" t="s">
        <v>3423</v>
      </c>
      <c r="AS395" s="1644">
        <v>1</v>
      </c>
      <c r="AT395" s="1645" t="s">
        <v>633</v>
      </c>
      <c r="AU395" s="1641"/>
      <c r="AV395" s="1646"/>
      <c r="AW395" s="1641"/>
      <c r="AX395" s="1641"/>
      <c r="AY395" s="1641"/>
      <c r="AZ395" s="1646"/>
      <c r="BA395" s="1641"/>
      <c r="BB395" s="1646"/>
      <c r="BC395" s="1641"/>
      <c r="BD395" s="1641"/>
      <c r="BE395" s="1641"/>
      <c r="BF395" s="1646"/>
      <c r="BG395" s="1641"/>
      <c r="BH395" s="1646"/>
      <c r="BI395" s="1641"/>
      <c r="BJ395" s="1641"/>
      <c r="BK395" s="1641"/>
      <c r="BL395" s="1646"/>
      <c r="BM395" s="1641"/>
      <c r="BN395" s="1646"/>
      <c r="BO395" s="1641"/>
      <c r="BP395" s="1641"/>
      <c r="BQ395" s="1641"/>
      <c r="BR395" s="1646"/>
      <c r="BS395" s="1641"/>
      <c r="BT395" s="1646"/>
      <c r="BU395" s="1641"/>
      <c r="BV395" s="1641"/>
      <c r="BW395" s="1641"/>
      <c r="BX395" s="1646"/>
      <c r="BY395" s="1641"/>
      <c r="BZ395" s="1646"/>
      <c r="CA395" s="1641"/>
      <c r="CB395" s="1641"/>
      <c r="CC395" s="1641"/>
      <c r="CD395" s="1646"/>
      <c r="CE395" s="1641"/>
      <c r="CF395" s="1646"/>
      <c r="CG395" s="1641"/>
      <c r="CH395" s="1641"/>
      <c r="CI395" s="1641"/>
      <c r="CJ395" s="1641"/>
    </row>
    <row r="396" spans="1:88" ht="22.5" thickTop="1" x14ac:dyDescent="0.5">
      <c r="A396" s="262">
        <v>20016481</v>
      </c>
      <c r="B396" s="135">
        <v>20010064</v>
      </c>
      <c r="C396" s="1290" t="s">
        <v>1447</v>
      </c>
      <c r="D396" s="1291" t="s">
        <v>2691</v>
      </c>
      <c r="E396" s="906">
        <v>43871</v>
      </c>
      <c r="F396" s="940" t="s">
        <v>3368</v>
      </c>
      <c r="G396" s="941" t="s">
        <v>1420</v>
      </c>
      <c r="H396" s="309">
        <v>43875</v>
      </c>
      <c r="I396" s="310">
        <v>63046</v>
      </c>
      <c r="J396" s="963" t="s">
        <v>3423</v>
      </c>
      <c r="K396" s="964">
        <v>43876</v>
      </c>
      <c r="L396" s="135" t="s">
        <v>2640</v>
      </c>
      <c r="M396" s="141" t="s">
        <v>3432</v>
      </c>
      <c r="N396" s="135" t="s">
        <v>1523</v>
      </c>
      <c r="O396" s="142">
        <v>197500</v>
      </c>
      <c r="P396" s="142">
        <f t="shared" si="537"/>
        <v>13825</v>
      </c>
      <c r="Q396" s="142">
        <f t="shared" si="538"/>
        <v>211325</v>
      </c>
      <c r="R396" s="213"/>
      <c r="S396" s="144" t="s">
        <v>3451</v>
      </c>
      <c r="T396" s="145">
        <f t="shared" ref="T396:T401" si="542">O396-R396</f>
        <v>197500</v>
      </c>
      <c r="U396" s="146" t="s">
        <v>1994</v>
      </c>
      <c r="V396" s="1292">
        <v>20000</v>
      </c>
      <c r="W396" s="1293">
        <v>52.5</v>
      </c>
      <c r="X396" s="1294">
        <f>T396-V396-V397</f>
        <v>168625</v>
      </c>
      <c r="Y396" s="1295">
        <f t="shared" ref="Y396:Y401" si="543">SUM((50-W396)/(100)*(2.5)+(0.5))</f>
        <v>0.4375</v>
      </c>
      <c r="Z396" s="1295">
        <f>168625*0.44/100</f>
        <v>741.95</v>
      </c>
      <c r="AA396" s="1296"/>
      <c r="AB396" s="1296">
        <f t="shared" ref="AB396:AB408" si="544">X396*AA396/100</f>
        <v>0</v>
      </c>
      <c r="AC396" s="150">
        <v>0.2</v>
      </c>
      <c r="AD396" s="1297">
        <f>X396*AC396/100</f>
        <v>337.25</v>
      </c>
      <c r="AE396" s="154">
        <v>20020035</v>
      </c>
      <c r="AF396" s="1298" t="s">
        <v>3423</v>
      </c>
      <c r="AG396" s="155">
        <v>197500</v>
      </c>
      <c r="AH396" s="253">
        <f t="shared" si="539"/>
        <v>13825</v>
      </c>
      <c r="AI396" s="156">
        <f t="shared" si="540"/>
        <v>211325</v>
      </c>
      <c r="AJ396" s="157">
        <v>43904</v>
      </c>
      <c r="AK396" s="152" t="s">
        <v>3423</v>
      </c>
      <c r="AL396" s="152"/>
      <c r="AM396" s="152"/>
      <c r="AN396" s="134" t="s">
        <v>4042</v>
      </c>
      <c r="AO396" s="158">
        <v>1</v>
      </c>
      <c r="AP396" s="159" t="s">
        <v>3433</v>
      </c>
      <c r="AQ396" s="160"/>
      <c r="AR396" s="160" t="s">
        <v>3423</v>
      </c>
      <c r="AS396" s="161">
        <v>2</v>
      </c>
      <c r="AT396" s="162" t="s">
        <v>2959</v>
      </c>
      <c r="AU396" s="158"/>
      <c r="AV396" s="163"/>
      <c r="AW396" s="158"/>
      <c r="AX396" s="158"/>
      <c r="AY396" s="158"/>
      <c r="AZ396" s="163"/>
      <c r="BA396" s="158"/>
      <c r="BB396" s="163"/>
      <c r="BC396" s="158"/>
      <c r="BD396" s="158"/>
      <c r="BE396" s="158"/>
      <c r="BF396" s="163"/>
      <c r="BG396" s="158"/>
      <c r="BH396" s="163"/>
      <c r="BI396" s="158"/>
      <c r="BJ396" s="158"/>
      <c r="BK396" s="158"/>
      <c r="BL396" s="163"/>
      <c r="BM396" s="158"/>
      <c r="BN396" s="163"/>
      <c r="BO396" s="158"/>
      <c r="BP396" s="158"/>
      <c r="BQ396" s="158"/>
      <c r="BR396" s="163"/>
      <c r="BS396" s="158"/>
      <c r="BT396" s="163"/>
      <c r="BU396" s="158"/>
      <c r="BV396" s="158"/>
      <c r="BW396" s="158"/>
      <c r="BX396" s="163"/>
      <c r="BY396" s="158"/>
      <c r="BZ396" s="163"/>
      <c r="CA396" s="158"/>
      <c r="CB396" s="158"/>
      <c r="CC396" s="158"/>
      <c r="CD396" s="163"/>
      <c r="CE396" s="158"/>
      <c r="CF396" s="163"/>
      <c r="CG396" s="158"/>
      <c r="CH396" s="158"/>
      <c r="CI396" s="158"/>
      <c r="CJ396" s="158"/>
    </row>
    <row r="397" spans="1:88" x14ac:dyDescent="0.5">
      <c r="A397" s="262"/>
      <c r="B397" s="135"/>
      <c r="C397" s="1290"/>
      <c r="D397" s="1291"/>
      <c r="E397" s="906"/>
      <c r="F397" s="940"/>
      <c r="G397" s="941"/>
      <c r="H397" s="1316">
        <v>43875</v>
      </c>
      <c r="I397" s="1317">
        <v>63047</v>
      </c>
      <c r="J397" s="963"/>
      <c r="K397" s="154"/>
      <c r="L397" s="135"/>
      <c r="M397" s="141"/>
      <c r="N397" s="135"/>
      <c r="O397" s="142"/>
      <c r="P397" s="142"/>
      <c r="Q397" s="142"/>
      <c r="R397" s="213"/>
      <c r="S397" s="144" t="s">
        <v>3452</v>
      </c>
      <c r="T397" s="145"/>
      <c r="U397" s="146">
        <v>5</v>
      </c>
      <c r="V397" s="1292">
        <v>8875</v>
      </c>
      <c r="W397" s="1293"/>
      <c r="X397" s="1294"/>
      <c r="Y397" s="1295"/>
      <c r="Z397" s="1295"/>
      <c r="AA397" s="1296"/>
      <c r="AB397" s="1296"/>
      <c r="AC397" s="150"/>
      <c r="AD397" s="1297"/>
      <c r="AE397" s="154"/>
      <c r="AF397" s="1298"/>
      <c r="AG397" s="155"/>
      <c r="AH397" s="253"/>
      <c r="AI397" s="156"/>
      <c r="AJ397" s="256"/>
      <c r="AK397" s="152"/>
      <c r="AL397" s="152"/>
      <c r="AM397" s="152"/>
      <c r="AN397" s="134"/>
      <c r="AO397" s="158"/>
      <c r="AP397" s="159"/>
      <c r="AQ397" s="160"/>
      <c r="AR397" s="160"/>
      <c r="AS397" s="161"/>
      <c r="AT397" s="162"/>
      <c r="AU397" s="158"/>
      <c r="AV397" s="163"/>
      <c r="AW397" s="158"/>
      <c r="AX397" s="158"/>
      <c r="AY397" s="158"/>
      <c r="AZ397" s="163"/>
      <c r="BA397" s="158"/>
      <c r="BB397" s="163"/>
      <c r="BC397" s="158"/>
      <c r="BD397" s="158"/>
      <c r="BE397" s="158"/>
      <c r="BF397" s="163"/>
      <c r="BG397" s="158"/>
      <c r="BH397" s="163"/>
      <c r="BI397" s="158"/>
      <c r="BJ397" s="158"/>
      <c r="BK397" s="158"/>
      <c r="BL397" s="163"/>
      <c r="BM397" s="158"/>
      <c r="BN397" s="163"/>
      <c r="BO397" s="158"/>
      <c r="BP397" s="158"/>
      <c r="BQ397" s="158"/>
      <c r="BR397" s="163"/>
      <c r="BS397" s="158"/>
      <c r="BT397" s="163"/>
      <c r="BU397" s="158"/>
      <c r="BV397" s="158"/>
      <c r="BW397" s="158"/>
      <c r="BX397" s="163"/>
      <c r="BY397" s="158"/>
      <c r="BZ397" s="163"/>
      <c r="CA397" s="158"/>
      <c r="CB397" s="158"/>
      <c r="CC397" s="158"/>
      <c r="CD397" s="163"/>
      <c r="CE397" s="158"/>
      <c r="CF397" s="163"/>
      <c r="CG397" s="158"/>
      <c r="CH397" s="158"/>
      <c r="CI397" s="158"/>
      <c r="CJ397" s="158"/>
    </row>
    <row r="398" spans="1:88" x14ac:dyDescent="0.5">
      <c r="A398" s="268"/>
      <c r="B398" s="181"/>
      <c r="C398" s="1236"/>
      <c r="D398" s="1237"/>
      <c r="E398" s="749"/>
      <c r="F398" s="938"/>
      <c r="G398" s="939"/>
      <c r="H398" s="749">
        <v>43903</v>
      </c>
      <c r="I398" s="1125">
        <v>63068</v>
      </c>
      <c r="J398" s="961"/>
      <c r="K398" s="200"/>
      <c r="L398" s="181" t="s">
        <v>3714</v>
      </c>
      <c r="M398" s="188"/>
      <c r="N398" s="181"/>
      <c r="O398" s="189"/>
      <c r="P398" s="189"/>
      <c r="Q398" s="189"/>
      <c r="R398" s="214"/>
      <c r="S398" s="215"/>
      <c r="T398" s="216"/>
      <c r="U398" s="217"/>
      <c r="V398" s="1253"/>
      <c r="W398" s="1238"/>
      <c r="X398" s="1239"/>
      <c r="Y398" s="1240"/>
      <c r="Z398" s="1240"/>
      <c r="AA398" s="1254"/>
      <c r="AB398" s="1254"/>
      <c r="AC398" s="197"/>
      <c r="AD398" s="1241"/>
      <c r="AE398" s="200"/>
      <c r="AF398" s="1242"/>
      <c r="AG398" s="201"/>
      <c r="AH398" s="237"/>
      <c r="AI398" s="202"/>
      <c r="AJ398" s="241"/>
      <c r="AK398" s="199"/>
      <c r="AL398" s="199"/>
      <c r="AM398" s="199"/>
      <c r="AN398" s="180"/>
      <c r="AO398" s="204"/>
      <c r="AP398" s="205"/>
      <c r="AQ398" s="206"/>
      <c r="AR398" s="206"/>
      <c r="AS398" s="207"/>
      <c r="AT398" s="208"/>
      <c r="AU398" s="204"/>
      <c r="AV398" s="210"/>
      <c r="AW398" s="204"/>
      <c r="AX398" s="204"/>
      <c r="AY398" s="204"/>
      <c r="AZ398" s="210"/>
      <c r="BA398" s="204"/>
      <c r="BB398" s="210"/>
      <c r="BC398" s="204"/>
      <c r="BD398" s="204"/>
      <c r="BE398" s="204"/>
      <c r="BF398" s="210"/>
      <c r="BG398" s="204"/>
      <c r="BH398" s="210"/>
      <c r="BI398" s="204"/>
      <c r="BJ398" s="204"/>
      <c r="BK398" s="204"/>
      <c r="BL398" s="210"/>
      <c r="BM398" s="204"/>
      <c r="BN398" s="210"/>
      <c r="BO398" s="204"/>
      <c r="BP398" s="204"/>
      <c r="BQ398" s="204"/>
      <c r="BR398" s="210"/>
      <c r="BS398" s="204"/>
      <c r="BT398" s="210"/>
      <c r="BU398" s="204"/>
      <c r="BV398" s="204"/>
      <c r="BW398" s="204"/>
      <c r="BX398" s="210"/>
      <c r="BY398" s="204"/>
      <c r="BZ398" s="210"/>
      <c r="CA398" s="204"/>
      <c r="CB398" s="204"/>
      <c r="CC398" s="204"/>
      <c r="CD398" s="210"/>
      <c r="CE398" s="204"/>
      <c r="CF398" s="210"/>
      <c r="CG398" s="204"/>
      <c r="CH398" s="204"/>
      <c r="CI398" s="204"/>
      <c r="CJ398" s="204"/>
    </row>
    <row r="399" spans="1:88" x14ac:dyDescent="0.5">
      <c r="A399" s="227">
        <v>20016480</v>
      </c>
      <c r="B399" s="22">
        <v>20010058</v>
      </c>
      <c r="C399" s="55"/>
      <c r="D399" s="56"/>
      <c r="E399" s="910"/>
      <c r="F399" s="57"/>
      <c r="G399" s="58"/>
      <c r="H399" s="59"/>
      <c r="I399" s="60"/>
      <c r="J399" s="269"/>
      <c r="K399" s="59"/>
      <c r="L399" s="22" t="s">
        <v>1546</v>
      </c>
      <c r="M399" s="28" t="s">
        <v>4236</v>
      </c>
      <c r="N399" s="22" t="s">
        <v>1523</v>
      </c>
      <c r="O399" s="29">
        <v>14700</v>
      </c>
      <c r="P399" s="29">
        <f t="shared" si="537"/>
        <v>1029</v>
      </c>
      <c r="Q399" s="29">
        <f t="shared" si="538"/>
        <v>15729</v>
      </c>
      <c r="R399" s="61"/>
      <c r="S399" s="96"/>
      <c r="T399" s="97"/>
      <c r="U399" s="98"/>
      <c r="V399" s="1225">
        <f t="shared" ref="V399:V418" si="545">T399*U399/100</f>
        <v>0</v>
      </c>
      <c r="W399" s="1225"/>
      <c r="X399" s="1184">
        <f>O399</f>
        <v>14700</v>
      </c>
      <c r="Y399" s="1223">
        <v>1</v>
      </c>
      <c r="Z399" s="1223">
        <f t="shared" ref="Z399:Z405" si="546">X399*Y399/100</f>
        <v>147</v>
      </c>
      <c r="AA399" s="1225"/>
      <c r="AB399" s="1225">
        <f t="shared" si="544"/>
        <v>0</v>
      </c>
      <c r="AC399" s="100"/>
      <c r="AD399" s="595">
        <f t="shared" ref="AD399:AD400" si="547">X399*AC399/100</f>
        <v>0</v>
      </c>
      <c r="AE399" s="40">
        <v>20010021</v>
      </c>
      <c r="AF399" s="1186" t="s">
        <v>3423</v>
      </c>
      <c r="AG399" s="41">
        <v>14700</v>
      </c>
      <c r="AH399" s="63">
        <f t="shared" si="539"/>
        <v>1029</v>
      </c>
      <c r="AI399" s="52">
        <f t="shared" si="540"/>
        <v>15729</v>
      </c>
      <c r="AJ399" s="53">
        <v>43861</v>
      </c>
      <c r="AK399" s="39" t="s">
        <v>3423</v>
      </c>
      <c r="AL399" s="39"/>
      <c r="AM399" s="39"/>
      <c r="AN399" s="21" t="s">
        <v>3624</v>
      </c>
      <c r="AO399" s="1185">
        <v>1</v>
      </c>
      <c r="AP399" s="45" t="s">
        <v>2907</v>
      </c>
      <c r="AQ399" s="46"/>
      <c r="AR399" s="46"/>
      <c r="AS399" s="47">
        <v>3</v>
      </c>
      <c r="AT399" s="48" t="s">
        <v>628</v>
      </c>
      <c r="AU399" s="1214"/>
      <c r="AV399" s="54"/>
      <c r="AW399" s="1214"/>
      <c r="AX399" s="1214"/>
      <c r="AY399" s="1214"/>
      <c r="AZ399" s="54"/>
      <c r="BA399" s="1214"/>
      <c r="BB399" s="54"/>
      <c r="BC399" s="1214"/>
      <c r="BD399" s="1214"/>
      <c r="BE399" s="1214"/>
      <c r="BF399" s="54"/>
      <c r="BG399" s="1214"/>
      <c r="BH399" s="54"/>
      <c r="BI399" s="1214"/>
      <c r="BJ399" s="1214"/>
      <c r="BK399" s="1214"/>
      <c r="BL399" s="54"/>
      <c r="BM399" s="1214"/>
      <c r="BN399" s="54"/>
      <c r="BO399" s="1214"/>
      <c r="BP399" s="1214"/>
      <c r="BQ399" s="1214"/>
      <c r="BR399" s="54"/>
      <c r="BS399" s="1214"/>
      <c r="BT399" s="54"/>
      <c r="BU399" s="1214"/>
      <c r="BV399" s="1214"/>
      <c r="BW399" s="1214"/>
      <c r="BX399" s="54"/>
      <c r="BY399" s="1214"/>
      <c r="BZ399" s="54"/>
      <c r="CA399" s="1214"/>
      <c r="CB399" s="1214"/>
      <c r="CC399" s="1214"/>
      <c r="CD399" s="54"/>
      <c r="CE399" s="1214"/>
      <c r="CF399" s="54"/>
      <c r="CG399" s="1214"/>
      <c r="CH399" s="1214"/>
      <c r="CI399" s="1214"/>
      <c r="CJ399" s="1214"/>
    </row>
    <row r="400" spans="1:88" x14ac:dyDescent="0.5">
      <c r="A400" s="227">
        <v>20016479</v>
      </c>
      <c r="B400" s="22">
        <v>20010057</v>
      </c>
      <c r="C400" s="1019" t="s">
        <v>1448</v>
      </c>
      <c r="D400" s="1020" t="s">
        <v>2691</v>
      </c>
      <c r="E400" s="884">
        <v>43866</v>
      </c>
      <c r="F400" s="932" t="s">
        <v>3368</v>
      </c>
      <c r="G400" s="933" t="s">
        <v>1406</v>
      </c>
      <c r="H400" s="884">
        <v>43914</v>
      </c>
      <c r="I400" s="1021">
        <v>63080</v>
      </c>
      <c r="J400" s="931" t="s">
        <v>3423</v>
      </c>
      <c r="K400" s="957">
        <v>43916</v>
      </c>
      <c r="L400" s="22" t="s">
        <v>1546</v>
      </c>
      <c r="M400" s="28" t="s">
        <v>3434</v>
      </c>
      <c r="N400" s="22" t="s">
        <v>1523</v>
      </c>
      <c r="O400" s="29">
        <v>52000</v>
      </c>
      <c r="P400" s="29">
        <f t="shared" ref="P400:P418" si="548">O400*7/100</f>
        <v>3640</v>
      </c>
      <c r="Q400" s="29">
        <f t="shared" ref="Q400:Q418" si="549">O400+P400</f>
        <v>55640</v>
      </c>
      <c r="R400" s="61"/>
      <c r="S400" s="31" t="s">
        <v>3453</v>
      </c>
      <c r="T400" s="32">
        <f t="shared" si="542"/>
        <v>52000</v>
      </c>
      <c r="U400" s="33">
        <v>5</v>
      </c>
      <c r="V400" s="1251">
        <f t="shared" si="545"/>
        <v>2600</v>
      </c>
      <c r="W400" s="1231">
        <v>55.4</v>
      </c>
      <c r="X400" s="1184">
        <f t="shared" ref="X400:X401" si="550">T400-V400</f>
        <v>49400</v>
      </c>
      <c r="Y400" s="1223">
        <f t="shared" si="543"/>
        <v>0.36500000000000005</v>
      </c>
      <c r="Z400" s="1223">
        <f>49400*0.37/100</f>
        <v>182.78</v>
      </c>
      <c r="AA400" s="1225"/>
      <c r="AB400" s="1225">
        <f t="shared" si="544"/>
        <v>0</v>
      </c>
      <c r="AC400" s="37">
        <v>0.2</v>
      </c>
      <c r="AD400" s="1234">
        <f t="shared" si="547"/>
        <v>98.8</v>
      </c>
      <c r="AE400" s="40">
        <v>20030078</v>
      </c>
      <c r="AF400" s="1186" t="s">
        <v>3423</v>
      </c>
      <c r="AG400" s="41">
        <v>52000</v>
      </c>
      <c r="AH400" s="63">
        <f t="shared" ref="AH400:AH418" si="551">AG400*7/100</f>
        <v>3640</v>
      </c>
      <c r="AI400" s="52">
        <f t="shared" ref="AI400:AI418" si="552">AG400+AH400</f>
        <v>55640</v>
      </c>
      <c r="AJ400" s="53">
        <v>43945</v>
      </c>
      <c r="AK400" s="39" t="s">
        <v>3423</v>
      </c>
      <c r="AL400" s="39"/>
      <c r="AM400" s="39"/>
      <c r="AN400" s="21" t="s">
        <v>4010</v>
      </c>
      <c r="AO400" s="1172">
        <v>1</v>
      </c>
      <c r="AP400" s="45" t="s">
        <v>3435</v>
      </c>
      <c r="AQ400" s="46"/>
      <c r="AR400" s="46" t="s">
        <v>3423</v>
      </c>
      <c r="AS400" s="47">
        <v>1</v>
      </c>
      <c r="AT400" s="48" t="s">
        <v>2959</v>
      </c>
      <c r="AU400" s="1214"/>
      <c r="AV400" s="54"/>
      <c r="AW400" s="1214"/>
      <c r="AX400" s="1214"/>
      <c r="AY400" s="1214"/>
      <c r="AZ400" s="54"/>
      <c r="BA400" s="1214"/>
      <c r="BB400" s="54"/>
      <c r="BC400" s="1214"/>
      <c r="BD400" s="1214"/>
      <c r="BE400" s="1214"/>
      <c r="BF400" s="54"/>
      <c r="BG400" s="1214"/>
      <c r="BH400" s="54"/>
      <c r="BI400" s="1214"/>
      <c r="BJ400" s="1214"/>
      <c r="BK400" s="1214"/>
      <c r="BL400" s="54"/>
      <c r="BM400" s="1214"/>
      <c r="BN400" s="54"/>
      <c r="BO400" s="1214"/>
      <c r="BP400" s="1214"/>
      <c r="BQ400" s="1214"/>
      <c r="BR400" s="54"/>
      <c r="BS400" s="1214"/>
      <c r="BT400" s="54"/>
      <c r="BU400" s="1214"/>
      <c r="BV400" s="1214"/>
      <c r="BW400" s="1214"/>
      <c r="BX400" s="54"/>
      <c r="BY400" s="1214"/>
      <c r="BZ400" s="54"/>
      <c r="CA400" s="1214"/>
      <c r="CB400" s="1214"/>
      <c r="CC400" s="1214"/>
      <c r="CD400" s="54"/>
      <c r="CE400" s="1214"/>
      <c r="CF400" s="54"/>
      <c r="CG400" s="1214"/>
      <c r="CH400" s="1214"/>
      <c r="CI400" s="1214"/>
      <c r="CJ400" s="1214"/>
    </row>
    <row r="401" spans="1:88" s="1213" customFormat="1" ht="43.5" x14ac:dyDescent="0.45">
      <c r="A401" s="429">
        <v>20016478</v>
      </c>
      <c r="B401" s="370" t="s">
        <v>3425</v>
      </c>
      <c r="C401" s="1346" t="s">
        <v>1360</v>
      </c>
      <c r="D401" s="1347" t="s">
        <v>2691</v>
      </c>
      <c r="E401" s="1348" t="s">
        <v>3426</v>
      </c>
      <c r="F401" s="1973" t="s">
        <v>3368</v>
      </c>
      <c r="G401" s="1974" t="s">
        <v>2658</v>
      </c>
      <c r="H401" s="1360">
        <v>44158</v>
      </c>
      <c r="I401" s="1361">
        <v>63271</v>
      </c>
      <c r="J401" s="1362"/>
      <c r="K401" s="1363">
        <v>44159</v>
      </c>
      <c r="L401" s="370" t="s">
        <v>3427</v>
      </c>
      <c r="M401" s="1349" t="s">
        <v>3428</v>
      </c>
      <c r="N401" s="370" t="s">
        <v>52</v>
      </c>
      <c r="O401" s="1350">
        <v>504707.73</v>
      </c>
      <c r="P401" s="1350">
        <f t="shared" si="548"/>
        <v>35329.541100000002</v>
      </c>
      <c r="Q401" s="1350">
        <f t="shared" si="549"/>
        <v>540037.27110000001</v>
      </c>
      <c r="R401" s="1351"/>
      <c r="S401" s="1848" t="s">
        <v>3450</v>
      </c>
      <c r="T401" s="379">
        <f t="shared" si="542"/>
        <v>504707.73</v>
      </c>
      <c r="U401" s="115">
        <v>5</v>
      </c>
      <c r="V401" s="115">
        <f t="shared" si="545"/>
        <v>25235.386500000001</v>
      </c>
      <c r="W401" s="1444">
        <v>56.64</v>
      </c>
      <c r="X401" s="1445">
        <f t="shared" si="550"/>
        <v>479472.34349999996</v>
      </c>
      <c r="Y401" s="1446">
        <f t="shared" si="543"/>
        <v>0.33399999999999996</v>
      </c>
      <c r="Z401" s="1446">
        <f>479472.34*0.33/100</f>
        <v>1582.258722</v>
      </c>
      <c r="AA401" s="1447">
        <v>0.5</v>
      </c>
      <c r="AB401" s="1447">
        <f>X401*AA401/100</f>
        <v>2397.3617174999999</v>
      </c>
      <c r="AC401" s="1448">
        <v>0.2</v>
      </c>
      <c r="AD401" s="1449">
        <f>X401*AC401/100</f>
        <v>958.94468699999993</v>
      </c>
      <c r="AE401" s="386">
        <v>20080219</v>
      </c>
      <c r="AF401" s="1450"/>
      <c r="AG401" s="1451">
        <v>151412.32</v>
      </c>
      <c r="AH401" s="387">
        <f t="shared" si="551"/>
        <v>10598.8624</v>
      </c>
      <c r="AI401" s="1452">
        <f t="shared" si="552"/>
        <v>162011.18240000002</v>
      </c>
      <c r="AJ401" s="221">
        <v>44056</v>
      </c>
      <c r="AK401" s="654"/>
      <c r="AL401" s="654"/>
      <c r="AM401" s="654" t="s">
        <v>3423</v>
      </c>
      <c r="AN401" s="656" t="s">
        <v>4159</v>
      </c>
      <c r="AO401" s="390">
        <v>1</v>
      </c>
      <c r="AP401" s="1354" t="s">
        <v>594</v>
      </c>
      <c r="AQ401" s="1355"/>
      <c r="AR401" s="1355" t="s">
        <v>3423</v>
      </c>
      <c r="AS401" s="392">
        <v>1</v>
      </c>
      <c r="AT401" s="1356" t="s">
        <v>634</v>
      </c>
      <c r="AU401" s="390">
        <v>2</v>
      </c>
      <c r="AV401" s="394" t="s">
        <v>1126</v>
      </c>
      <c r="AW401" s="392"/>
      <c r="AX401" s="392" t="s">
        <v>3423</v>
      </c>
      <c r="AY401" s="392">
        <v>1</v>
      </c>
      <c r="AZ401" s="393" t="s">
        <v>634</v>
      </c>
      <c r="BA401" s="390">
        <v>3</v>
      </c>
      <c r="BB401" s="394" t="s">
        <v>3437</v>
      </c>
      <c r="BC401" s="392"/>
      <c r="BD401" s="392" t="s">
        <v>3423</v>
      </c>
      <c r="BE401" s="392">
        <v>1</v>
      </c>
      <c r="BF401" s="393" t="s">
        <v>634</v>
      </c>
      <c r="BG401" s="390">
        <v>4</v>
      </c>
      <c r="BH401" s="394" t="s">
        <v>2026</v>
      </c>
      <c r="BI401" s="392"/>
      <c r="BJ401" s="392" t="s">
        <v>3423</v>
      </c>
      <c r="BK401" s="392">
        <v>1</v>
      </c>
      <c r="BL401" s="393" t="s">
        <v>634</v>
      </c>
      <c r="BM401" s="390">
        <v>5</v>
      </c>
      <c r="BN401" s="394" t="s">
        <v>831</v>
      </c>
      <c r="BO401" s="392" t="s">
        <v>3423</v>
      </c>
      <c r="BP401" s="392"/>
      <c r="BQ401" s="392">
        <v>6</v>
      </c>
      <c r="BR401" s="393" t="s">
        <v>636</v>
      </c>
      <c r="BS401" s="390">
        <v>6</v>
      </c>
      <c r="BT401" s="394" t="s">
        <v>815</v>
      </c>
      <c r="BU401" s="392"/>
      <c r="BV401" s="392" t="s">
        <v>3423</v>
      </c>
      <c r="BW401" s="392">
        <v>1</v>
      </c>
      <c r="BX401" s="393" t="s">
        <v>636</v>
      </c>
      <c r="BY401" s="390"/>
      <c r="BZ401" s="1357"/>
      <c r="CA401" s="390"/>
      <c r="CB401" s="390"/>
      <c r="CC401" s="390"/>
      <c r="CD401" s="1357"/>
      <c r="CE401" s="390"/>
      <c r="CF401" s="1357"/>
      <c r="CG401" s="390"/>
      <c r="CH401" s="390"/>
      <c r="CI401" s="390"/>
      <c r="CJ401" s="390"/>
    </row>
    <row r="402" spans="1:88" s="1213" customFormat="1" x14ac:dyDescent="0.45">
      <c r="A402" s="577"/>
      <c r="B402" s="256"/>
      <c r="C402" s="1674"/>
      <c r="D402" s="1675"/>
      <c r="E402" s="1676"/>
      <c r="F402" s="1980"/>
      <c r="G402" s="1981"/>
      <c r="H402" s="1982">
        <v>44158</v>
      </c>
      <c r="I402" s="1983">
        <v>63272</v>
      </c>
      <c r="J402" s="1984"/>
      <c r="K402" s="1985"/>
      <c r="L402" s="256"/>
      <c r="M402" s="1977"/>
      <c r="N402" s="256"/>
      <c r="O402" s="1677"/>
      <c r="P402" s="1677"/>
      <c r="Q402" s="1677"/>
      <c r="R402" s="1978"/>
      <c r="S402" s="1979"/>
      <c r="T402" s="439"/>
      <c r="U402" s="146"/>
      <c r="V402" s="146"/>
      <c r="W402" s="1678"/>
      <c r="X402" s="1679"/>
      <c r="Y402" s="1680"/>
      <c r="Z402" s="1680"/>
      <c r="AA402" s="1681"/>
      <c r="AB402" s="1681"/>
      <c r="AC402" s="1682"/>
      <c r="AD402" s="1683"/>
      <c r="AE402" s="2036">
        <v>20100277</v>
      </c>
      <c r="AF402" s="2037" t="s">
        <v>3423</v>
      </c>
      <c r="AG402" s="2038">
        <v>353295.41</v>
      </c>
      <c r="AH402" s="2039">
        <f>AG402*7/100</f>
        <v>24730.678699999997</v>
      </c>
      <c r="AI402" s="2040">
        <f>AG402+AH402</f>
        <v>378026.08869999996</v>
      </c>
      <c r="AJ402" s="860">
        <v>44130</v>
      </c>
      <c r="AK402" s="2041"/>
      <c r="AL402" s="2041"/>
      <c r="AM402" s="2041" t="s">
        <v>3423</v>
      </c>
      <c r="AN402" s="577" t="s">
        <v>4512</v>
      </c>
      <c r="AO402" s="453"/>
      <c r="AP402" s="1687"/>
      <c r="AQ402" s="874"/>
      <c r="AR402" s="874"/>
      <c r="AS402" s="454"/>
      <c r="AT402" s="1688"/>
      <c r="AU402" s="453"/>
      <c r="AV402" s="448"/>
      <c r="AW402" s="454"/>
      <c r="AX402" s="454"/>
      <c r="AY402" s="454"/>
      <c r="AZ402" s="457"/>
      <c r="BA402" s="453"/>
      <c r="BB402" s="448"/>
      <c r="BC402" s="454"/>
      <c r="BD402" s="454"/>
      <c r="BE402" s="454"/>
      <c r="BF402" s="457"/>
      <c r="BG402" s="453"/>
      <c r="BH402" s="448"/>
      <c r="BI402" s="454"/>
      <c r="BJ402" s="454"/>
      <c r="BK402" s="454"/>
      <c r="BL402" s="457"/>
      <c r="BM402" s="453"/>
      <c r="BN402" s="448"/>
      <c r="BO402" s="454"/>
      <c r="BP402" s="454"/>
      <c r="BQ402" s="454"/>
      <c r="BR402" s="457"/>
      <c r="BS402" s="453"/>
      <c r="BT402" s="448"/>
      <c r="BU402" s="454"/>
      <c r="BV402" s="454"/>
      <c r="BW402" s="454"/>
      <c r="BX402" s="457"/>
      <c r="BY402" s="453"/>
      <c r="BZ402" s="578"/>
      <c r="CA402" s="453"/>
      <c r="CB402" s="453"/>
      <c r="CC402" s="453"/>
      <c r="CD402" s="578"/>
      <c r="CE402" s="453"/>
      <c r="CF402" s="578"/>
      <c r="CG402" s="453"/>
      <c r="CH402" s="453"/>
      <c r="CI402" s="453"/>
      <c r="CJ402" s="453"/>
    </row>
    <row r="403" spans="1:88" s="1213" customFormat="1" x14ac:dyDescent="0.45">
      <c r="A403" s="577"/>
      <c r="B403" s="256"/>
      <c r="C403" s="1674"/>
      <c r="D403" s="1675"/>
      <c r="E403" s="1676"/>
      <c r="F403" s="2030" t="s">
        <v>3368</v>
      </c>
      <c r="G403" s="2031" t="s">
        <v>2650</v>
      </c>
      <c r="H403" s="2032"/>
      <c r="I403" s="2033"/>
      <c r="J403" s="2034" t="s">
        <v>1205</v>
      </c>
      <c r="K403" s="2035">
        <v>44165</v>
      </c>
      <c r="L403" s="256"/>
      <c r="M403" s="1977"/>
      <c r="N403" s="256"/>
      <c r="O403" s="1677"/>
      <c r="P403" s="1677"/>
      <c r="Q403" s="1677"/>
      <c r="R403" s="1978"/>
      <c r="S403" s="1979"/>
      <c r="T403" s="439"/>
      <c r="U403" s="146"/>
      <c r="V403" s="146"/>
      <c r="W403" s="1678"/>
      <c r="X403" s="1679"/>
      <c r="Y403" s="1680"/>
      <c r="Z403" s="1680"/>
      <c r="AA403" s="1681"/>
      <c r="AB403" s="1681"/>
      <c r="AC403" s="1682"/>
      <c r="AD403" s="1683"/>
      <c r="AE403" s="536" t="s">
        <v>4511</v>
      </c>
      <c r="AF403" s="2042"/>
      <c r="AG403" s="2043">
        <v>190245.95</v>
      </c>
      <c r="AH403" s="2044">
        <f>AG403*7/100</f>
        <v>13317.216500000002</v>
      </c>
      <c r="AI403" s="2045">
        <f>AG403+AH403</f>
        <v>203563.16650000002</v>
      </c>
      <c r="AJ403" s="539">
        <v>44165</v>
      </c>
      <c r="AK403" s="2046" t="s">
        <v>3423</v>
      </c>
      <c r="AL403" s="2046"/>
      <c r="AM403" s="2046"/>
      <c r="AN403" s="2029"/>
      <c r="AO403" s="453"/>
      <c r="AP403" s="1687"/>
      <c r="AQ403" s="874"/>
      <c r="AR403" s="874"/>
      <c r="AS403" s="454"/>
      <c r="AT403" s="1688"/>
      <c r="AU403" s="453"/>
      <c r="AV403" s="448"/>
      <c r="AW403" s="454"/>
      <c r="AX403" s="454"/>
      <c r="AY403" s="454"/>
      <c r="AZ403" s="457"/>
      <c r="BA403" s="453"/>
      <c r="BB403" s="448"/>
      <c r="BC403" s="454"/>
      <c r="BD403" s="454"/>
      <c r="BE403" s="454"/>
      <c r="BF403" s="457"/>
      <c r="BG403" s="453"/>
      <c r="BH403" s="448"/>
      <c r="BI403" s="454"/>
      <c r="BJ403" s="454"/>
      <c r="BK403" s="454"/>
      <c r="BL403" s="457"/>
      <c r="BM403" s="453"/>
      <c r="BN403" s="448"/>
      <c r="BO403" s="454"/>
      <c r="BP403" s="454"/>
      <c r="BQ403" s="454"/>
      <c r="BR403" s="457"/>
      <c r="BS403" s="453"/>
      <c r="BT403" s="448"/>
      <c r="BU403" s="454"/>
      <c r="BV403" s="454"/>
      <c r="BW403" s="454"/>
      <c r="BX403" s="457"/>
      <c r="BY403" s="453"/>
      <c r="BZ403" s="578"/>
      <c r="CA403" s="453"/>
      <c r="CB403" s="453"/>
      <c r="CC403" s="453"/>
      <c r="CD403" s="578"/>
      <c r="CE403" s="453"/>
      <c r="CF403" s="578"/>
      <c r="CG403" s="453"/>
      <c r="CH403" s="453"/>
      <c r="CI403" s="453"/>
      <c r="CJ403" s="453"/>
    </row>
    <row r="404" spans="1:88" s="1213" customFormat="1" x14ac:dyDescent="0.45">
      <c r="A404" s="580"/>
      <c r="B404" s="241"/>
      <c r="C404" s="1329"/>
      <c r="D404" s="1330"/>
      <c r="E404" s="1331"/>
      <c r="F404" s="1430"/>
      <c r="G404" s="1431"/>
      <c r="H404" s="1846"/>
      <c r="I404" s="1334"/>
      <c r="J404" s="1335"/>
      <c r="K404" s="1336"/>
      <c r="L404" s="241"/>
      <c r="M404" s="1337"/>
      <c r="N404" s="241"/>
      <c r="O404" s="1338"/>
      <c r="P404" s="1338"/>
      <c r="Q404" s="1338"/>
      <c r="R404" s="1339"/>
      <c r="S404" s="1847"/>
      <c r="T404" s="405"/>
      <c r="U404" s="217"/>
      <c r="V404" s="217"/>
      <c r="W404" s="1437"/>
      <c r="X404" s="1438"/>
      <c r="Y404" s="1439"/>
      <c r="Z404" s="1439"/>
      <c r="AA404" s="1440"/>
      <c r="AB404" s="1440"/>
      <c r="AC404" s="1441"/>
      <c r="AD404" s="1442"/>
      <c r="AE404" s="413" t="s">
        <v>4515</v>
      </c>
      <c r="AF404" s="1342" t="s">
        <v>3423</v>
      </c>
      <c r="AG404" s="1343">
        <v>163049.46</v>
      </c>
      <c r="AH404" s="402">
        <f>AG404*7/100</f>
        <v>11413.4622</v>
      </c>
      <c r="AI404" s="1344">
        <f>AG404+AH404</f>
        <v>174462.9222</v>
      </c>
      <c r="AJ404" s="203">
        <v>44169</v>
      </c>
      <c r="AK404" s="412"/>
      <c r="AL404" s="412"/>
      <c r="AM404" s="412"/>
      <c r="AN404" s="580"/>
      <c r="AO404" s="420"/>
      <c r="AP404" s="1345"/>
      <c r="AQ404" s="514"/>
      <c r="AR404" s="514"/>
      <c r="AS404" s="418"/>
      <c r="AT404" s="515"/>
      <c r="AU404" s="420"/>
      <c r="AV404" s="413"/>
      <c r="AW404" s="418"/>
      <c r="AX404" s="418"/>
      <c r="AY404" s="418"/>
      <c r="AZ404" s="419"/>
      <c r="BA404" s="420"/>
      <c r="BB404" s="413"/>
      <c r="BC404" s="418"/>
      <c r="BD404" s="418"/>
      <c r="BE404" s="418"/>
      <c r="BF404" s="419"/>
      <c r="BG404" s="420"/>
      <c r="BH404" s="413"/>
      <c r="BI404" s="418"/>
      <c r="BJ404" s="418"/>
      <c r="BK404" s="418"/>
      <c r="BL404" s="419"/>
      <c r="BM404" s="420"/>
      <c r="BN404" s="413"/>
      <c r="BO404" s="418"/>
      <c r="BP404" s="418"/>
      <c r="BQ404" s="418"/>
      <c r="BR404" s="419"/>
      <c r="BS404" s="420"/>
      <c r="BT404" s="413"/>
      <c r="BU404" s="418"/>
      <c r="BV404" s="418"/>
      <c r="BW404" s="418"/>
      <c r="BX404" s="419"/>
      <c r="BY404" s="420"/>
      <c r="BZ404" s="581"/>
      <c r="CA404" s="420"/>
      <c r="CB404" s="420"/>
      <c r="CC404" s="420"/>
      <c r="CD404" s="581"/>
      <c r="CE404" s="420"/>
      <c r="CF404" s="581"/>
      <c r="CG404" s="420"/>
      <c r="CH404" s="420"/>
      <c r="CI404" s="420"/>
      <c r="CJ404" s="420"/>
    </row>
    <row r="405" spans="1:88" x14ac:dyDescent="0.5">
      <c r="A405" s="227">
        <v>20016477</v>
      </c>
      <c r="B405" s="22">
        <v>20016477</v>
      </c>
      <c r="C405" s="1019" t="s">
        <v>1449</v>
      </c>
      <c r="D405" s="1020" t="s">
        <v>2691</v>
      </c>
      <c r="E405" s="884">
        <v>43894</v>
      </c>
      <c r="F405" s="932" t="s">
        <v>3368</v>
      </c>
      <c r="G405" s="933" t="s">
        <v>1432</v>
      </c>
      <c r="H405" s="884">
        <v>43871</v>
      </c>
      <c r="I405" s="1021">
        <v>63043</v>
      </c>
      <c r="J405" s="931" t="s">
        <v>3423</v>
      </c>
      <c r="K405" s="957">
        <v>43871</v>
      </c>
      <c r="L405" s="22" t="s">
        <v>15</v>
      </c>
      <c r="M405" s="28" t="s">
        <v>3232</v>
      </c>
      <c r="N405" s="22" t="s">
        <v>51</v>
      </c>
      <c r="O405" s="29">
        <v>7000</v>
      </c>
      <c r="P405" s="29">
        <f t="shared" si="548"/>
        <v>490</v>
      </c>
      <c r="Q405" s="29">
        <f t="shared" si="549"/>
        <v>7490</v>
      </c>
      <c r="R405" s="61"/>
      <c r="S405" s="96"/>
      <c r="T405" s="97"/>
      <c r="U405" s="98"/>
      <c r="V405" s="1225">
        <f t="shared" si="545"/>
        <v>0</v>
      </c>
      <c r="W405" s="1225"/>
      <c r="X405" s="100">
        <f>T405-V405</f>
        <v>0</v>
      </c>
      <c r="Y405" s="1225"/>
      <c r="Z405" s="1225">
        <f t="shared" si="546"/>
        <v>0</v>
      </c>
      <c r="AA405" s="1225"/>
      <c r="AB405" s="1225"/>
      <c r="AC405" s="100"/>
      <c r="AD405" s="595"/>
      <c r="AE405" s="40">
        <v>20020031</v>
      </c>
      <c r="AF405" s="1186" t="s">
        <v>3423</v>
      </c>
      <c r="AG405" s="41">
        <v>7000</v>
      </c>
      <c r="AH405" s="63">
        <f t="shared" si="551"/>
        <v>490</v>
      </c>
      <c r="AI405" s="52">
        <f t="shared" si="552"/>
        <v>7490</v>
      </c>
      <c r="AJ405" s="53">
        <v>43918</v>
      </c>
      <c r="AK405" s="39" t="s">
        <v>3423</v>
      </c>
      <c r="AL405" s="39"/>
      <c r="AM405" s="39"/>
      <c r="AN405" s="21" t="s">
        <v>3804</v>
      </c>
      <c r="AO405" s="1172">
        <v>1</v>
      </c>
      <c r="AP405" s="45" t="s">
        <v>712</v>
      </c>
      <c r="AQ405" s="46" t="s">
        <v>3423</v>
      </c>
      <c r="AR405" s="46"/>
      <c r="AS405" s="47">
        <v>1</v>
      </c>
      <c r="AT405" s="48" t="s">
        <v>635</v>
      </c>
      <c r="AU405" s="1214"/>
      <c r="AV405" s="54"/>
      <c r="AW405" s="1214"/>
      <c r="AX405" s="1214"/>
      <c r="AY405" s="1214"/>
      <c r="AZ405" s="54"/>
      <c r="BA405" s="1214"/>
      <c r="BB405" s="54"/>
      <c r="BC405" s="1214"/>
      <c r="BD405" s="1214"/>
      <c r="BE405" s="1214"/>
      <c r="BF405" s="54"/>
      <c r="BG405" s="1214"/>
      <c r="BH405" s="54"/>
      <c r="BI405" s="1214"/>
      <c r="BJ405" s="1214"/>
      <c r="BK405" s="1214"/>
      <c r="BL405" s="54"/>
      <c r="BM405" s="1214"/>
      <c r="BN405" s="54"/>
      <c r="BO405" s="1214"/>
      <c r="BP405" s="1214"/>
      <c r="BQ405" s="1214"/>
      <c r="BR405" s="54"/>
      <c r="BS405" s="1214"/>
      <c r="BT405" s="54"/>
      <c r="BU405" s="1214"/>
      <c r="BV405" s="1214"/>
      <c r="BW405" s="1214"/>
      <c r="BX405" s="54"/>
      <c r="BY405" s="1214"/>
      <c r="BZ405" s="54"/>
      <c r="CA405" s="1214"/>
      <c r="CB405" s="1214"/>
      <c r="CC405" s="1214"/>
      <c r="CD405" s="54"/>
      <c r="CE405" s="1214"/>
      <c r="CF405" s="54"/>
      <c r="CG405" s="1214"/>
      <c r="CH405" s="1214"/>
      <c r="CI405" s="1214"/>
      <c r="CJ405" s="1214"/>
    </row>
    <row r="406" spans="1:88" x14ac:dyDescent="0.5">
      <c r="A406" s="227">
        <v>20016476</v>
      </c>
      <c r="B406" s="22">
        <v>20010038</v>
      </c>
      <c r="C406" s="1019" t="s">
        <v>1358</v>
      </c>
      <c r="D406" s="1020" t="s">
        <v>2691</v>
      </c>
      <c r="E406" s="884">
        <v>43857</v>
      </c>
      <c r="F406" s="57"/>
      <c r="G406" s="58"/>
      <c r="H406" s="59"/>
      <c r="I406" s="60"/>
      <c r="J406" s="269"/>
      <c r="K406" s="59"/>
      <c r="L406" s="22" t="s">
        <v>9</v>
      </c>
      <c r="M406" s="28" t="s">
        <v>3436</v>
      </c>
      <c r="N406" s="22" t="s">
        <v>50</v>
      </c>
      <c r="O406" s="29">
        <v>8000</v>
      </c>
      <c r="P406" s="29">
        <f t="shared" si="548"/>
        <v>560</v>
      </c>
      <c r="Q406" s="29">
        <f t="shared" si="549"/>
        <v>8560</v>
      </c>
      <c r="R406" s="61"/>
      <c r="S406" s="96"/>
      <c r="T406" s="97"/>
      <c r="U406" s="98"/>
      <c r="V406" s="1225"/>
      <c r="W406" s="1225"/>
      <c r="X406" s="100"/>
      <c r="Y406" s="1225"/>
      <c r="Z406" s="1225"/>
      <c r="AA406" s="1225"/>
      <c r="AB406" s="1225"/>
      <c r="AC406" s="100"/>
      <c r="AD406" s="595"/>
      <c r="AE406" s="40">
        <v>20040101</v>
      </c>
      <c r="AF406" s="1186" t="s">
        <v>3423</v>
      </c>
      <c r="AG406" s="41">
        <v>8000</v>
      </c>
      <c r="AH406" s="63">
        <f t="shared" si="551"/>
        <v>560</v>
      </c>
      <c r="AI406" s="52">
        <f t="shared" si="552"/>
        <v>8560</v>
      </c>
      <c r="AJ406" s="53">
        <v>43968</v>
      </c>
      <c r="AK406" s="39" t="s">
        <v>3423</v>
      </c>
      <c r="AL406" s="39"/>
      <c r="AM406" s="39"/>
      <c r="AN406" s="21" t="s">
        <v>4014</v>
      </c>
      <c r="AO406" s="1172">
        <v>1</v>
      </c>
      <c r="AP406" s="45" t="s">
        <v>1158</v>
      </c>
      <c r="AQ406" s="46"/>
      <c r="AR406" s="46"/>
      <c r="AS406" s="47">
        <v>3</v>
      </c>
      <c r="AT406" s="48" t="s">
        <v>628</v>
      </c>
      <c r="AU406" s="1214"/>
      <c r="AV406" s="54"/>
      <c r="AW406" s="1214"/>
      <c r="AX406" s="1214"/>
      <c r="AY406" s="1214"/>
      <c r="AZ406" s="54"/>
      <c r="BA406" s="1214"/>
      <c r="BB406" s="54"/>
      <c r="BC406" s="1214"/>
      <c r="BD406" s="1214"/>
      <c r="BE406" s="1214"/>
      <c r="BF406" s="54"/>
      <c r="BG406" s="1214"/>
      <c r="BH406" s="54"/>
      <c r="BI406" s="1214"/>
      <c r="BJ406" s="1214"/>
      <c r="BK406" s="1214"/>
      <c r="BL406" s="54"/>
      <c r="BM406" s="1214"/>
      <c r="BN406" s="54"/>
      <c r="BO406" s="1214"/>
      <c r="BP406" s="1214"/>
      <c r="BQ406" s="1214"/>
      <c r="BR406" s="54"/>
      <c r="BS406" s="1214"/>
      <c r="BT406" s="54"/>
      <c r="BU406" s="1214"/>
      <c r="BV406" s="1214"/>
      <c r="BW406" s="1214"/>
      <c r="BX406" s="54"/>
      <c r="BY406" s="1214"/>
      <c r="BZ406" s="54"/>
      <c r="CA406" s="1214"/>
      <c r="CB406" s="1214"/>
      <c r="CC406" s="1214"/>
      <c r="CD406" s="54"/>
      <c r="CE406" s="1214"/>
      <c r="CF406" s="54"/>
      <c r="CG406" s="1214"/>
      <c r="CH406" s="1214"/>
      <c r="CI406" s="1214"/>
      <c r="CJ406" s="1214"/>
    </row>
    <row r="407" spans="1:88" x14ac:dyDescent="0.5">
      <c r="A407" s="227">
        <v>20016475</v>
      </c>
      <c r="B407" s="22">
        <v>20016475</v>
      </c>
      <c r="C407" s="1019" t="s">
        <v>1359</v>
      </c>
      <c r="D407" s="1020" t="s">
        <v>2691</v>
      </c>
      <c r="E407" s="884">
        <v>43853</v>
      </c>
      <c r="F407" s="57"/>
      <c r="G407" s="58"/>
      <c r="H407" s="59"/>
      <c r="I407" s="60"/>
      <c r="J407" s="269"/>
      <c r="K407" s="59"/>
      <c r="L407" s="22" t="s">
        <v>9</v>
      </c>
      <c r="M407" s="28" t="s">
        <v>3438</v>
      </c>
      <c r="N407" s="22" t="s">
        <v>50</v>
      </c>
      <c r="O407" s="29">
        <v>2500</v>
      </c>
      <c r="P407" s="29">
        <f t="shared" si="548"/>
        <v>175</v>
      </c>
      <c r="Q407" s="29">
        <f t="shared" si="549"/>
        <v>2675</v>
      </c>
      <c r="R407" s="61"/>
      <c r="S407" s="96"/>
      <c r="T407" s="97"/>
      <c r="U407" s="98"/>
      <c r="V407" s="1225"/>
      <c r="W407" s="1225"/>
      <c r="X407" s="100"/>
      <c r="Y407" s="1225"/>
      <c r="Z407" s="1225"/>
      <c r="AA407" s="1225"/>
      <c r="AB407" s="1225"/>
      <c r="AC407" s="100"/>
      <c r="AD407" s="595"/>
      <c r="AE407" s="40">
        <v>20020042</v>
      </c>
      <c r="AF407" s="1186" t="s">
        <v>3423</v>
      </c>
      <c r="AG407" s="41">
        <v>2500</v>
      </c>
      <c r="AH407" s="63">
        <f t="shared" si="551"/>
        <v>175</v>
      </c>
      <c r="AI407" s="52">
        <f t="shared" si="552"/>
        <v>2675</v>
      </c>
      <c r="AJ407" s="53">
        <v>43912</v>
      </c>
      <c r="AK407" s="39" t="s">
        <v>3423</v>
      </c>
      <c r="AL407" s="39"/>
      <c r="AM407" s="39"/>
      <c r="AN407" s="21" t="s">
        <v>4040</v>
      </c>
      <c r="AO407" s="1172">
        <v>1</v>
      </c>
      <c r="AP407" s="45" t="s">
        <v>2530</v>
      </c>
      <c r="AQ407" s="46"/>
      <c r="AR407" s="46"/>
      <c r="AS407" s="47">
        <v>2</v>
      </c>
      <c r="AT407" s="48" t="s">
        <v>628</v>
      </c>
      <c r="AU407" s="1214"/>
      <c r="AV407" s="54"/>
      <c r="AW407" s="1214"/>
      <c r="AX407" s="1214"/>
      <c r="AY407" s="1214"/>
      <c r="AZ407" s="54"/>
      <c r="BA407" s="1214"/>
      <c r="BB407" s="54"/>
      <c r="BC407" s="1214"/>
      <c r="BD407" s="1214"/>
      <c r="BE407" s="1214"/>
      <c r="BF407" s="54"/>
      <c r="BG407" s="1214"/>
      <c r="BH407" s="54"/>
      <c r="BI407" s="1214"/>
      <c r="BJ407" s="1214"/>
      <c r="BK407" s="1214"/>
      <c r="BL407" s="54"/>
      <c r="BM407" s="1214"/>
      <c r="BN407" s="54"/>
      <c r="BO407" s="1214"/>
      <c r="BP407" s="1214"/>
      <c r="BQ407" s="1214"/>
      <c r="BR407" s="54"/>
      <c r="BS407" s="1214"/>
      <c r="BT407" s="54"/>
      <c r="BU407" s="1214"/>
      <c r="BV407" s="1214"/>
      <c r="BW407" s="1214"/>
      <c r="BX407" s="54"/>
      <c r="BY407" s="1214"/>
      <c r="BZ407" s="54"/>
      <c r="CA407" s="1214"/>
      <c r="CB407" s="1214"/>
      <c r="CC407" s="1214"/>
      <c r="CD407" s="54"/>
      <c r="CE407" s="1214"/>
      <c r="CF407" s="54"/>
      <c r="CG407" s="1214"/>
      <c r="CH407" s="1214"/>
      <c r="CI407" s="1214"/>
      <c r="CJ407" s="1214"/>
    </row>
    <row r="408" spans="1:88" x14ac:dyDescent="0.5">
      <c r="A408" s="227">
        <v>20016474</v>
      </c>
      <c r="B408" s="22">
        <v>20010036</v>
      </c>
      <c r="C408" s="1019" t="s">
        <v>1357</v>
      </c>
      <c r="D408" s="1020" t="s">
        <v>2691</v>
      </c>
      <c r="E408" s="884">
        <v>43905</v>
      </c>
      <c r="F408" s="932" t="s">
        <v>3368</v>
      </c>
      <c r="G408" s="933" t="s">
        <v>1424</v>
      </c>
      <c r="H408" s="884">
        <v>43878</v>
      </c>
      <c r="I408" s="1021">
        <v>63051</v>
      </c>
      <c r="J408" s="931" t="s">
        <v>3423</v>
      </c>
      <c r="K408" s="957">
        <v>43879</v>
      </c>
      <c r="L408" s="22" t="s">
        <v>3407</v>
      </c>
      <c r="M408" s="28" t="s">
        <v>3408</v>
      </c>
      <c r="N408" s="22" t="s">
        <v>52</v>
      </c>
      <c r="O408" s="29">
        <v>84000</v>
      </c>
      <c r="P408" s="29">
        <f t="shared" si="548"/>
        <v>5880</v>
      </c>
      <c r="Q408" s="29">
        <f t="shared" si="549"/>
        <v>89880</v>
      </c>
      <c r="R408" s="30">
        <v>5900</v>
      </c>
      <c r="S408" s="96"/>
      <c r="T408" s="97"/>
      <c r="U408" s="98"/>
      <c r="V408" s="1225">
        <f t="shared" si="545"/>
        <v>0</v>
      </c>
      <c r="W408" s="1231">
        <v>60.32</v>
      </c>
      <c r="X408" s="1184">
        <f>O408-R408</f>
        <v>78100</v>
      </c>
      <c r="Y408" s="1223">
        <v>0.32</v>
      </c>
      <c r="Z408" s="1223">
        <f>78100*0.32/100</f>
        <v>249.92</v>
      </c>
      <c r="AA408" s="1228">
        <v>0.5</v>
      </c>
      <c r="AB408" s="1228">
        <f t="shared" si="544"/>
        <v>390.5</v>
      </c>
      <c r="AC408" s="37">
        <v>0.2</v>
      </c>
      <c r="AD408" s="1234">
        <f>X408*AC408/100</f>
        <v>156.19999999999999</v>
      </c>
      <c r="AE408" s="40">
        <v>20020028</v>
      </c>
      <c r="AF408" s="1186" t="s">
        <v>3423</v>
      </c>
      <c r="AG408" s="41">
        <v>84000</v>
      </c>
      <c r="AH408" s="63">
        <f t="shared" si="551"/>
        <v>5880</v>
      </c>
      <c r="AI408" s="52">
        <f t="shared" si="552"/>
        <v>89880</v>
      </c>
      <c r="AJ408" s="53">
        <v>43903</v>
      </c>
      <c r="AK408" s="39" t="s">
        <v>3423</v>
      </c>
      <c r="AL408" s="39"/>
      <c r="AM408" s="39"/>
      <c r="AN408" s="21" t="s">
        <v>3818</v>
      </c>
      <c r="AO408" s="1139">
        <v>1</v>
      </c>
      <c r="AP408" s="45" t="s">
        <v>1249</v>
      </c>
      <c r="AQ408" s="46"/>
      <c r="AR408" s="46" t="s">
        <v>3423</v>
      </c>
      <c r="AS408" s="47">
        <v>4</v>
      </c>
      <c r="AT408" s="48" t="s">
        <v>634</v>
      </c>
      <c r="AU408" s="1214"/>
      <c r="AV408" s="54"/>
      <c r="AW408" s="1214"/>
      <c r="AX408" s="1214"/>
      <c r="AY408" s="1214"/>
      <c r="AZ408" s="54"/>
      <c r="BA408" s="1214"/>
      <c r="BB408" s="54"/>
      <c r="BC408" s="1214"/>
      <c r="BD408" s="1214"/>
      <c r="BE408" s="1214"/>
      <c r="BF408" s="54"/>
      <c r="BG408" s="1214"/>
      <c r="BH408" s="54"/>
      <c r="BI408" s="1214"/>
      <c r="BJ408" s="1214"/>
      <c r="BK408" s="1214"/>
      <c r="BL408" s="54"/>
      <c r="BM408" s="1214"/>
      <c r="BN408" s="54"/>
      <c r="BO408" s="1214"/>
      <c r="BP408" s="1214"/>
      <c r="BQ408" s="1214"/>
      <c r="BR408" s="54"/>
      <c r="BS408" s="1214"/>
      <c r="BT408" s="54"/>
      <c r="BU408" s="1214"/>
      <c r="BV408" s="1214"/>
      <c r="BW408" s="1214"/>
      <c r="BX408" s="54"/>
      <c r="BY408" s="1214"/>
      <c r="BZ408" s="54"/>
      <c r="CA408" s="1214"/>
      <c r="CB408" s="1214"/>
      <c r="CC408" s="1214"/>
      <c r="CD408" s="54"/>
      <c r="CE408" s="1214"/>
      <c r="CF408" s="54"/>
      <c r="CG408" s="1214"/>
      <c r="CH408" s="1214"/>
      <c r="CI408" s="1214"/>
      <c r="CJ408" s="1214"/>
    </row>
    <row r="409" spans="1:88" s="95" customFormat="1" x14ac:dyDescent="0.5">
      <c r="A409" s="65">
        <v>20016473</v>
      </c>
      <c r="B409" s="66">
        <v>20010021</v>
      </c>
      <c r="C409" s="312"/>
      <c r="D409" s="313"/>
      <c r="E409" s="929"/>
      <c r="F409" s="314"/>
      <c r="G409" s="315"/>
      <c r="H409" s="316"/>
      <c r="I409" s="317"/>
      <c r="J409" s="835"/>
      <c r="K409" s="316"/>
      <c r="L409" s="66" t="s">
        <v>2012</v>
      </c>
      <c r="M409" s="72" t="s">
        <v>404</v>
      </c>
      <c r="N409" s="66" t="s">
        <v>1523</v>
      </c>
      <c r="O409" s="73">
        <v>64000</v>
      </c>
      <c r="P409" s="73">
        <f t="shared" si="548"/>
        <v>4480</v>
      </c>
      <c r="Q409" s="73">
        <f t="shared" si="549"/>
        <v>68480</v>
      </c>
      <c r="R409" s="318"/>
      <c r="S409" s="319"/>
      <c r="T409" s="320"/>
      <c r="U409" s="321"/>
      <c r="V409" s="1321">
        <f t="shared" si="545"/>
        <v>0</v>
      </c>
      <c r="W409" s="1321"/>
      <c r="X409" s="323"/>
      <c r="Y409" s="1321"/>
      <c r="Z409" s="1321"/>
      <c r="AA409" s="1321"/>
      <c r="AB409" s="1321"/>
      <c r="AC409" s="323"/>
      <c r="AD409" s="1322"/>
      <c r="AE409" s="84">
        <v>20010012</v>
      </c>
      <c r="AF409" s="1323" t="s">
        <v>3423</v>
      </c>
      <c r="AG409" s="85">
        <v>64000</v>
      </c>
      <c r="AH409" s="590">
        <f t="shared" si="551"/>
        <v>4480</v>
      </c>
      <c r="AI409" s="908">
        <f t="shared" si="552"/>
        <v>68480</v>
      </c>
      <c r="AJ409" s="909">
        <v>43847</v>
      </c>
      <c r="AK409" s="83"/>
      <c r="AL409" s="83"/>
      <c r="AM409" s="83" t="s">
        <v>3423</v>
      </c>
      <c r="AN409" s="65" t="s">
        <v>3424</v>
      </c>
      <c r="AO409" s="88">
        <v>1</v>
      </c>
      <c r="AP409" s="89" t="s">
        <v>404</v>
      </c>
      <c r="AQ409" s="90"/>
      <c r="AR409" s="90"/>
      <c r="AS409" s="91">
        <v>4</v>
      </c>
      <c r="AT409" s="633"/>
      <c r="AU409" s="88"/>
      <c r="AV409" s="94"/>
      <c r="AW409" s="88"/>
      <c r="AX409" s="88"/>
      <c r="AY409" s="88"/>
      <c r="AZ409" s="94"/>
      <c r="BA409" s="88"/>
      <c r="BB409" s="94"/>
      <c r="BC409" s="88"/>
      <c r="BD409" s="88"/>
      <c r="BE409" s="88"/>
      <c r="BF409" s="94"/>
      <c r="BG409" s="88"/>
      <c r="BH409" s="94"/>
      <c r="BI409" s="88"/>
      <c r="BJ409" s="88"/>
      <c r="BK409" s="88"/>
      <c r="BL409" s="94"/>
      <c r="BM409" s="88"/>
      <c r="BN409" s="94"/>
      <c r="BO409" s="88"/>
      <c r="BP409" s="88"/>
      <c r="BQ409" s="88"/>
      <c r="BR409" s="94"/>
      <c r="BS409" s="88"/>
      <c r="BT409" s="94"/>
      <c r="BU409" s="88"/>
      <c r="BV409" s="88"/>
      <c r="BW409" s="88"/>
      <c r="BX409" s="94"/>
      <c r="BY409" s="88"/>
      <c r="BZ409" s="94"/>
      <c r="CA409" s="88"/>
      <c r="CB409" s="88"/>
      <c r="CC409" s="88"/>
      <c r="CD409" s="94"/>
      <c r="CE409" s="88"/>
      <c r="CF409" s="94"/>
      <c r="CG409" s="88"/>
      <c r="CH409" s="88"/>
      <c r="CI409" s="88"/>
      <c r="CJ409" s="88"/>
    </row>
    <row r="410" spans="1:88" x14ac:dyDescent="0.5">
      <c r="A410" s="227" t="s">
        <v>3439</v>
      </c>
      <c r="B410" s="22">
        <v>20010042</v>
      </c>
      <c r="C410" s="55"/>
      <c r="D410" s="56"/>
      <c r="E410" s="910"/>
      <c r="F410" s="57"/>
      <c r="G410" s="58"/>
      <c r="H410" s="59"/>
      <c r="I410" s="60"/>
      <c r="J410" s="269"/>
      <c r="K410" s="59"/>
      <c r="L410" s="22" t="s">
        <v>1601</v>
      </c>
      <c r="M410" s="28" t="s">
        <v>3440</v>
      </c>
      <c r="N410" s="22" t="s">
        <v>51</v>
      </c>
      <c r="O410" s="29">
        <v>23000</v>
      </c>
      <c r="P410" s="29" t="s">
        <v>402</v>
      </c>
      <c r="Q410" s="29">
        <f>O410</f>
        <v>23000</v>
      </c>
      <c r="R410" s="61"/>
      <c r="S410" s="96"/>
      <c r="T410" s="97"/>
      <c r="U410" s="98"/>
      <c r="V410" s="1225"/>
      <c r="W410" s="1225"/>
      <c r="X410" s="100"/>
      <c r="Y410" s="1225"/>
      <c r="Z410" s="1225"/>
      <c r="AA410" s="1225"/>
      <c r="AB410" s="1225"/>
      <c r="AC410" s="100"/>
      <c r="AD410" s="595"/>
      <c r="AE410" s="40"/>
      <c r="AF410" s="1186"/>
      <c r="AG410" s="41"/>
      <c r="AH410" s="63"/>
      <c r="AI410" s="52"/>
      <c r="AJ410" s="53"/>
      <c r="AK410" s="39"/>
      <c r="AL410" s="39"/>
      <c r="AM410" s="39"/>
      <c r="AN410" s="21"/>
      <c r="AO410" s="1214">
        <v>1</v>
      </c>
      <c r="AP410" s="45" t="s">
        <v>1919</v>
      </c>
      <c r="AQ410" s="46"/>
      <c r="AR410" s="46"/>
      <c r="AS410" s="47">
        <v>1</v>
      </c>
      <c r="AT410" s="48" t="s">
        <v>628</v>
      </c>
      <c r="AU410" s="1214"/>
      <c r="AV410" s="54"/>
      <c r="AW410" s="1214"/>
      <c r="AX410" s="1214"/>
      <c r="AY410" s="1214"/>
      <c r="AZ410" s="54"/>
      <c r="BA410" s="1214"/>
      <c r="BB410" s="54"/>
      <c r="BC410" s="1214"/>
      <c r="BD410" s="1214"/>
      <c r="BE410" s="1214"/>
      <c r="BF410" s="54"/>
      <c r="BG410" s="1214"/>
      <c r="BH410" s="54"/>
      <c r="BI410" s="1214"/>
      <c r="BJ410" s="1214"/>
      <c r="BK410" s="1214"/>
      <c r="BL410" s="54"/>
      <c r="BM410" s="1214"/>
      <c r="BN410" s="54"/>
      <c r="BO410" s="1214"/>
      <c r="BP410" s="1214"/>
      <c r="BQ410" s="1214"/>
      <c r="BR410" s="54"/>
      <c r="BS410" s="1214"/>
      <c r="BT410" s="54"/>
      <c r="BU410" s="1214"/>
      <c r="BV410" s="1214"/>
      <c r="BW410" s="1214"/>
      <c r="BX410" s="54"/>
      <c r="BY410" s="1214"/>
      <c r="BZ410" s="54"/>
      <c r="CA410" s="1214"/>
      <c r="CB410" s="1214"/>
      <c r="CC410" s="1214"/>
      <c r="CD410" s="54"/>
      <c r="CE410" s="1214"/>
      <c r="CF410" s="54"/>
      <c r="CG410" s="1214"/>
      <c r="CH410" s="1214"/>
      <c r="CI410" s="1214"/>
      <c r="CJ410" s="1214"/>
    </row>
    <row r="411" spans="1:88" x14ac:dyDescent="0.5">
      <c r="A411" s="227" t="s">
        <v>3429</v>
      </c>
      <c r="B411" s="22">
        <v>20010035</v>
      </c>
      <c r="C411" s="1019" t="s">
        <v>1362</v>
      </c>
      <c r="D411" s="1020" t="s">
        <v>2691</v>
      </c>
      <c r="E411" s="884">
        <v>43866</v>
      </c>
      <c r="F411" s="932"/>
      <c r="G411" s="933"/>
      <c r="H411" s="884">
        <v>43865</v>
      </c>
      <c r="I411" s="1021">
        <v>63036</v>
      </c>
      <c r="J411" s="931" t="s">
        <v>3423</v>
      </c>
      <c r="K411" s="957">
        <v>43867</v>
      </c>
      <c r="L411" s="22" t="s">
        <v>10</v>
      </c>
      <c r="M411" s="28" t="s">
        <v>3430</v>
      </c>
      <c r="N411" s="22" t="s">
        <v>51</v>
      </c>
      <c r="O411" s="29">
        <v>240000</v>
      </c>
      <c r="P411" s="29" t="s">
        <v>402</v>
      </c>
      <c r="Q411" s="29">
        <f>O411</f>
        <v>240000</v>
      </c>
      <c r="R411" s="61"/>
      <c r="S411" s="96"/>
      <c r="T411" s="97"/>
      <c r="U411" s="98"/>
      <c r="V411" s="1225"/>
      <c r="W411" s="1225"/>
      <c r="X411" s="100"/>
      <c r="Y411" s="1225"/>
      <c r="Z411" s="1225"/>
      <c r="AA411" s="1225"/>
      <c r="AB411" s="1225"/>
      <c r="AC411" s="100"/>
      <c r="AD411" s="595"/>
      <c r="AE411" s="40"/>
      <c r="AF411" s="1186"/>
      <c r="AG411" s="41"/>
      <c r="AH411" s="63"/>
      <c r="AI411" s="52"/>
      <c r="AJ411" s="53"/>
      <c r="AK411" s="39"/>
      <c r="AL411" s="39"/>
      <c r="AM411" s="39"/>
      <c r="AN411" s="21"/>
      <c r="AO411" s="1214">
        <v>1</v>
      </c>
      <c r="AP411" s="45" t="s">
        <v>3431</v>
      </c>
      <c r="AQ411" s="46"/>
      <c r="AR411" s="46" t="s">
        <v>3423</v>
      </c>
      <c r="AS411" s="47">
        <v>1</v>
      </c>
      <c r="AT411" s="48" t="s">
        <v>633</v>
      </c>
      <c r="AU411" s="1214"/>
      <c r="AV411" s="54"/>
      <c r="AW411" s="1214"/>
      <c r="AX411" s="1214"/>
      <c r="AY411" s="1214"/>
      <c r="AZ411" s="54"/>
      <c r="BA411" s="1214"/>
      <c r="BB411" s="54"/>
      <c r="BC411" s="1214"/>
      <c r="BD411" s="1214"/>
      <c r="BE411" s="1214"/>
      <c r="BF411" s="54"/>
      <c r="BG411" s="1214"/>
      <c r="BH411" s="54"/>
      <c r="BI411" s="1214"/>
      <c r="BJ411" s="1214"/>
      <c r="BK411" s="1214"/>
      <c r="BL411" s="54"/>
      <c r="BM411" s="1214"/>
      <c r="BN411" s="54"/>
      <c r="BO411" s="1214"/>
      <c r="BP411" s="1214"/>
      <c r="BQ411" s="1214"/>
      <c r="BR411" s="54"/>
      <c r="BS411" s="1214"/>
      <c r="BT411" s="54"/>
      <c r="BU411" s="1214"/>
      <c r="BV411" s="1214"/>
      <c r="BW411" s="1214"/>
      <c r="BX411" s="54"/>
      <c r="BY411" s="1214"/>
      <c r="BZ411" s="54"/>
      <c r="CA411" s="1214"/>
      <c r="CB411" s="1214"/>
      <c r="CC411" s="1214"/>
      <c r="CD411" s="54"/>
      <c r="CE411" s="1214"/>
      <c r="CF411" s="54"/>
      <c r="CG411" s="1214"/>
      <c r="CH411" s="1214"/>
      <c r="CI411" s="1214"/>
      <c r="CJ411" s="1214"/>
    </row>
    <row r="412" spans="1:88" x14ac:dyDescent="0.5">
      <c r="A412" s="227">
        <v>20016472</v>
      </c>
      <c r="B412" s="22">
        <v>20010020</v>
      </c>
      <c r="C412" s="1019" t="s">
        <v>1356</v>
      </c>
      <c r="D412" s="1020" t="s">
        <v>2691</v>
      </c>
      <c r="E412" s="884">
        <v>43859</v>
      </c>
      <c r="F412" s="932" t="s">
        <v>3368</v>
      </c>
      <c r="G412" s="933" t="s">
        <v>1436</v>
      </c>
      <c r="H412" s="884">
        <v>43864</v>
      </c>
      <c r="I412" s="1021">
        <v>63033</v>
      </c>
      <c r="J412" s="931" t="s">
        <v>3423</v>
      </c>
      <c r="K412" s="957">
        <v>43865</v>
      </c>
      <c r="L412" s="22" t="s">
        <v>20</v>
      </c>
      <c r="M412" s="28" t="s">
        <v>87</v>
      </c>
      <c r="N412" s="22" t="s">
        <v>51</v>
      </c>
      <c r="O412" s="29">
        <v>160000</v>
      </c>
      <c r="P412" s="29">
        <f t="shared" si="548"/>
        <v>11200</v>
      </c>
      <c r="Q412" s="29">
        <f t="shared" si="549"/>
        <v>171200</v>
      </c>
      <c r="R412" s="61"/>
      <c r="S412" s="96"/>
      <c r="T412" s="97"/>
      <c r="U412" s="98"/>
      <c r="V412" s="1225">
        <f t="shared" si="545"/>
        <v>0</v>
      </c>
      <c r="W412" s="1225"/>
      <c r="X412" s="100"/>
      <c r="Y412" s="1225"/>
      <c r="Z412" s="1225"/>
      <c r="AA412" s="1225"/>
      <c r="AB412" s="1225"/>
      <c r="AC412" s="100"/>
      <c r="AD412" s="595"/>
      <c r="AE412" s="40">
        <v>20020033</v>
      </c>
      <c r="AF412" s="1186" t="s">
        <v>3423</v>
      </c>
      <c r="AG412" s="41">
        <v>160000</v>
      </c>
      <c r="AH412" s="63">
        <f t="shared" si="551"/>
        <v>11200</v>
      </c>
      <c r="AI412" s="52">
        <f t="shared" si="552"/>
        <v>171200</v>
      </c>
      <c r="AJ412" s="53">
        <v>43903</v>
      </c>
      <c r="AK412" s="39" t="s">
        <v>3423</v>
      </c>
      <c r="AL412" s="39"/>
      <c r="AM412" s="39"/>
      <c r="AN412" s="21" t="s">
        <v>3799</v>
      </c>
      <c r="AO412" s="1139">
        <v>1</v>
      </c>
      <c r="AP412" s="45" t="s">
        <v>770</v>
      </c>
      <c r="AQ412" s="46"/>
      <c r="AR412" s="46" t="s">
        <v>3423</v>
      </c>
      <c r="AS412" s="47">
        <v>1</v>
      </c>
      <c r="AT412" s="48" t="s">
        <v>633</v>
      </c>
      <c r="AU412" s="1214"/>
      <c r="AV412" s="54"/>
      <c r="AW412" s="1214"/>
      <c r="AX412" s="1214"/>
      <c r="AY412" s="1214"/>
      <c r="AZ412" s="54"/>
      <c r="BA412" s="1214"/>
      <c r="BB412" s="54"/>
      <c r="BC412" s="1214"/>
      <c r="BD412" s="1214"/>
      <c r="BE412" s="1214"/>
      <c r="BF412" s="54"/>
      <c r="BG412" s="1214"/>
      <c r="BH412" s="54"/>
      <c r="BI412" s="1214"/>
      <c r="BJ412" s="1214"/>
      <c r="BK412" s="1214"/>
      <c r="BL412" s="54"/>
      <c r="BM412" s="1214"/>
      <c r="BN412" s="54"/>
      <c r="BO412" s="1214"/>
      <c r="BP412" s="1214"/>
      <c r="BQ412" s="1214"/>
      <c r="BR412" s="54"/>
      <c r="BS412" s="1214"/>
      <c r="BT412" s="54"/>
      <c r="BU412" s="1214"/>
      <c r="BV412" s="1214"/>
      <c r="BW412" s="1214"/>
      <c r="BX412" s="54"/>
      <c r="BY412" s="1214"/>
      <c r="BZ412" s="54"/>
      <c r="CA412" s="1214"/>
      <c r="CB412" s="1214"/>
      <c r="CC412" s="1214"/>
      <c r="CD412" s="54"/>
      <c r="CE412" s="1214"/>
      <c r="CF412" s="54"/>
      <c r="CG412" s="1214"/>
      <c r="CH412" s="1214"/>
      <c r="CI412" s="1214"/>
      <c r="CJ412" s="1214"/>
    </row>
    <row r="413" spans="1:88" x14ac:dyDescent="0.5">
      <c r="A413" s="227" t="s">
        <v>3373</v>
      </c>
      <c r="B413" s="21">
        <v>20010012</v>
      </c>
      <c r="C413" s="1019" t="s">
        <v>1351</v>
      </c>
      <c r="D413" s="1020" t="s">
        <v>2691</v>
      </c>
      <c r="E413" s="884">
        <v>43845</v>
      </c>
      <c r="F413" s="932"/>
      <c r="G413" s="933"/>
      <c r="H413" s="884">
        <v>23031</v>
      </c>
      <c r="I413" s="1021">
        <v>63019</v>
      </c>
      <c r="J413" s="931" t="s">
        <v>3423</v>
      </c>
      <c r="K413" s="957">
        <v>43851</v>
      </c>
      <c r="L413" s="21" t="s">
        <v>3374</v>
      </c>
      <c r="M413" s="1170" t="s">
        <v>3375</v>
      </c>
      <c r="N413" s="21" t="s">
        <v>51</v>
      </c>
      <c r="O413" s="1171">
        <v>4000</v>
      </c>
      <c r="P413" s="29" t="s">
        <v>402</v>
      </c>
      <c r="Q413" s="29">
        <f>O413</f>
        <v>4000</v>
      </c>
      <c r="R413" s="61"/>
      <c r="S413" s="96"/>
      <c r="T413" s="97"/>
      <c r="U413" s="98"/>
      <c r="V413" s="1225">
        <f t="shared" si="545"/>
        <v>0</v>
      </c>
      <c r="W413" s="1225"/>
      <c r="X413" s="100"/>
      <c r="Y413" s="1225"/>
      <c r="Z413" s="1225"/>
      <c r="AA413" s="1225"/>
      <c r="AB413" s="1225"/>
      <c r="AC413" s="100"/>
      <c r="AD413" s="595"/>
      <c r="AE413" s="40"/>
      <c r="AF413" s="1186"/>
      <c r="AG413" s="41"/>
      <c r="AH413" s="63">
        <f t="shared" si="551"/>
        <v>0</v>
      </c>
      <c r="AI413" s="52">
        <f t="shared" si="552"/>
        <v>0</v>
      </c>
      <c r="AJ413" s="43"/>
      <c r="AK413" s="39"/>
      <c r="AL413" s="39"/>
      <c r="AM413" s="39"/>
      <c r="AN413" s="21"/>
      <c r="AO413" s="1139">
        <v>1</v>
      </c>
      <c r="AP413" s="45" t="s">
        <v>2253</v>
      </c>
      <c r="AQ413" s="46" t="s">
        <v>3423</v>
      </c>
      <c r="AR413" s="46"/>
      <c r="AS413" s="47">
        <v>1</v>
      </c>
      <c r="AT413" s="48" t="s">
        <v>634</v>
      </c>
      <c r="AU413" s="1168"/>
      <c r="AV413" s="54"/>
      <c r="AW413" s="1168"/>
      <c r="AX413" s="1168"/>
      <c r="AY413" s="1168"/>
      <c r="AZ413" s="54"/>
      <c r="BA413" s="1168"/>
      <c r="BB413" s="54"/>
      <c r="BC413" s="1168"/>
      <c r="BD413" s="1168"/>
      <c r="BE413" s="1168"/>
      <c r="BF413" s="54"/>
      <c r="BG413" s="1168"/>
      <c r="BH413" s="54"/>
      <c r="BI413" s="1168"/>
      <c r="BJ413" s="1168"/>
      <c r="BK413" s="1168"/>
      <c r="BL413" s="54"/>
      <c r="BM413" s="1168"/>
      <c r="BN413" s="54"/>
      <c r="BO413" s="1168"/>
      <c r="BP413" s="1168"/>
      <c r="BQ413" s="1168"/>
      <c r="BR413" s="54"/>
      <c r="BS413" s="1168"/>
      <c r="BT413" s="54"/>
      <c r="BU413" s="1168"/>
      <c r="BV413" s="1168"/>
      <c r="BW413" s="1168"/>
      <c r="BX413" s="54"/>
      <c r="BY413" s="1168"/>
      <c r="BZ413" s="54"/>
      <c r="CA413" s="1168"/>
      <c r="CB413" s="1168"/>
      <c r="CC413" s="1168"/>
      <c r="CD413" s="54"/>
      <c r="CE413" s="1168"/>
      <c r="CF413" s="54"/>
      <c r="CG413" s="1168"/>
      <c r="CH413" s="1168"/>
      <c r="CI413" s="1168"/>
      <c r="CJ413" s="1168"/>
    </row>
    <row r="414" spans="1:88" x14ac:dyDescent="0.5">
      <c r="A414" s="227">
        <v>20016471</v>
      </c>
      <c r="B414" s="22">
        <v>20010009</v>
      </c>
      <c r="C414" s="1019" t="s">
        <v>1353</v>
      </c>
      <c r="D414" s="1020" t="s">
        <v>2691</v>
      </c>
      <c r="E414" s="884">
        <v>43851</v>
      </c>
      <c r="F414" s="932" t="s">
        <v>3368</v>
      </c>
      <c r="G414" s="933" t="s">
        <v>1448</v>
      </c>
      <c r="H414" s="884">
        <v>23031</v>
      </c>
      <c r="I414" s="1021">
        <v>63018</v>
      </c>
      <c r="J414" s="931" t="s">
        <v>3423</v>
      </c>
      <c r="K414" s="957">
        <v>43851</v>
      </c>
      <c r="L414" s="22" t="s">
        <v>23</v>
      </c>
      <c r="M414" s="28" t="s">
        <v>505</v>
      </c>
      <c r="N414" s="22" t="s">
        <v>51</v>
      </c>
      <c r="O414" s="29">
        <v>124000</v>
      </c>
      <c r="P414" s="29">
        <f t="shared" si="548"/>
        <v>8680</v>
      </c>
      <c r="Q414" s="29">
        <f t="shared" si="549"/>
        <v>132680</v>
      </c>
      <c r="R414" s="61"/>
      <c r="S414" s="96"/>
      <c r="T414" s="97"/>
      <c r="U414" s="98"/>
      <c r="V414" s="1225">
        <f t="shared" si="545"/>
        <v>0</v>
      </c>
      <c r="W414" s="1225"/>
      <c r="X414" s="100"/>
      <c r="Y414" s="1225"/>
      <c r="Z414" s="1225"/>
      <c r="AA414" s="1225"/>
      <c r="AB414" s="1225"/>
      <c r="AC414" s="100"/>
      <c r="AD414" s="595"/>
      <c r="AE414" s="40">
        <v>20010013</v>
      </c>
      <c r="AF414" s="1186" t="s">
        <v>3423</v>
      </c>
      <c r="AG414" s="41">
        <v>124000</v>
      </c>
      <c r="AH414" s="63">
        <f t="shared" si="551"/>
        <v>8680</v>
      </c>
      <c r="AI414" s="52">
        <f t="shared" si="552"/>
        <v>132680</v>
      </c>
      <c r="AJ414" s="53">
        <v>43877</v>
      </c>
      <c r="AK414" s="39" t="s">
        <v>3423</v>
      </c>
      <c r="AL414" s="39"/>
      <c r="AM414" s="39"/>
      <c r="AN414" s="21" t="s">
        <v>3603</v>
      </c>
      <c r="AO414" s="1139">
        <v>1</v>
      </c>
      <c r="AP414" s="45" t="s">
        <v>3369</v>
      </c>
      <c r="AQ414" s="46"/>
      <c r="AR414" s="46" t="s">
        <v>3423</v>
      </c>
      <c r="AS414" s="47">
        <v>1</v>
      </c>
      <c r="AT414" s="48" t="s">
        <v>633</v>
      </c>
      <c r="AU414" s="1168"/>
      <c r="AV414" s="54"/>
      <c r="AW414" s="1168"/>
      <c r="AX414" s="1168"/>
      <c r="AY414" s="1168"/>
      <c r="AZ414" s="54"/>
      <c r="BA414" s="1168"/>
      <c r="BB414" s="54"/>
      <c r="BC414" s="1168"/>
      <c r="BD414" s="1168"/>
      <c r="BE414" s="1168"/>
      <c r="BF414" s="54"/>
      <c r="BG414" s="1168"/>
      <c r="BH414" s="54"/>
      <c r="BI414" s="1168"/>
      <c r="BJ414" s="1168"/>
      <c r="BK414" s="1168"/>
      <c r="BL414" s="54"/>
      <c r="BM414" s="1168"/>
      <c r="BN414" s="54"/>
      <c r="BO414" s="1168"/>
      <c r="BP414" s="1168"/>
      <c r="BQ414" s="1168"/>
      <c r="BR414" s="54"/>
      <c r="BS414" s="1168"/>
      <c r="BT414" s="54"/>
      <c r="BU414" s="1168"/>
      <c r="BV414" s="1168"/>
      <c r="BW414" s="1168"/>
      <c r="BX414" s="54"/>
      <c r="BY414" s="1168"/>
      <c r="BZ414" s="54"/>
      <c r="CA414" s="1168"/>
      <c r="CB414" s="1168"/>
      <c r="CC414" s="1168"/>
      <c r="CD414" s="54"/>
      <c r="CE414" s="1168"/>
      <c r="CF414" s="54"/>
      <c r="CG414" s="1168"/>
      <c r="CH414" s="1168"/>
      <c r="CI414" s="1168"/>
      <c r="CJ414" s="1168"/>
    </row>
    <row r="415" spans="1:88" x14ac:dyDescent="0.5">
      <c r="A415" s="227">
        <v>20016470</v>
      </c>
      <c r="B415" s="22">
        <v>20010013</v>
      </c>
      <c r="C415" s="1019" t="s">
        <v>1355</v>
      </c>
      <c r="D415" s="1020" t="s">
        <v>2691</v>
      </c>
      <c r="E415" s="884">
        <v>43857</v>
      </c>
      <c r="F415" s="932" t="s">
        <v>3368</v>
      </c>
      <c r="G415" s="933" t="s">
        <v>1442</v>
      </c>
      <c r="H415" s="884">
        <v>43857</v>
      </c>
      <c r="I415" s="1021">
        <v>63026</v>
      </c>
      <c r="J415" s="931" t="s">
        <v>3423</v>
      </c>
      <c r="K415" s="957">
        <v>43858</v>
      </c>
      <c r="L415" s="22" t="s">
        <v>3370</v>
      </c>
      <c r="M415" s="28" t="s">
        <v>3371</v>
      </c>
      <c r="N415" s="22" t="s">
        <v>51</v>
      </c>
      <c r="O415" s="29">
        <v>126000</v>
      </c>
      <c r="P415" s="29">
        <f t="shared" si="548"/>
        <v>8820</v>
      </c>
      <c r="Q415" s="29">
        <f t="shared" si="549"/>
        <v>134820</v>
      </c>
      <c r="R415" s="61"/>
      <c r="S415" s="96"/>
      <c r="T415" s="97"/>
      <c r="U415" s="98"/>
      <c r="V415" s="1225">
        <f t="shared" si="545"/>
        <v>0</v>
      </c>
      <c r="W415" s="1225"/>
      <c r="X415" s="100"/>
      <c r="Y415" s="1225"/>
      <c r="Z415" s="1225"/>
      <c r="AA415" s="1225"/>
      <c r="AB415" s="1225"/>
      <c r="AC415" s="100"/>
      <c r="AD415" s="595"/>
      <c r="AE415" s="40">
        <v>20010020</v>
      </c>
      <c r="AF415" s="1186" t="s">
        <v>3423</v>
      </c>
      <c r="AG415" s="41">
        <v>126000</v>
      </c>
      <c r="AH415" s="63">
        <f t="shared" si="551"/>
        <v>8820</v>
      </c>
      <c r="AI415" s="52">
        <f t="shared" si="552"/>
        <v>134820</v>
      </c>
      <c r="AJ415" s="53">
        <v>43891</v>
      </c>
      <c r="AK415" s="39" t="s">
        <v>3423</v>
      </c>
      <c r="AL415" s="39"/>
      <c r="AM415" s="39"/>
      <c r="AN415" s="21" t="s">
        <v>3796</v>
      </c>
      <c r="AO415" s="1135">
        <v>1</v>
      </c>
      <c r="AP415" s="45" t="s">
        <v>3372</v>
      </c>
      <c r="AQ415" s="46"/>
      <c r="AR415" s="46" t="s">
        <v>3423</v>
      </c>
      <c r="AS415" s="47">
        <v>2</v>
      </c>
      <c r="AT415" s="48" t="s">
        <v>633</v>
      </c>
      <c r="AU415" s="1168"/>
      <c r="AV415" s="54"/>
      <c r="AW415" s="1168"/>
      <c r="AX415" s="1168"/>
      <c r="AY415" s="1168"/>
      <c r="AZ415" s="54"/>
      <c r="BA415" s="1168"/>
      <c r="BB415" s="54"/>
      <c r="BC415" s="1168"/>
      <c r="BD415" s="1168"/>
      <c r="BE415" s="1168"/>
      <c r="BF415" s="54"/>
      <c r="BG415" s="1168"/>
      <c r="BH415" s="54"/>
      <c r="BI415" s="1168"/>
      <c r="BJ415" s="1168"/>
      <c r="BK415" s="1168"/>
      <c r="BL415" s="54"/>
      <c r="BM415" s="1168"/>
      <c r="BN415" s="54"/>
      <c r="BO415" s="1168"/>
      <c r="BP415" s="1168"/>
      <c r="BQ415" s="1168"/>
      <c r="BR415" s="54"/>
      <c r="BS415" s="1168"/>
      <c r="BT415" s="54"/>
      <c r="BU415" s="1168"/>
      <c r="BV415" s="1168"/>
      <c r="BW415" s="1168"/>
      <c r="BX415" s="54"/>
      <c r="BY415" s="1168"/>
      <c r="BZ415" s="54"/>
      <c r="CA415" s="1168"/>
      <c r="CB415" s="1168"/>
      <c r="CC415" s="1168"/>
      <c r="CD415" s="54"/>
      <c r="CE415" s="1168"/>
      <c r="CF415" s="54"/>
      <c r="CG415" s="1168"/>
      <c r="CH415" s="1168"/>
      <c r="CI415" s="1168"/>
      <c r="CJ415" s="1168"/>
    </row>
    <row r="416" spans="1:88" x14ac:dyDescent="0.5">
      <c r="A416" s="227">
        <v>20016469</v>
      </c>
      <c r="B416" s="22">
        <v>20010004</v>
      </c>
      <c r="C416" s="1019" t="s">
        <v>1352</v>
      </c>
      <c r="D416" s="1020" t="s">
        <v>2691</v>
      </c>
      <c r="E416" s="884">
        <v>43845</v>
      </c>
      <c r="F416" s="932" t="s">
        <v>3368</v>
      </c>
      <c r="G416" s="933" t="s">
        <v>1447</v>
      </c>
      <c r="H416" s="884">
        <v>43850</v>
      </c>
      <c r="I416" s="1021">
        <v>63017</v>
      </c>
      <c r="J416" s="931" t="s">
        <v>3423</v>
      </c>
      <c r="K416" s="957">
        <v>43851</v>
      </c>
      <c r="L416" s="22" t="s">
        <v>1546</v>
      </c>
      <c r="M416" s="28" t="s">
        <v>2957</v>
      </c>
      <c r="N416" s="22" t="s">
        <v>1523</v>
      </c>
      <c r="O416" s="29">
        <v>27400</v>
      </c>
      <c r="P416" s="29">
        <f t="shared" si="548"/>
        <v>1918</v>
      </c>
      <c r="Q416" s="29">
        <f t="shared" si="549"/>
        <v>29318</v>
      </c>
      <c r="R416" s="61"/>
      <c r="S416" s="96"/>
      <c r="T416" s="97"/>
      <c r="U416" s="98"/>
      <c r="V416" s="1225">
        <f t="shared" si="545"/>
        <v>0</v>
      </c>
      <c r="W416" s="1231">
        <v>52.8</v>
      </c>
      <c r="X416" s="1184">
        <f>O416</f>
        <v>27400</v>
      </c>
      <c r="Y416" s="1223">
        <v>0.43</v>
      </c>
      <c r="Z416" s="1223">
        <f>X416*Y416/100</f>
        <v>117.82</v>
      </c>
      <c r="AA416" s="1225"/>
      <c r="AB416" s="1225">
        <f>X416*AA416/100</f>
        <v>0</v>
      </c>
      <c r="AC416" s="37">
        <v>0.2</v>
      </c>
      <c r="AD416" s="1234">
        <f>X416*AC416/100</f>
        <v>54.8</v>
      </c>
      <c r="AE416" s="40">
        <v>20010017</v>
      </c>
      <c r="AF416" s="1186" t="s">
        <v>3423</v>
      </c>
      <c r="AG416" s="41">
        <v>27400</v>
      </c>
      <c r="AH416" s="63">
        <f t="shared" si="551"/>
        <v>1918</v>
      </c>
      <c r="AI416" s="52">
        <f t="shared" si="552"/>
        <v>29318</v>
      </c>
      <c r="AJ416" s="53">
        <v>43887</v>
      </c>
      <c r="AK416" s="39" t="s">
        <v>3423</v>
      </c>
      <c r="AL416" s="39"/>
      <c r="AM416" s="39"/>
      <c r="AN416" s="21" t="s">
        <v>3711</v>
      </c>
      <c r="AO416" s="1135">
        <v>1</v>
      </c>
      <c r="AP416" s="45" t="s">
        <v>2958</v>
      </c>
      <c r="AQ416" s="46"/>
      <c r="AR416" s="46" t="s">
        <v>3423</v>
      </c>
      <c r="AS416" s="47">
        <v>1</v>
      </c>
      <c r="AT416" s="48" t="s">
        <v>634</v>
      </c>
      <c r="AU416" s="1139"/>
      <c r="AV416" s="54"/>
      <c r="AW416" s="1139"/>
      <c r="AX416" s="1139"/>
      <c r="AY416" s="1139"/>
      <c r="AZ416" s="54"/>
      <c r="BA416" s="1139"/>
      <c r="BB416" s="54"/>
      <c r="BC416" s="1139"/>
      <c r="BD416" s="1139"/>
      <c r="BE416" s="1139"/>
      <c r="BF416" s="54"/>
      <c r="BG416" s="1139"/>
      <c r="BH416" s="54"/>
      <c r="BI416" s="1139"/>
      <c r="BJ416" s="1139"/>
      <c r="BK416" s="1139"/>
      <c r="BL416" s="54"/>
      <c r="BM416" s="1139"/>
      <c r="BN416" s="54"/>
      <c r="BO416" s="1139"/>
      <c r="BP416" s="1139"/>
      <c r="BQ416" s="1139"/>
      <c r="BR416" s="54"/>
      <c r="BS416" s="1139"/>
      <c r="BT416" s="54"/>
      <c r="BU416" s="1139"/>
      <c r="BV416" s="1139"/>
      <c r="BW416" s="1139"/>
      <c r="BX416" s="54"/>
      <c r="BY416" s="1139"/>
      <c r="BZ416" s="54"/>
      <c r="CA416" s="1139"/>
      <c r="CB416" s="1139"/>
      <c r="CC416" s="1139"/>
      <c r="CD416" s="54"/>
      <c r="CE416" s="1139"/>
      <c r="CF416" s="54"/>
      <c r="CG416" s="1139"/>
      <c r="CH416" s="1139"/>
      <c r="CI416" s="1139"/>
      <c r="CJ416" s="1139"/>
    </row>
    <row r="417" spans="1:88" x14ac:dyDescent="0.5">
      <c r="A417" s="227">
        <v>20016468</v>
      </c>
      <c r="B417" s="22">
        <v>20010002</v>
      </c>
      <c r="C417" s="55"/>
      <c r="D417" s="56"/>
      <c r="E417" s="910"/>
      <c r="F417" s="57"/>
      <c r="G417" s="58"/>
      <c r="H417" s="59"/>
      <c r="I417" s="60"/>
      <c r="J417" s="269"/>
      <c r="K417" s="59"/>
      <c r="L417" s="22" t="s">
        <v>3282</v>
      </c>
      <c r="M417" s="28" t="s">
        <v>3283</v>
      </c>
      <c r="N417" s="22" t="s">
        <v>51</v>
      </c>
      <c r="O417" s="29">
        <v>9300</v>
      </c>
      <c r="P417" s="29">
        <f t="shared" si="548"/>
        <v>651</v>
      </c>
      <c r="Q417" s="29">
        <f t="shared" si="549"/>
        <v>9951</v>
      </c>
      <c r="R417" s="61"/>
      <c r="S417" s="96"/>
      <c r="T417" s="97"/>
      <c r="U417" s="98"/>
      <c r="V417" s="1225">
        <f t="shared" si="545"/>
        <v>0</v>
      </c>
      <c r="W417" s="1225"/>
      <c r="X417" s="100"/>
      <c r="Y417" s="1225"/>
      <c r="Z417" s="1225"/>
      <c r="AA417" s="1225"/>
      <c r="AB417" s="1225"/>
      <c r="AC417" s="100"/>
      <c r="AD417" s="595"/>
      <c r="AE417" s="40">
        <v>20020023</v>
      </c>
      <c r="AF417" s="1186" t="s">
        <v>3423</v>
      </c>
      <c r="AG417" s="41">
        <v>9300</v>
      </c>
      <c r="AH417" s="63">
        <f t="shared" si="551"/>
        <v>651</v>
      </c>
      <c r="AI417" s="52">
        <f t="shared" si="552"/>
        <v>9951</v>
      </c>
      <c r="AJ417" s="53">
        <v>43901</v>
      </c>
      <c r="AK417" s="39" t="s">
        <v>3423</v>
      </c>
      <c r="AL417" s="39"/>
      <c r="AM417" s="39"/>
      <c r="AN417" s="21" t="s">
        <v>4107</v>
      </c>
      <c r="AO417" s="1135">
        <v>1</v>
      </c>
      <c r="AP417" s="45" t="s">
        <v>3284</v>
      </c>
      <c r="AQ417" s="46"/>
      <c r="AR417" s="46"/>
      <c r="AS417" s="47">
        <v>1</v>
      </c>
      <c r="AT417" s="48" t="s">
        <v>628</v>
      </c>
      <c r="AU417" s="1135">
        <v>2</v>
      </c>
      <c r="AV417" s="40" t="s">
        <v>3285</v>
      </c>
      <c r="AW417" s="47"/>
      <c r="AX417" s="47"/>
      <c r="AY417" s="47">
        <v>1</v>
      </c>
      <c r="AZ417" s="49" t="s">
        <v>628</v>
      </c>
      <c r="BA417" s="1139"/>
      <c r="BB417" s="54"/>
      <c r="BC417" s="1139"/>
      <c r="BD417" s="1139"/>
      <c r="BE417" s="1139"/>
      <c r="BF417" s="54"/>
      <c r="BG417" s="1139"/>
      <c r="BH417" s="54"/>
      <c r="BI417" s="1139"/>
      <c r="BJ417" s="1139"/>
      <c r="BK417" s="1139"/>
      <c r="BL417" s="54"/>
      <c r="BM417" s="1139"/>
      <c r="BN417" s="54"/>
      <c r="BO417" s="1139"/>
      <c r="BP417" s="1139"/>
      <c r="BQ417" s="1139"/>
      <c r="BR417" s="54"/>
      <c r="BS417" s="1139"/>
      <c r="BT417" s="54"/>
      <c r="BU417" s="1139"/>
      <c r="BV417" s="1139"/>
      <c r="BW417" s="1139"/>
      <c r="BX417" s="54"/>
      <c r="BY417" s="1139"/>
      <c r="BZ417" s="54"/>
      <c r="CA417" s="1139"/>
      <c r="CB417" s="1139"/>
      <c r="CC417" s="1139"/>
      <c r="CD417" s="54"/>
      <c r="CE417" s="1139"/>
      <c r="CF417" s="54"/>
      <c r="CG417" s="1139"/>
      <c r="CH417" s="1139"/>
      <c r="CI417" s="1139"/>
      <c r="CJ417" s="1139"/>
    </row>
    <row r="418" spans="1:88" x14ac:dyDescent="0.5">
      <c r="A418" s="227">
        <v>20016467</v>
      </c>
      <c r="B418" s="22">
        <v>20010001</v>
      </c>
      <c r="C418" s="1019" t="s">
        <v>1354</v>
      </c>
      <c r="D418" s="1020" t="s">
        <v>2691</v>
      </c>
      <c r="E418" s="884">
        <v>43851</v>
      </c>
      <c r="F418" s="932" t="s">
        <v>3368</v>
      </c>
      <c r="G418" s="933" t="s">
        <v>1430</v>
      </c>
      <c r="H418" s="884">
        <v>43881</v>
      </c>
      <c r="I418" s="1021">
        <v>63052</v>
      </c>
      <c r="J418" s="931" t="s">
        <v>3423</v>
      </c>
      <c r="K418" s="957">
        <v>43882</v>
      </c>
      <c r="L418" s="22" t="s">
        <v>1221</v>
      </c>
      <c r="M418" s="28" t="s">
        <v>3286</v>
      </c>
      <c r="N418" s="22" t="s">
        <v>51</v>
      </c>
      <c r="O418" s="29">
        <v>160000</v>
      </c>
      <c r="P418" s="29">
        <f t="shared" si="548"/>
        <v>11200</v>
      </c>
      <c r="Q418" s="29">
        <f t="shared" si="549"/>
        <v>171200</v>
      </c>
      <c r="R418" s="61"/>
      <c r="S418" s="96"/>
      <c r="T418" s="97"/>
      <c r="U418" s="98"/>
      <c r="V418" s="1225">
        <f t="shared" si="545"/>
        <v>0</v>
      </c>
      <c r="W418" s="1225"/>
      <c r="X418" s="100"/>
      <c r="Y418" s="1225"/>
      <c r="Z418" s="1225"/>
      <c r="AA418" s="1225"/>
      <c r="AB418" s="1225"/>
      <c r="AC418" s="100"/>
      <c r="AD418" s="595"/>
      <c r="AE418" s="40">
        <v>20020040</v>
      </c>
      <c r="AF418" s="1186" t="s">
        <v>3423</v>
      </c>
      <c r="AG418" s="41">
        <v>160000</v>
      </c>
      <c r="AH418" s="63">
        <f t="shared" si="551"/>
        <v>11200</v>
      </c>
      <c r="AI418" s="52">
        <f t="shared" si="552"/>
        <v>171200</v>
      </c>
      <c r="AJ418" s="53">
        <v>43927</v>
      </c>
      <c r="AK418" s="39" t="s">
        <v>3423</v>
      </c>
      <c r="AL418" s="39"/>
      <c r="AM418" s="39"/>
      <c r="AN418" s="21" t="s">
        <v>3813</v>
      </c>
      <c r="AO418" s="1135">
        <v>1</v>
      </c>
      <c r="AP418" s="45" t="s">
        <v>747</v>
      </c>
      <c r="AQ418" s="46"/>
      <c r="AR418" s="46" t="s">
        <v>3423</v>
      </c>
      <c r="AS418" s="47">
        <v>1</v>
      </c>
      <c r="AT418" s="48" t="s">
        <v>633</v>
      </c>
      <c r="AU418" s="1139"/>
      <c r="AV418" s="54"/>
      <c r="AW418" s="1139"/>
      <c r="AX418" s="1139"/>
      <c r="AY418" s="1139"/>
      <c r="AZ418" s="54"/>
      <c r="BA418" s="1139"/>
      <c r="BB418" s="54"/>
      <c r="BC418" s="1139"/>
      <c r="BD418" s="1139"/>
      <c r="BE418" s="1139"/>
      <c r="BF418" s="54"/>
      <c r="BG418" s="1139"/>
      <c r="BH418" s="54"/>
      <c r="BI418" s="1139"/>
      <c r="BJ418" s="1139"/>
      <c r="BK418" s="1139"/>
      <c r="BL418" s="54"/>
      <c r="BM418" s="1139"/>
      <c r="BN418" s="54"/>
      <c r="BO418" s="1139"/>
      <c r="BP418" s="1139"/>
      <c r="BQ418" s="1139"/>
      <c r="BR418" s="54"/>
      <c r="BS418" s="1139"/>
      <c r="BT418" s="54"/>
      <c r="BU418" s="1139"/>
      <c r="BV418" s="1139"/>
      <c r="BW418" s="1139"/>
      <c r="BX418" s="54"/>
      <c r="BY418" s="1139"/>
      <c r="BZ418" s="54"/>
      <c r="CA418" s="1139"/>
      <c r="CB418" s="1139"/>
      <c r="CC418" s="1139"/>
      <c r="CD418" s="54"/>
      <c r="CE418" s="1139"/>
      <c r="CF418" s="54"/>
      <c r="CG418" s="1139"/>
      <c r="CH418" s="1139"/>
      <c r="CI418" s="1139"/>
      <c r="CJ418" s="1139"/>
    </row>
  </sheetData>
  <mergeCells count="26">
    <mergeCell ref="AO1:CJ1"/>
    <mergeCell ref="Q1:Q2"/>
    <mergeCell ref="R1:R2"/>
    <mergeCell ref="S1:V1"/>
    <mergeCell ref="AC1:AD1"/>
    <mergeCell ref="AE1:AE2"/>
    <mergeCell ref="AG1:AG2"/>
    <mergeCell ref="AH1:AH2"/>
    <mergeCell ref="AI1:AI2"/>
    <mergeCell ref="AJ1:AJ2"/>
    <mergeCell ref="AK1:AN1"/>
    <mergeCell ref="W1:Z1"/>
    <mergeCell ref="AF1:AF2"/>
    <mergeCell ref="AA1:AB1"/>
    <mergeCell ref="P1:P2"/>
    <mergeCell ref="A1:A2"/>
    <mergeCell ref="B1:B2"/>
    <mergeCell ref="C1:D2"/>
    <mergeCell ref="E1:E2"/>
    <mergeCell ref="F1:G2"/>
    <mergeCell ref="H1:I1"/>
    <mergeCell ref="J1:K1"/>
    <mergeCell ref="L1:L2"/>
    <mergeCell ref="M1:M2"/>
    <mergeCell ref="N1:N2"/>
    <mergeCell ref="O1:O2"/>
  </mergeCells>
  <phoneticPr fontId="2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84"/>
  <sheetViews>
    <sheetView topLeftCell="A277" zoomScaleNormal="100" workbookViewId="0">
      <pane xSplit="2" topLeftCell="C1" activePane="topRight" state="frozen"/>
      <selection pane="topRight" activeCell="E278" sqref="E278"/>
    </sheetView>
  </sheetViews>
  <sheetFormatPr defaultRowHeight="24" x14ac:dyDescent="0.55000000000000004"/>
  <cols>
    <col min="1" max="1" width="17.5" style="662" customWidth="1"/>
    <col min="2" max="2" width="9" style="662" bestFit="1" customWidth="1"/>
    <col min="3" max="3" width="20" style="663" customWidth="1"/>
    <col min="4" max="4" width="28" style="662" bestFit="1" customWidth="1"/>
    <col min="5" max="5" width="15.33203125" style="662" bestFit="1" customWidth="1"/>
    <col min="6" max="6" width="3" style="664" bestFit="1" customWidth="1"/>
    <col min="7" max="7" width="34.33203125" style="663" bestFit="1" customWidth="1"/>
    <col min="8" max="8" width="10.1640625" style="665" bestFit="1" customWidth="1"/>
    <col min="9" max="9" width="3" style="664" bestFit="1" customWidth="1"/>
    <col min="10" max="10" width="33.5" style="663" bestFit="1" customWidth="1"/>
    <col min="11" max="11" width="9.33203125" style="666"/>
    <col min="12" max="12" width="3" style="664" bestFit="1" customWidth="1"/>
    <col min="13" max="13" width="33.33203125" style="662" bestFit="1" customWidth="1"/>
    <col min="14" max="14" width="9.33203125" style="666"/>
    <col min="15" max="15" width="3" style="664" bestFit="1" customWidth="1"/>
    <col min="16" max="16" width="33.33203125" style="662" bestFit="1" customWidth="1"/>
    <col min="17" max="17" width="11.1640625" style="666" bestFit="1" customWidth="1"/>
    <col min="18" max="18" width="3" style="664" bestFit="1" customWidth="1"/>
    <col min="19" max="19" width="28.6640625" style="662" bestFit="1" customWidth="1"/>
    <col min="20" max="20" width="10.83203125" style="666" bestFit="1" customWidth="1"/>
    <col min="21" max="21" width="3" style="664" bestFit="1" customWidth="1"/>
    <col min="22" max="22" width="28.6640625" style="662" bestFit="1" customWidth="1"/>
    <col min="23" max="23" width="10.1640625" style="666" bestFit="1" customWidth="1"/>
    <col min="24" max="24" width="3" style="664" bestFit="1" customWidth="1"/>
    <col min="25" max="25" width="25.5" style="662" bestFit="1" customWidth="1"/>
    <col min="26" max="26" width="9.33203125" style="666"/>
    <col min="27" max="27" width="3" style="664" bestFit="1" customWidth="1"/>
    <col min="28" max="28" width="26" style="662" bestFit="1" customWidth="1"/>
    <col min="29" max="29" width="9.33203125" style="666"/>
    <col min="30" max="30" width="3" style="664" bestFit="1" customWidth="1"/>
    <col min="31" max="31" width="27" style="662" bestFit="1" customWidth="1"/>
    <col min="32" max="32" width="9.33203125" style="666"/>
    <col min="33" max="33" width="4.5" style="664" bestFit="1" customWidth="1"/>
    <col min="34" max="34" width="24.83203125" style="662" bestFit="1" customWidth="1"/>
    <col min="35" max="35" width="9.33203125" style="666"/>
    <col min="36" max="36" width="4.5" style="664" bestFit="1" customWidth="1"/>
    <col min="37" max="37" width="10.1640625" style="662" bestFit="1" customWidth="1"/>
    <col min="38" max="38" width="9.33203125" style="666"/>
    <col min="39" max="16384" width="9.33203125" style="662"/>
  </cols>
  <sheetData>
    <row r="1" spans="1:38" x14ac:dyDescent="0.55000000000000004">
      <c r="A1" s="930" t="s">
        <v>865</v>
      </c>
    </row>
    <row r="2" spans="1:38" x14ac:dyDescent="0.55000000000000004">
      <c r="E2" s="2019" t="s">
        <v>1459</v>
      </c>
      <c r="F2" s="2019"/>
      <c r="G2" s="2019"/>
    </row>
    <row r="3" spans="1:38" x14ac:dyDescent="0.55000000000000004">
      <c r="A3" s="667" t="s">
        <v>866</v>
      </c>
      <c r="B3" s="667" t="s">
        <v>583</v>
      </c>
      <c r="C3" s="667" t="s">
        <v>6</v>
      </c>
      <c r="D3" s="1169" t="s">
        <v>8</v>
      </c>
      <c r="E3" s="669" t="s">
        <v>1328</v>
      </c>
      <c r="F3" s="2016" t="s">
        <v>584</v>
      </c>
      <c r="G3" s="2017"/>
      <c r="H3" s="2017"/>
      <c r="I3" s="2017"/>
      <c r="J3" s="2017"/>
      <c r="K3" s="2017"/>
      <c r="L3" s="2017"/>
      <c r="M3" s="2017"/>
      <c r="N3" s="2017"/>
      <c r="O3" s="2017"/>
      <c r="P3" s="2017"/>
      <c r="Q3" s="2017"/>
      <c r="R3" s="2017"/>
      <c r="S3" s="2017"/>
      <c r="T3" s="2017"/>
      <c r="U3" s="2017"/>
      <c r="V3" s="2017"/>
      <c r="W3" s="2017"/>
      <c r="X3" s="2017"/>
      <c r="Y3" s="2017"/>
      <c r="Z3" s="2017"/>
      <c r="AA3" s="2017"/>
      <c r="AB3" s="2017"/>
      <c r="AC3" s="2017"/>
      <c r="AD3" s="2017"/>
      <c r="AE3" s="2017"/>
      <c r="AF3" s="2017"/>
      <c r="AG3" s="2017"/>
      <c r="AH3" s="2017"/>
      <c r="AI3" s="2017"/>
      <c r="AJ3" s="2017"/>
      <c r="AK3" s="2017"/>
      <c r="AL3" s="2018"/>
    </row>
    <row r="4" spans="1:38" x14ac:dyDescent="0.55000000000000004">
      <c r="A4" s="686">
        <v>43836</v>
      </c>
      <c r="B4" s="687">
        <v>63001</v>
      </c>
      <c r="C4" s="675">
        <v>19066265</v>
      </c>
      <c r="D4" s="678" t="s">
        <v>3378</v>
      </c>
      <c r="E4" s="696"/>
      <c r="F4" s="674">
        <v>1</v>
      </c>
      <c r="G4" s="675" t="s">
        <v>1533</v>
      </c>
      <c r="H4" s="676" t="s">
        <v>1571</v>
      </c>
      <c r="I4" s="674">
        <v>2</v>
      </c>
      <c r="J4" s="675" t="s">
        <v>648</v>
      </c>
      <c r="K4" s="677" t="s">
        <v>1571</v>
      </c>
      <c r="L4" s="674">
        <v>3</v>
      </c>
      <c r="M4" s="678" t="s">
        <v>1506</v>
      </c>
      <c r="N4" s="679" t="s">
        <v>1574</v>
      </c>
      <c r="O4" s="674">
        <v>4</v>
      </c>
      <c r="P4" s="678" t="s">
        <v>1507</v>
      </c>
      <c r="Q4" s="677" t="s">
        <v>1583</v>
      </c>
      <c r="R4" s="674">
        <v>5</v>
      </c>
      <c r="S4" s="696" t="s">
        <v>1498</v>
      </c>
      <c r="T4" s="697" t="s">
        <v>2944</v>
      </c>
      <c r="U4" s="674"/>
      <c r="V4" s="680"/>
      <c r="W4" s="681"/>
      <c r="X4" s="674"/>
      <c r="Y4" s="680"/>
      <c r="Z4" s="681"/>
      <c r="AA4" s="674"/>
      <c r="AB4" s="680"/>
      <c r="AC4" s="681"/>
      <c r="AD4" s="674"/>
      <c r="AE4" s="680"/>
      <c r="AF4" s="681"/>
      <c r="AG4" s="674"/>
      <c r="AH4" s="680"/>
      <c r="AI4" s="681"/>
      <c r="AJ4" s="674"/>
      <c r="AK4" s="680"/>
      <c r="AL4" s="681"/>
    </row>
    <row r="5" spans="1:38" x14ac:dyDescent="0.55000000000000004">
      <c r="A5" s="706">
        <v>43836</v>
      </c>
      <c r="B5" s="682">
        <v>63002</v>
      </c>
      <c r="C5" s="684">
        <v>19106407</v>
      </c>
      <c r="D5" s="685" t="s">
        <v>2441</v>
      </c>
      <c r="E5" s="695"/>
      <c r="F5" s="674">
        <v>1</v>
      </c>
      <c r="G5" s="675" t="s">
        <v>2385</v>
      </c>
      <c r="H5" s="676" t="s">
        <v>1571</v>
      </c>
      <c r="I5" s="674">
        <v>2</v>
      </c>
      <c r="J5" s="675" t="s">
        <v>1250</v>
      </c>
      <c r="K5" s="677" t="s">
        <v>1571</v>
      </c>
      <c r="L5" s="674">
        <v>3</v>
      </c>
      <c r="M5" s="678" t="s">
        <v>1506</v>
      </c>
      <c r="N5" s="679" t="s">
        <v>1578</v>
      </c>
      <c r="O5" s="674">
        <v>4</v>
      </c>
      <c r="P5" s="678" t="s">
        <v>1502</v>
      </c>
      <c r="Q5" s="677" t="s">
        <v>1583</v>
      </c>
      <c r="R5" s="674">
        <v>5</v>
      </c>
      <c r="S5" s="696" t="s">
        <v>1498</v>
      </c>
      <c r="T5" s="697" t="s">
        <v>1635</v>
      </c>
      <c r="U5" s="674"/>
      <c r="V5" s="680"/>
      <c r="W5" s="681"/>
      <c r="X5" s="674"/>
      <c r="Y5" s="680"/>
      <c r="Z5" s="681"/>
      <c r="AA5" s="674"/>
      <c r="AB5" s="680"/>
      <c r="AC5" s="681"/>
      <c r="AD5" s="674"/>
      <c r="AE5" s="680"/>
      <c r="AF5" s="681"/>
      <c r="AG5" s="674"/>
      <c r="AH5" s="680"/>
      <c r="AI5" s="681"/>
      <c r="AJ5" s="674"/>
      <c r="AK5" s="680"/>
      <c r="AL5" s="681"/>
    </row>
    <row r="6" spans="1:38" x14ac:dyDescent="0.55000000000000004">
      <c r="A6" s="706">
        <v>43836</v>
      </c>
      <c r="B6" s="687">
        <v>63003</v>
      </c>
      <c r="C6" s="684">
        <v>19116415</v>
      </c>
      <c r="D6" s="685" t="s">
        <v>2441</v>
      </c>
      <c r="E6" s="695"/>
      <c r="F6" s="674">
        <v>1</v>
      </c>
      <c r="G6" s="675" t="s">
        <v>3000</v>
      </c>
      <c r="H6" s="676" t="s">
        <v>1571</v>
      </c>
      <c r="I6" s="674">
        <v>2</v>
      </c>
      <c r="J6" s="675" t="s">
        <v>1506</v>
      </c>
      <c r="K6" s="677" t="s">
        <v>1575</v>
      </c>
      <c r="L6" s="674">
        <v>3</v>
      </c>
      <c r="M6" s="678" t="s">
        <v>1503</v>
      </c>
      <c r="N6" s="679" t="s">
        <v>1585</v>
      </c>
      <c r="O6" s="674"/>
      <c r="P6" s="680"/>
      <c r="Q6" s="681"/>
      <c r="R6" s="674"/>
      <c r="S6" s="680"/>
      <c r="T6" s="681"/>
      <c r="U6" s="674"/>
      <c r="V6" s="680"/>
      <c r="W6" s="681"/>
      <c r="X6" s="674"/>
      <c r="Y6" s="680"/>
      <c r="Z6" s="681"/>
      <c r="AA6" s="674"/>
      <c r="AB6" s="680"/>
      <c r="AC6" s="681"/>
      <c r="AD6" s="674"/>
      <c r="AE6" s="680"/>
      <c r="AF6" s="681"/>
      <c r="AG6" s="674"/>
      <c r="AH6" s="680"/>
      <c r="AI6" s="681"/>
      <c r="AJ6" s="674"/>
      <c r="AK6" s="680"/>
      <c r="AL6" s="681"/>
    </row>
    <row r="7" spans="1:38" x14ac:dyDescent="0.55000000000000004">
      <c r="A7" s="707">
        <v>43836</v>
      </c>
      <c r="B7" s="698">
        <v>63004</v>
      </c>
      <c r="C7" s="672">
        <v>19116416</v>
      </c>
      <c r="D7" s="673" t="s">
        <v>3379</v>
      </c>
      <c r="E7" s="725"/>
      <c r="F7" s="674"/>
      <c r="G7" s="675"/>
      <c r="H7" s="676"/>
      <c r="I7" s="674"/>
      <c r="J7" s="675"/>
      <c r="K7" s="677"/>
      <c r="L7" s="674"/>
      <c r="M7" s="678"/>
      <c r="N7" s="679"/>
      <c r="O7" s="674"/>
      <c r="P7" s="678"/>
      <c r="Q7" s="677"/>
      <c r="R7" s="674"/>
      <c r="S7" s="696"/>
      <c r="T7" s="697"/>
      <c r="U7" s="674"/>
      <c r="V7" s="696"/>
      <c r="W7" s="697"/>
      <c r="X7" s="674"/>
      <c r="Y7" s="696"/>
      <c r="Z7" s="697"/>
      <c r="AA7" s="674"/>
      <c r="AB7" s="696"/>
      <c r="AC7" s="697"/>
      <c r="AD7" s="674"/>
      <c r="AE7" s="696"/>
      <c r="AF7" s="697"/>
      <c r="AG7" s="674"/>
      <c r="AH7" s="696"/>
      <c r="AI7" s="697"/>
      <c r="AJ7" s="674"/>
      <c r="AK7" s="696"/>
      <c r="AL7" s="697"/>
    </row>
    <row r="8" spans="1:38" x14ac:dyDescent="0.55000000000000004">
      <c r="A8" s="706"/>
      <c r="B8" s="683">
        <v>63005</v>
      </c>
      <c r="C8" s="684"/>
      <c r="D8" s="685"/>
      <c r="E8" s="695"/>
      <c r="F8" s="674">
        <v>1</v>
      </c>
      <c r="G8" s="675" t="s">
        <v>2122</v>
      </c>
      <c r="H8" s="676" t="s">
        <v>1571</v>
      </c>
      <c r="I8" s="674">
        <v>2</v>
      </c>
      <c r="J8" s="675" t="s">
        <v>1506</v>
      </c>
      <c r="K8" s="677" t="s">
        <v>1575</v>
      </c>
      <c r="L8" s="674">
        <v>3</v>
      </c>
      <c r="M8" s="678" t="s">
        <v>1507</v>
      </c>
      <c r="N8" s="679" t="s">
        <v>1575</v>
      </c>
      <c r="O8" s="674">
        <v>4</v>
      </c>
      <c r="P8" s="678" t="s">
        <v>1498</v>
      </c>
      <c r="Q8" s="677" t="s">
        <v>2446</v>
      </c>
      <c r="R8" s="674"/>
      <c r="S8" s="680"/>
      <c r="T8" s="681"/>
      <c r="U8" s="674"/>
      <c r="V8" s="680"/>
      <c r="W8" s="681"/>
      <c r="X8" s="674"/>
      <c r="Y8" s="680"/>
      <c r="Z8" s="681"/>
      <c r="AA8" s="674"/>
      <c r="AB8" s="680"/>
      <c r="AC8" s="681"/>
      <c r="AD8" s="674"/>
      <c r="AE8" s="680"/>
      <c r="AF8" s="681"/>
      <c r="AG8" s="674"/>
      <c r="AH8" s="680"/>
      <c r="AI8" s="681"/>
      <c r="AJ8" s="674"/>
      <c r="AK8" s="680"/>
      <c r="AL8" s="681"/>
    </row>
    <row r="9" spans="1:38" x14ac:dyDescent="0.55000000000000004">
      <c r="A9" s="707">
        <v>43840</v>
      </c>
      <c r="B9" s="692">
        <v>63006</v>
      </c>
      <c r="C9" s="700">
        <v>19046190</v>
      </c>
      <c r="D9" s="673" t="s">
        <v>3380</v>
      </c>
      <c r="E9" s="725"/>
      <c r="F9" s="674">
        <v>1</v>
      </c>
      <c r="G9" s="675" t="s">
        <v>1603</v>
      </c>
      <c r="H9" s="676" t="s">
        <v>1571</v>
      </c>
      <c r="I9" s="674">
        <v>2</v>
      </c>
      <c r="J9" s="675" t="s">
        <v>1503</v>
      </c>
      <c r="K9" s="677" t="s">
        <v>1584</v>
      </c>
      <c r="L9" s="674"/>
      <c r="M9" s="680"/>
      <c r="N9" s="1181"/>
      <c r="O9" s="674"/>
      <c r="P9" s="680"/>
      <c r="Q9" s="681"/>
      <c r="R9" s="674"/>
      <c r="S9" s="680"/>
      <c r="T9" s="681"/>
      <c r="U9" s="674"/>
      <c r="V9" s="680"/>
      <c r="W9" s="681"/>
      <c r="X9" s="674"/>
      <c r="Y9" s="680"/>
      <c r="Z9" s="681"/>
      <c r="AA9" s="674"/>
      <c r="AB9" s="680"/>
      <c r="AC9" s="681"/>
      <c r="AD9" s="674"/>
      <c r="AE9" s="680"/>
      <c r="AF9" s="681"/>
      <c r="AG9" s="674"/>
      <c r="AH9" s="680"/>
      <c r="AI9" s="681"/>
      <c r="AJ9" s="674"/>
      <c r="AK9" s="680"/>
      <c r="AL9" s="681"/>
    </row>
    <row r="10" spans="1:38" x14ac:dyDescent="0.55000000000000004">
      <c r="A10" s="707"/>
      <c r="B10" s="703">
        <v>63007</v>
      </c>
      <c r="C10" s="700"/>
      <c r="D10" s="701"/>
      <c r="E10" s="702"/>
      <c r="F10" s="674">
        <v>1</v>
      </c>
      <c r="G10" s="675" t="s">
        <v>1603</v>
      </c>
      <c r="H10" s="676" t="s">
        <v>1571</v>
      </c>
      <c r="I10" s="674">
        <v>2</v>
      </c>
      <c r="J10" s="675" t="s">
        <v>1503</v>
      </c>
      <c r="K10" s="677" t="s">
        <v>1584</v>
      </c>
      <c r="L10" s="674"/>
      <c r="M10" s="680"/>
      <c r="N10" s="1181"/>
      <c r="O10" s="674"/>
      <c r="P10" s="680"/>
      <c r="Q10" s="681"/>
      <c r="R10" s="674"/>
      <c r="S10" s="680"/>
      <c r="T10" s="681"/>
      <c r="U10" s="674"/>
      <c r="V10" s="680"/>
      <c r="W10" s="681"/>
      <c r="X10" s="674"/>
      <c r="Y10" s="680"/>
      <c r="Z10" s="681"/>
      <c r="AA10" s="674"/>
      <c r="AB10" s="680"/>
      <c r="AC10" s="681"/>
      <c r="AD10" s="674"/>
      <c r="AE10" s="680"/>
      <c r="AF10" s="681"/>
      <c r="AG10" s="674"/>
      <c r="AH10" s="680"/>
      <c r="AI10" s="681"/>
      <c r="AJ10" s="674"/>
      <c r="AK10" s="680"/>
      <c r="AL10" s="681"/>
    </row>
    <row r="11" spans="1:38" x14ac:dyDescent="0.55000000000000004">
      <c r="A11" s="706"/>
      <c r="B11" s="682">
        <v>63008</v>
      </c>
      <c r="C11" s="684"/>
      <c r="D11" s="705"/>
      <c r="E11" s="708"/>
      <c r="F11" s="674">
        <v>1</v>
      </c>
      <c r="G11" s="675" t="s">
        <v>715</v>
      </c>
      <c r="H11" s="676" t="s">
        <v>1571</v>
      </c>
      <c r="I11" s="674">
        <v>2</v>
      </c>
      <c r="J11" s="675" t="s">
        <v>879</v>
      </c>
      <c r="K11" s="677" t="s">
        <v>1571</v>
      </c>
      <c r="L11" s="674">
        <v>3</v>
      </c>
      <c r="M11" s="678" t="s">
        <v>1634</v>
      </c>
      <c r="N11" s="679" t="s">
        <v>1578</v>
      </c>
      <c r="O11" s="674">
        <v>4</v>
      </c>
      <c r="P11" s="678" t="s">
        <v>1502</v>
      </c>
      <c r="Q11" s="677" t="s">
        <v>1575</v>
      </c>
      <c r="R11" s="674">
        <v>5</v>
      </c>
      <c r="S11" s="696" t="s">
        <v>1507</v>
      </c>
      <c r="T11" s="697" t="s">
        <v>1575</v>
      </c>
      <c r="U11" s="674">
        <v>6</v>
      </c>
      <c r="V11" s="696" t="s">
        <v>1498</v>
      </c>
      <c r="W11" s="697" t="s">
        <v>3397</v>
      </c>
      <c r="X11" s="674">
        <v>7</v>
      </c>
      <c r="Y11" s="696" t="s">
        <v>1503</v>
      </c>
      <c r="Z11" s="697" t="s">
        <v>1597</v>
      </c>
      <c r="AA11" s="674"/>
      <c r="AB11" s="680"/>
      <c r="AC11" s="681"/>
      <c r="AD11" s="674"/>
      <c r="AE11" s="680"/>
      <c r="AF11" s="681"/>
      <c r="AG11" s="674"/>
      <c r="AH11" s="680"/>
      <c r="AI11" s="681"/>
      <c r="AJ11" s="674"/>
      <c r="AK11" s="680"/>
      <c r="AL11" s="681"/>
    </row>
    <row r="12" spans="1:38" x14ac:dyDescent="0.55000000000000004">
      <c r="A12" s="706">
        <v>43843</v>
      </c>
      <c r="B12" s="687">
        <v>63009</v>
      </c>
      <c r="C12" s="684">
        <v>19126442</v>
      </c>
      <c r="D12" s="685" t="s">
        <v>3381</v>
      </c>
      <c r="E12" s="695"/>
      <c r="F12" s="674">
        <v>1</v>
      </c>
      <c r="G12" s="675" t="s">
        <v>726</v>
      </c>
      <c r="H12" s="676" t="s">
        <v>1579</v>
      </c>
      <c r="I12" s="674">
        <v>2</v>
      </c>
      <c r="J12" s="675" t="s">
        <v>1634</v>
      </c>
      <c r="K12" s="677" t="s">
        <v>1633</v>
      </c>
      <c r="L12" s="674">
        <v>3</v>
      </c>
      <c r="M12" s="678" t="s">
        <v>1502</v>
      </c>
      <c r="N12" s="679" t="s">
        <v>1583</v>
      </c>
      <c r="O12" s="674">
        <v>4</v>
      </c>
      <c r="P12" s="678" t="s">
        <v>2328</v>
      </c>
      <c r="Q12" s="677" t="s">
        <v>1580</v>
      </c>
      <c r="R12" s="674">
        <v>5</v>
      </c>
      <c r="S12" s="696" t="s">
        <v>3398</v>
      </c>
      <c r="T12" s="697" t="s">
        <v>1575</v>
      </c>
      <c r="U12" s="674">
        <v>6</v>
      </c>
      <c r="V12" s="696" t="s">
        <v>1503</v>
      </c>
      <c r="W12" s="697" t="s">
        <v>1597</v>
      </c>
      <c r="X12" s="674"/>
      <c r="Y12" s="680"/>
      <c r="Z12" s="681"/>
      <c r="AA12" s="674"/>
      <c r="AB12" s="680"/>
      <c r="AC12" s="681"/>
      <c r="AD12" s="674"/>
      <c r="AE12" s="680"/>
      <c r="AF12" s="681"/>
      <c r="AG12" s="674"/>
      <c r="AH12" s="680"/>
      <c r="AI12" s="681"/>
      <c r="AJ12" s="674"/>
      <c r="AK12" s="680"/>
      <c r="AL12" s="681"/>
    </row>
    <row r="13" spans="1:38" x14ac:dyDescent="0.55000000000000004">
      <c r="A13" s="706">
        <v>43844</v>
      </c>
      <c r="B13" s="682">
        <v>63010</v>
      </c>
      <c r="C13" s="684">
        <v>19106403</v>
      </c>
      <c r="D13" s="685" t="s">
        <v>1348</v>
      </c>
      <c r="E13" s="695"/>
      <c r="F13" s="674">
        <v>1</v>
      </c>
      <c r="G13" s="675" t="s">
        <v>2032</v>
      </c>
      <c r="H13" s="676" t="s">
        <v>1797</v>
      </c>
      <c r="I13" s="674"/>
      <c r="J13" s="690"/>
      <c r="K13" s="681"/>
      <c r="L13" s="674"/>
      <c r="M13" s="680"/>
      <c r="N13" s="1181"/>
      <c r="O13" s="674"/>
      <c r="P13" s="680"/>
      <c r="Q13" s="681"/>
      <c r="R13" s="674"/>
      <c r="S13" s="680"/>
      <c r="T13" s="681"/>
      <c r="U13" s="674"/>
      <c r="V13" s="680"/>
      <c r="W13" s="681"/>
      <c r="X13" s="674"/>
      <c r="Y13" s="680"/>
      <c r="Z13" s="681"/>
      <c r="AA13" s="674"/>
      <c r="AB13" s="680"/>
      <c r="AC13" s="681"/>
      <c r="AD13" s="674"/>
      <c r="AE13" s="680"/>
      <c r="AF13" s="681"/>
      <c r="AG13" s="674"/>
      <c r="AH13" s="680"/>
      <c r="AI13" s="681"/>
      <c r="AJ13" s="674"/>
      <c r="AK13" s="680"/>
      <c r="AL13" s="681"/>
    </row>
    <row r="14" spans="1:38" x14ac:dyDescent="0.55000000000000004">
      <c r="A14" s="707">
        <v>43844</v>
      </c>
      <c r="B14" s="692">
        <v>63011</v>
      </c>
      <c r="C14" s="672">
        <v>19126449</v>
      </c>
      <c r="D14" s="673" t="s">
        <v>3384</v>
      </c>
      <c r="E14" s="725"/>
      <c r="F14" s="674">
        <v>1</v>
      </c>
      <c r="G14" s="675" t="s">
        <v>1316</v>
      </c>
      <c r="H14" s="676" t="s">
        <v>1579</v>
      </c>
      <c r="I14" s="674">
        <v>2</v>
      </c>
      <c r="J14" s="675" t="s">
        <v>1634</v>
      </c>
      <c r="K14" s="677" t="s">
        <v>1633</v>
      </c>
      <c r="L14" s="674">
        <v>3</v>
      </c>
      <c r="M14" s="678" t="s">
        <v>1502</v>
      </c>
      <c r="N14" s="679" t="s">
        <v>1583</v>
      </c>
      <c r="O14" s="674">
        <v>4</v>
      </c>
      <c r="P14" s="678" t="s">
        <v>1498</v>
      </c>
      <c r="Q14" s="677" t="s">
        <v>3399</v>
      </c>
      <c r="R14" s="674">
        <v>5</v>
      </c>
      <c r="S14" s="696" t="s">
        <v>3398</v>
      </c>
      <c r="T14" s="697" t="s">
        <v>1583</v>
      </c>
      <c r="U14" s="674">
        <v>6</v>
      </c>
      <c r="V14" s="696" t="s">
        <v>1503</v>
      </c>
      <c r="W14" s="697" t="s">
        <v>1597</v>
      </c>
      <c r="X14" s="674"/>
      <c r="Y14" s="680"/>
      <c r="Z14" s="681"/>
      <c r="AA14" s="674"/>
      <c r="AB14" s="680"/>
      <c r="AC14" s="681"/>
      <c r="AD14" s="674"/>
      <c r="AE14" s="680"/>
      <c r="AF14" s="681"/>
      <c r="AG14" s="674"/>
      <c r="AH14" s="680"/>
      <c r="AI14" s="681"/>
      <c r="AJ14" s="674"/>
      <c r="AK14" s="680"/>
      <c r="AL14" s="681"/>
    </row>
    <row r="15" spans="1:38" x14ac:dyDescent="0.55000000000000004">
      <c r="A15" s="706"/>
      <c r="B15" s="682">
        <v>63012</v>
      </c>
      <c r="C15" s="684"/>
      <c r="D15" s="685"/>
      <c r="E15" s="695"/>
      <c r="F15" s="674">
        <v>1</v>
      </c>
      <c r="G15" s="675" t="s">
        <v>1316</v>
      </c>
      <c r="H15" s="676" t="s">
        <v>1579</v>
      </c>
      <c r="I15" s="674">
        <v>2</v>
      </c>
      <c r="J15" s="675" t="s">
        <v>1634</v>
      </c>
      <c r="K15" s="677" t="s">
        <v>1633</v>
      </c>
      <c r="L15" s="674">
        <v>3</v>
      </c>
      <c r="M15" s="678" t="s">
        <v>1502</v>
      </c>
      <c r="N15" s="679" t="s">
        <v>1583</v>
      </c>
      <c r="O15" s="674">
        <v>4</v>
      </c>
      <c r="P15" s="678" t="s">
        <v>1498</v>
      </c>
      <c r="Q15" s="677" t="s">
        <v>3399</v>
      </c>
      <c r="R15" s="674">
        <v>5</v>
      </c>
      <c r="S15" s="696" t="s">
        <v>3398</v>
      </c>
      <c r="T15" s="697" t="s">
        <v>1583</v>
      </c>
      <c r="U15" s="674">
        <v>6</v>
      </c>
      <c r="V15" s="696" t="s">
        <v>1503</v>
      </c>
      <c r="W15" s="697" t="s">
        <v>1597</v>
      </c>
      <c r="X15" s="674"/>
      <c r="Y15" s="680"/>
      <c r="Z15" s="681"/>
      <c r="AA15" s="674"/>
      <c r="AB15" s="680"/>
      <c r="AC15" s="681"/>
      <c r="AD15" s="674"/>
      <c r="AE15" s="680"/>
      <c r="AF15" s="681"/>
      <c r="AG15" s="674"/>
      <c r="AH15" s="680"/>
      <c r="AI15" s="681"/>
      <c r="AJ15" s="674"/>
      <c r="AK15" s="680"/>
      <c r="AL15" s="681"/>
    </row>
    <row r="16" spans="1:38" x14ac:dyDescent="0.55000000000000004">
      <c r="A16" s="706">
        <v>43845</v>
      </c>
      <c r="B16" s="687">
        <v>63013</v>
      </c>
      <c r="C16" s="684">
        <v>19106408</v>
      </c>
      <c r="D16" s="685" t="s">
        <v>3159</v>
      </c>
      <c r="E16" s="695"/>
      <c r="F16" s="674">
        <v>1</v>
      </c>
      <c r="G16" s="675" t="s">
        <v>842</v>
      </c>
      <c r="H16" s="676" t="s">
        <v>1579</v>
      </c>
      <c r="I16" s="674">
        <v>2</v>
      </c>
      <c r="J16" s="675" t="s">
        <v>3400</v>
      </c>
      <c r="K16" s="677" t="s">
        <v>1797</v>
      </c>
      <c r="L16" s="674">
        <v>3</v>
      </c>
      <c r="M16" s="678" t="s">
        <v>1634</v>
      </c>
      <c r="N16" s="679" t="s">
        <v>1574</v>
      </c>
      <c r="O16" s="674">
        <v>4</v>
      </c>
      <c r="P16" s="678" t="s">
        <v>1507</v>
      </c>
      <c r="Q16" s="677" t="s">
        <v>1633</v>
      </c>
      <c r="R16" s="674">
        <v>5</v>
      </c>
      <c r="S16" s="696" t="s">
        <v>1498</v>
      </c>
      <c r="T16" s="697" t="s">
        <v>2448</v>
      </c>
      <c r="U16" s="674"/>
      <c r="V16" s="680"/>
      <c r="W16" s="681"/>
      <c r="X16" s="674"/>
      <c r="Y16" s="680"/>
      <c r="Z16" s="681"/>
      <c r="AA16" s="674"/>
      <c r="AB16" s="680"/>
      <c r="AC16" s="681"/>
      <c r="AD16" s="674"/>
      <c r="AE16" s="680"/>
      <c r="AF16" s="681"/>
      <c r="AG16" s="674"/>
      <c r="AH16" s="680"/>
      <c r="AI16" s="681"/>
      <c r="AJ16" s="674"/>
      <c r="AK16" s="680"/>
      <c r="AL16" s="681"/>
    </row>
    <row r="17" spans="1:38" x14ac:dyDescent="0.55000000000000004">
      <c r="A17" s="706">
        <v>43845</v>
      </c>
      <c r="B17" s="682">
        <v>63014</v>
      </c>
      <c r="C17" s="684">
        <v>19126458</v>
      </c>
      <c r="D17" s="685" t="s">
        <v>2872</v>
      </c>
      <c r="E17" s="695"/>
      <c r="F17" s="674">
        <v>1</v>
      </c>
      <c r="G17" s="675" t="s">
        <v>710</v>
      </c>
      <c r="H17" s="676" t="s">
        <v>1571</v>
      </c>
      <c r="I17" s="674">
        <v>2</v>
      </c>
      <c r="J17" s="675" t="s">
        <v>1634</v>
      </c>
      <c r="K17" s="677" t="s">
        <v>1583</v>
      </c>
      <c r="L17" s="674">
        <v>3</v>
      </c>
      <c r="M17" s="678" t="s">
        <v>1502</v>
      </c>
      <c r="N17" s="679" t="s">
        <v>1575</v>
      </c>
      <c r="O17" s="674">
        <v>4</v>
      </c>
      <c r="P17" s="678" t="s">
        <v>2328</v>
      </c>
      <c r="Q17" s="677" t="s">
        <v>3401</v>
      </c>
      <c r="R17" s="674">
        <v>5</v>
      </c>
      <c r="S17" s="696" t="s">
        <v>3402</v>
      </c>
      <c r="T17" s="697" t="s">
        <v>1586</v>
      </c>
      <c r="U17" s="674">
        <v>6</v>
      </c>
      <c r="V17" s="696" t="s">
        <v>1503</v>
      </c>
      <c r="W17" s="697" t="s">
        <v>1801</v>
      </c>
      <c r="X17" s="674"/>
      <c r="Y17" s="680"/>
      <c r="Z17" s="681"/>
      <c r="AA17" s="674"/>
      <c r="AB17" s="680"/>
      <c r="AC17" s="681"/>
      <c r="AD17" s="674"/>
      <c r="AE17" s="680"/>
      <c r="AF17" s="681"/>
      <c r="AG17" s="674"/>
      <c r="AH17" s="680"/>
      <c r="AI17" s="681"/>
      <c r="AJ17" s="674"/>
      <c r="AK17" s="680"/>
      <c r="AL17" s="681"/>
    </row>
    <row r="18" spans="1:38" x14ac:dyDescent="0.55000000000000004">
      <c r="A18" s="706">
        <v>43846</v>
      </c>
      <c r="B18" s="687">
        <v>63015</v>
      </c>
      <c r="C18" s="684">
        <v>19046201</v>
      </c>
      <c r="D18" s="685" t="s">
        <v>3385</v>
      </c>
      <c r="E18" s="695"/>
      <c r="F18" s="674">
        <v>1</v>
      </c>
      <c r="G18" s="675" t="s">
        <v>1162</v>
      </c>
      <c r="H18" s="676" t="s">
        <v>1579</v>
      </c>
      <c r="I18" s="674">
        <v>2</v>
      </c>
      <c r="J18" s="675" t="s">
        <v>1978</v>
      </c>
      <c r="K18" s="677" t="s">
        <v>1579</v>
      </c>
      <c r="L18" s="674">
        <v>3</v>
      </c>
      <c r="M18" s="678" t="s">
        <v>1634</v>
      </c>
      <c r="N18" s="679" t="s">
        <v>1633</v>
      </c>
      <c r="O18" s="674">
        <v>4</v>
      </c>
      <c r="P18" s="678" t="s">
        <v>1502</v>
      </c>
      <c r="Q18" s="677" t="s">
        <v>1575</v>
      </c>
      <c r="R18" s="674">
        <v>5</v>
      </c>
      <c r="S18" s="696" t="s">
        <v>1498</v>
      </c>
      <c r="T18" s="697" t="s">
        <v>3403</v>
      </c>
      <c r="U18" s="674"/>
      <c r="V18" s="680"/>
      <c r="W18" s="681"/>
      <c r="X18" s="674"/>
      <c r="Y18" s="680"/>
      <c r="Z18" s="681"/>
      <c r="AA18" s="674"/>
      <c r="AB18" s="680"/>
      <c r="AC18" s="681"/>
      <c r="AD18" s="674"/>
      <c r="AE18" s="680"/>
      <c r="AF18" s="681"/>
      <c r="AG18" s="674"/>
      <c r="AH18" s="680"/>
      <c r="AI18" s="681"/>
      <c r="AJ18" s="674"/>
      <c r="AK18" s="680"/>
      <c r="AL18" s="681"/>
    </row>
    <row r="19" spans="1:38" x14ac:dyDescent="0.55000000000000004">
      <c r="A19" s="706">
        <v>43846</v>
      </c>
      <c r="B19" s="682">
        <v>63016</v>
      </c>
      <c r="C19" s="684">
        <v>19126453</v>
      </c>
      <c r="D19" s="685" t="s">
        <v>1926</v>
      </c>
      <c r="E19" s="695"/>
      <c r="F19" s="674">
        <v>1</v>
      </c>
      <c r="G19" s="675" t="s">
        <v>3253</v>
      </c>
      <c r="H19" s="676" t="s">
        <v>1571</v>
      </c>
      <c r="I19" s="674">
        <v>2</v>
      </c>
      <c r="J19" s="675" t="s">
        <v>1511</v>
      </c>
      <c r="K19" s="677" t="s">
        <v>1574</v>
      </c>
      <c r="L19" s="674">
        <v>3</v>
      </c>
      <c r="M19" s="678" t="s">
        <v>1502</v>
      </c>
      <c r="N19" s="679" t="s">
        <v>1575</v>
      </c>
      <c r="O19" s="674">
        <v>4</v>
      </c>
      <c r="P19" s="678" t="s">
        <v>1498</v>
      </c>
      <c r="Q19" s="677" t="s">
        <v>2933</v>
      </c>
      <c r="R19" s="674">
        <v>5</v>
      </c>
      <c r="S19" s="696" t="s">
        <v>1503</v>
      </c>
      <c r="T19" s="697" t="s">
        <v>1597</v>
      </c>
      <c r="U19" s="674"/>
      <c r="V19" s="680"/>
      <c r="W19" s="681"/>
      <c r="X19" s="674"/>
      <c r="Y19" s="680"/>
      <c r="Z19" s="681"/>
      <c r="AA19" s="674"/>
      <c r="AB19" s="680"/>
      <c r="AC19" s="681"/>
      <c r="AD19" s="674"/>
      <c r="AE19" s="680"/>
      <c r="AF19" s="681"/>
      <c r="AG19" s="674"/>
      <c r="AH19" s="680"/>
      <c r="AI19" s="681"/>
      <c r="AJ19" s="674"/>
      <c r="AK19" s="680"/>
      <c r="AL19" s="681"/>
    </row>
    <row r="20" spans="1:38" x14ac:dyDescent="0.55000000000000004">
      <c r="A20" s="706">
        <v>43850</v>
      </c>
      <c r="B20" s="687">
        <v>63017</v>
      </c>
      <c r="C20" s="684">
        <v>20016469</v>
      </c>
      <c r="D20" s="685" t="s">
        <v>3386</v>
      </c>
      <c r="E20" s="695"/>
      <c r="F20" s="674">
        <v>1</v>
      </c>
      <c r="G20" s="675" t="s">
        <v>2958</v>
      </c>
      <c r="H20" s="676" t="s">
        <v>1571</v>
      </c>
      <c r="I20" s="674">
        <v>2</v>
      </c>
      <c r="J20" s="675" t="s">
        <v>1634</v>
      </c>
      <c r="K20" s="677" t="s">
        <v>1575</v>
      </c>
      <c r="L20" s="674">
        <v>3</v>
      </c>
      <c r="M20" s="678" t="s">
        <v>1507</v>
      </c>
      <c r="N20" s="679" t="s">
        <v>1575</v>
      </c>
      <c r="O20" s="674">
        <v>4</v>
      </c>
      <c r="P20" s="678" t="s">
        <v>1498</v>
      </c>
      <c r="Q20" s="677" t="s">
        <v>1593</v>
      </c>
      <c r="R20" s="674"/>
      <c r="S20" s="680"/>
      <c r="T20" s="681"/>
      <c r="U20" s="674"/>
      <c r="V20" s="680"/>
      <c r="W20" s="681"/>
      <c r="X20" s="674"/>
      <c r="Y20" s="680"/>
      <c r="Z20" s="681"/>
      <c r="AA20" s="674"/>
      <c r="AB20" s="680"/>
      <c r="AC20" s="681"/>
      <c r="AD20" s="674"/>
      <c r="AE20" s="680"/>
      <c r="AF20" s="681"/>
      <c r="AG20" s="674"/>
      <c r="AH20" s="680"/>
      <c r="AI20" s="681"/>
      <c r="AJ20" s="674"/>
      <c r="AK20" s="680"/>
      <c r="AL20" s="681"/>
    </row>
    <row r="21" spans="1:38" x14ac:dyDescent="0.55000000000000004">
      <c r="A21" s="706">
        <v>43850</v>
      </c>
      <c r="B21" s="682">
        <v>63018</v>
      </c>
      <c r="C21" s="684">
        <v>20016471</v>
      </c>
      <c r="D21" s="685" t="s">
        <v>1331</v>
      </c>
      <c r="E21" s="695"/>
      <c r="F21" s="674">
        <v>1</v>
      </c>
      <c r="G21" s="675" t="s">
        <v>3369</v>
      </c>
      <c r="H21" s="676" t="s">
        <v>1571</v>
      </c>
      <c r="I21" s="674">
        <v>2</v>
      </c>
      <c r="J21" s="675" t="s">
        <v>1511</v>
      </c>
      <c r="K21" s="677" t="s">
        <v>1574</v>
      </c>
      <c r="L21" s="674">
        <v>3</v>
      </c>
      <c r="M21" s="678" t="s">
        <v>1502</v>
      </c>
      <c r="N21" s="679" t="s">
        <v>1575</v>
      </c>
      <c r="O21" s="674">
        <v>4</v>
      </c>
      <c r="P21" s="678" t="s">
        <v>1498</v>
      </c>
      <c r="Q21" s="677" t="s">
        <v>1798</v>
      </c>
      <c r="R21" s="674">
        <v>5</v>
      </c>
      <c r="S21" s="696" t="s">
        <v>1503</v>
      </c>
      <c r="T21" s="697" t="s">
        <v>1597</v>
      </c>
      <c r="U21" s="674"/>
      <c r="V21" s="680"/>
      <c r="W21" s="681"/>
      <c r="X21" s="674"/>
      <c r="Y21" s="680"/>
      <c r="Z21" s="681"/>
      <c r="AA21" s="674"/>
      <c r="AB21" s="680"/>
      <c r="AC21" s="681"/>
      <c r="AD21" s="674"/>
      <c r="AE21" s="680"/>
      <c r="AF21" s="681"/>
      <c r="AG21" s="674"/>
      <c r="AH21" s="680"/>
      <c r="AI21" s="681"/>
      <c r="AJ21" s="674"/>
      <c r="AK21" s="680"/>
      <c r="AL21" s="681"/>
    </row>
    <row r="22" spans="1:38" x14ac:dyDescent="0.55000000000000004">
      <c r="A22" s="706">
        <v>43850</v>
      </c>
      <c r="B22" s="687">
        <v>63019</v>
      </c>
      <c r="C22" s="1180" t="s">
        <v>3373</v>
      </c>
      <c r="D22" s="685" t="s">
        <v>3387</v>
      </c>
      <c r="E22" s="695"/>
      <c r="F22" s="674">
        <v>1</v>
      </c>
      <c r="G22" s="675" t="s">
        <v>2253</v>
      </c>
      <c r="H22" s="676" t="s">
        <v>1571</v>
      </c>
      <c r="I22" s="674"/>
      <c r="J22" s="690"/>
      <c r="K22" s="681"/>
      <c r="L22" s="674"/>
      <c r="M22" s="680"/>
      <c r="N22" s="1181"/>
      <c r="O22" s="674"/>
      <c r="P22" s="680"/>
      <c r="Q22" s="681"/>
      <c r="R22" s="674"/>
      <c r="S22" s="680"/>
      <c r="T22" s="681"/>
      <c r="U22" s="674"/>
      <c r="V22" s="680"/>
      <c r="W22" s="681"/>
      <c r="X22" s="674"/>
      <c r="Y22" s="680"/>
      <c r="Z22" s="681"/>
      <c r="AA22" s="674"/>
      <c r="AB22" s="680"/>
      <c r="AC22" s="681"/>
      <c r="AD22" s="674"/>
      <c r="AE22" s="680"/>
      <c r="AF22" s="681"/>
      <c r="AG22" s="674"/>
      <c r="AH22" s="680"/>
      <c r="AI22" s="681"/>
      <c r="AJ22" s="674"/>
      <c r="AK22" s="680"/>
      <c r="AL22" s="681"/>
    </row>
    <row r="23" spans="1:38" x14ac:dyDescent="0.55000000000000004">
      <c r="A23" s="706">
        <v>43851</v>
      </c>
      <c r="B23" s="682">
        <v>63020</v>
      </c>
      <c r="C23" s="745"/>
      <c r="D23" s="685" t="s">
        <v>3404</v>
      </c>
      <c r="E23" s="695" t="s">
        <v>3405</v>
      </c>
      <c r="F23" s="674">
        <v>1</v>
      </c>
      <c r="G23" s="675" t="s">
        <v>1499</v>
      </c>
      <c r="H23" s="676" t="s">
        <v>1581</v>
      </c>
      <c r="I23" s="674"/>
      <c r="J23" s="690"/>
      <c r="K23" s="681"/>
      <c r="L23" s="674"/>
      <c r="M23" s="680"/>
      <c r="N23" s="1181"/>
      <c r="O23" s="674"/>
      <c r="P23" s="680"/>
      <c r="Q23" s="681"/>
      <c r="R23" s="674"/>
      <c r="S23" s="680"/>
      <c r="T23" s="681"/>
      <c r="U23" s="674"/>
      <c r="V23" s="680"/>
      <c r="W23" s="681"/>
      <c r="X23" s="674"/>
      <c r="Y23" s="680"/>
      <c r="Z23" s="681"/>
      <c r="AA23" s="674"/>
      <c r="AB23" s="680"/>
      <c r="AC23" s="681"/>
      <c r="AD23" s="674"/>
      <c r="AE23" s="680"/>
      <c r="AF23" s="681"/>
      <c r="AG23" s="674"/>
      <c r="AH23" s="680"/>
      <c r="AI23" s="681"/>
      <c r="AJ23" s="674"/>
      <c r="AK23" s="680"/>
      <c r="AL23" s="681"/>
    </row>
    <row r="24" spans="1:38" x14ac:dyDescent="0.55000000000000004">
      <c r="A24" s="706">
        <v>43854</v>
      </c>
      <c r="B24" s="687">
        <v>63021</v>
      </c>
      <c r="C24" s="684">
        <v>19126450</v>
      </c>
      <c r="D24" s="685" t="s">
        <v>1624</v>
      </c>
      <c r="E24" s="695"/>
      <c r="F24" s="674">
        <v>1</v>
      </c>
      <c r="G24" s="675" t="s">
        <v>3261</v>
      </c>
      <c r="H24" s="676" t="s">
        <v>1579</v>
      </c>
      <c r="I24" s="674">
        <v>2</v>
      </c>
      <c r="J24" s="675" t="s">
        <v>1511</v>
      </c>
      <c r="K24" s="677" t="s">
        <v>1633</v>
      </c>
      <c r="L24" s="674">
        <v>3</v>
      </c>
      <c r="M24" s="678" t="s">
        <v>1502</v>
      </c>
      <c r="N24" s="679" t="s">
        <v>1583</v>
      </c>
      <c r="O24" s="674">
        <v>4</v>
      </c>
      <c r="P24" s="678" t="s">
        <v>1498</v>
      </c>
      <c r="Q24" s="677" t="s">
        <v>3442</v>
      </c>
      <c r="R24" s="674">
        <v>5</v>
      </c>
      <c r="S24" s="696" t="s">
        <v>1503</v>
      </c>
      <c r="T24" s="697" t="s">
        <v>1597</v>
      </c>
      <c r="U24" s="674"/>
      <c r="V24" s="680"/>
      <c r="W24" s="681"/>
      <c r="X24" s="674"/>
      <c r="Y24" s="680"/>
      <c r="Z24" s="681"/>
      <c r="AA24" s="674"/>
      <c r="AB24" s="680"/>
      <c r="AC24" s="681"/>
      <c r="AD24" s="674"/>
      <c r="AE24" s="680"/>
      <c r="AF24" s="681"/>
      <c r="AG24" s="674"/>
      <c r="AH24" s="680"/>
      <c r="AI24" s="681"/>
      <c r="AJ24" s="674"/>
      <c r="AK24" s="680"/>
      <c r="AL24" s="681"/>
    </row>
    <row r="25" spans="1:38" x14ac:dyDescent="0.55000000000000004">
      <c r="A25" s="670">
        <v>43855</v>
      </c>
      <c r="B25" s="698">
        <v>63022</v>
      </c>
      <c r="C25" s="672">
        <v>19096379</v>
      </c>
      <c r="D25" s="673" t="s">
        <v>3416</v>
      </c>
      <c r="E25" s="725"/>
      <c r="F25" s="674">
        <v>1</v>
      </c>
      <c r="G25" s="675" t="s">
        <v>3417</v>
      </c>
      <c r="H25" s="676" t="s">
        <v>1571</v>
      </c>
      <c r="I25" s="674">
        <v>2</v>
      </c>
      <c r="J25" s="675" t="s">
        <v>1631</v>
      </c>
      <c r="K25" s="677" t="s">
        <v>1575</v>
      </c>
      <c r="L25" s="674">
        <v>3</v>
      </c>
      <c r="M25" s="678" t="s">
        <v>1502</v>
      </c>
      <c r="N25" s="679" t="s">
        <v>1575</v>
      </c>
      <c r="O25" s="674">
        <v>4</v>
      </c>
      <c r="P25" s="678" t="s">
        <v>1498</v>
      </c>
      <c r="Q25" s="677" t="s">
        <v>3418</v>
      </c>
      <c r="R25" s="674">
        <v>5</v>
      </c>
      <c r="S25" s="696" t="s">
        <v>1515</v>
      </c>
      <c r="T25" s="697" t="s">
        <v>3120</v>
      </c>
      <c r="U25" s="674">
        <v>6</v>
      </c>
      <c r="V25" s="696" t="s">
        <v>3419</v>
      </c>
      <c r="W25" s="697" t="s">
        <v>1574</v>
      </c>
      <c r="X25" s="674">
        <v>7</v>
      </c>
      <c r="Y25" s="696" t="s">
        <v>3420</v>
      </c>
      <c r="Z25" s="697" t="s">
        <v>1575</v>
      </c>
      <c r="AA25" s="674">
        <v>8</v>
      </c>
      <c r="AB25" s="696" t="s">
        <v>1503</v>
      </c>
      <c r="AC25" s="697" t="s">
        <v>1585</v>
      </c>
      <c r="AD25" s="674"/>
      <c r="AE25" s="680"/>
      <c r="AF25" s="681"/>
      <c r="AG25" s="674"/>
      <c r="AH25" s="680"/>
      <c r="AI25" s="681"/>
      <c r="AJ25" s="674"/>
      <c r="AK25" s="680"/>
      <c r="AL25" s="681"/>
    </row>
    <row r="26" spans="1:38" x14ac:dyDescent="0.55000000000000004">
      <c r="A26" s="706"/>
      <c r="B26" s="683">
        <v>63023</v>
      </c>
      <c r="C26" s="684"/>
      <c r="D26" s="685"/>
      <c r="E26" s="695"/>
      <c r="F26" s="674">
        <v>1</v>
      </c>
      <c r="G26" s="675" t="s">
        <v>3421</v>
      </c>
      <c r="H26" s="676" t="s">
        <v>1571</v>
      </c>
      <c r="I26" s="674">
        <v>2</v>
      </c>
      <c r="J26" s="675" t="s">
        <v>1634</v>
      </c>
      <c r="K26" s="677" t="s">
        <v>1575</v>
      </c>
      <c r="L26" s="674">
        <v>3</v>
      </c>
      <c r="M26" s="678" t="s">
        <v>1631</v>
      </c>
      <c r="N26" s="679" t="s">
        <v>1586</v>
      </c>
      <c r="O26" s="674">
        <v>4</v>
      </c>
      <c r="P26" s="678" t="s">
        <v>1502</v>
      </c>
      <c r="Q26" s="677" t="s">
        <v>1575</v>
      </c>
      <c r="R26" s="674">
        <v>5</v>
      </c>
      <c r="S26" s="696" t="s">
        <v>1503</v>
      </c>
      <c r="T26" s="697" t="s">
        <v>1585</v>
      </c>
      <c r="U26" s="674"/>
      <c r="V26" s="680"/>
      <c r="W26" s="681"/>
      <c r="X26" s="674"/>
      <c r="Y26" s="680"/>
      <c r="Z26" s="681"/>
      <c r="AA26" s="674"/>
      <c r="AB26" s="680"/>
      <c r="AC26" s="681"/>
      <c r="AD26" s="674"/>
      <c r="AE26" s="680"/>
      <c r="AF26" s="681"/>
      <c r="AG26" s="674"/>
      <c r="AH26" s="680"/>
      <c r="AI26" s="681"/>
      <c r="AJ26" s="674"/>
      <c r="AK26" s="680"/>
      <c r="AL26" s="681"/>
    </row>
    <row r="27" spans="1:38" x14ac:dyDescent="0.55000000000000004">
      <c r="A27" s="706">
        <v>43855</v>
      </c>
      <c r="B27" s="682">
        <v>63024</v>
      </c>
      <c r="C27" s="684">
        <v>19126464</v>
      </c>
      <c r="D27" s="685" t="s">
        <v>2679</v>
      </c>
      <c r="E27" s="695"/>
      <c r="F27" s="674">
        <v>1</v>
      </c>
      <c r="G27" s="675" t="s">
        <v>2253</v>
      </c>
      <c r="H27" s="676" t="s">
        <v>1571</v>
      </c>
      <c r="I27" s="674"/>
      <c r="J27" s="690"/>
      <c r="K27" s="681"/>
      <c r="L27" s="674"/>
      <c r="M27" s="680"/>
      <c r="N27" s="1181"/>
      <c r="O27" s="674"/>
      <c r="P27" s="680"/>
      <c r="Q27" s="681"/>
      <c r="R27" s="674"/>
      <c r="S27" s="680"/>
      <c r="T27" s="681"/>
      <c r="U27" s="674"/>
      <c r="V27" s="680"/>
      <c r="W27" s="681"/>
      <c r="X27" s="674"/>
      <c r="Y27" s="680"/>
      <c r="Z27" s="681"/>
      <c r="AA27" s="674"/>
      <c r="AB27" s="680"/>
      <c r="AC27" s="681"/>
      <c r="AD27" s="674"/>
      <c r="AE27" s="680"/>
      <c r="AF27" s="681"/>
      <c r="AG27" s="674"/>
      <c r="AH27" s="680"/>
      <c r="AI27" s="681"/>
      <c r="AJ27" s="674"/>
      <c r="AK27" s="680"/>
      <c r="AL27" s="681"/>
    </row>
    <row r="28" spans="1:38" x14ac:dyDescent="0.55000000000000004">
      <c r="A28" s="706">
        <v>43855</v>
      </c>
      <c r="B28" s="682">
        <v>63025</v>
      </c>
      <c r="C28" s="684">
        <v>19096369</v>
      </c>
      <c r="D28" s="685" t="s">
        <v>2679</v>
      </c>
      <c r="E28" s="695"/>
      <c r="F28" s="674">
        <v>1</v>
      </c>
      <c r="G28" s="675" t="s">
        <v>1158</v>
      </c>
      <c r="H28" s="676" t="s">
        <v>1571</v>
      </c>
      <c r="I28" s="674">
        <v>2</v>
      </c>
      <c r="J28" s="675" t="s">
        <v>1634</v>
      </c>
      <c r="K28" s="677" t="s">
        <v>1574</v>
      </c>
      <c r="L28" s="674">
        <v>3</v>
      </c>
      <c r="M28" s="678" t="s">
        <v>1502</v>
      </c>
      <c r="N28" s="679" t="s">
        <v>1575</v>
      </c>
      <c r="O28" s="674">
        <v>4</v>
      </c>
      <c r="P28" s="678" t="s">
        <v>1498</v>
      </c>
      <c r="Q28" s="677" t="s">
        <v>2944</v>
      </c>
      <c r="R28" s="674">
        <v>5</v>
      </c>
      <c r="S28" s="696" t="s">
        <v>1784</v>
      </c>
      <c r="T28" s="697" t="s">
        <v>1586</v>
      </c>
      <c r="U28" s="674">
        <v>6</v>
      </c>
      <c r="V28" s="696" t="s">
        <v>1503</v>
      </c>
      <c r="W28" s="697" t="s">
        <v>1584</v>
      </c>
      <c r="X28" s="674"/>
      <c r="Y28" s="680"/>
      <c r="Z28" s="681"/>
      <c r="AA28" s="674"/>
      <c r="AB28" s="680"/>
      <c r="AC28" s="681"/>
      <c r="AD28" s="674"/>
      <c r="AE28" s="680"/>
      <c r="AF28" s="681"/>
      <c r="AG28" s="674"/>
      <c r="AH28" s="680"/>
      <c r="AI28" s="681"/>
      <c r="AJ28" s="674"/>
      <c r="AK28" s="680"/>
      <c r="AL28" s="681"/>
    </row>
    <row r="29" spans="1:38" x14ac:dyDescent="0.55000000000000004">
      <c r="A29" s="706">
        <v>43857</v>
      </c>
      <c r="B29" s="682">
        <v>63026</v>
      </c>
      <c r="C29" s="684">
        <v>20016470</v>
      </c>
      <c r="D29" s="685" t="s">
        <v>3443</v>
      </c>
      <c r="E29" s="695"/>
      <c r="F29" s="674">
        <v>1</v>
      </c>
      <c r="G29" s="675" t="s">
        <v>3372</v>
      </c>
      <c r="H29" s="676" t="s">
        <v>1579</v>
      </c>
      <c r="I29" s="674">
        <v>2</v>
      </c>
      <c r="J29" s="675" t="s">
        <v>1511</v>
      </c>
      <c r="K29" s="677" t="s">
        <v>1633</v>
      </c>
      <c r="L29" s="674">
        <v>3</v>
      </c>
      <c r="M29" s="678" t="s">
        <v>1502</v>
      </c>
      <c r="N29" s="679" t="s">
        <v>1583</v>
      </c>
      <c r="O29" s="674">
        <v>4</v>
      </c>
      <c r="P29" s="678" t="s">
        <v>1498</v>
      </c>
      <c r="Q29" s="677" t="s">
        <v>1798</v>
      </c>
      <c r="R29" s="674">
        <v>5</v>
      </c>
      <c r="S29" s="696" t="s">
        <v>1503</v>
      </c>
      <c r="T29" s="697" t="s">
        <v>1632</v>
      </c>
      <c r="U29" s="674"/>
      <c r="V29" s="680"/>
      <c r="W29" s="681"/>
      <c r="X29" s="674"/>
      <c r="Y29" s="680"/>
      <c r="Z29" s="681"/>
      <c r="AA29" s="674"/>
      <c r="AB29" s="680"/>
      <c r="AC29" s="681"/>
      <c r="AD29" s="674"/>
      <c r="AE29" s="680"/>
      <c r="AF29" s="681"/>
      <c r="AG29" s="674"/>
      <c r="AH29" s="680"/>
      <c r="AI29" s="681"/>
      <c r="AJ29" s="674"/>
      <c r="AK29" s="680"/>
      <c r="AL29" s="681"/>
    </row>
    <row r="30" spans="1:38" x14ac:dyDescent="0.55000000000000004">
      <c r="A30" s="707">
        <v>43858</v>
      </c>
      <c r="B30" s="692">
        <v>63027</v>
      </c>
      <c r="C30" s="672">
        <v>19086324</v>
      </c>
      <c r="D30" s="673" t="s">
        <v>3506</v>
      </c>
      <c r="E30" s="725"/>
      <c r="F30" s="674">
        <v>1</v>
      </c>
      <c r="G30" s="675" t="s">
        <v>2541</v>
      </c>
      <c r="H30" s="676" t="s">
        <v>1571</v>
      </c>
      <c r="I30" s="674">
        <v>2</v>
      </c>
      <c r="J30" s="675" t="s">
        <v>1503</v>
      </c>
      <c r="K30" s="677" t="s">
        <v>1584</v>
      </c>
      <c r="L30" s="674"/>
      <c r="M30" s="680"/>
      <c r="N30" s="1181"/>
      <c r="O30" s="674"/>
      <c r="P30" s="680"/>
      <c r="Q30" s="681"/>
      <c r="R30" s="674"/>
      <c r="S30" s="680"/>
      <c r="T30" s="681"/>
      <c r="U30" s="674"/>
      <c r="V30" s="680"/>
      <c r="W30" s="681"/>
      <c r="X30" s="674"/>
      <c r="Y30" s="680"/>
      <c r="Z30" s="681"/>
      <c r="AA30" s="674"/>
      <c r="AB30" s="680"/>
      <c r="AC30" s="681"/>
      <c r="AD30" s="674"/>
      <c r="AE30" s="680"/>
      <c r="AF30" s="681"/>
      <c r="AG30" s="674"/>
      <c r="AH30" s="680"/>
      <c r="AI30" s="681"/>
      <c r="AJ30" s="674"/>
      <c r="AK30" s="680"/>
      <c r="AL30" s="681"/>
    </row>
    <row r="31" spans="1:38" x14ac:dyDescent="0.55000000000000004">
      <c r="A31" s="707"/>
      <c r="B31" s="703">
        <v>63028</v>
      </c>
      <c r="C31" s="700"/>
      <c r="D31" s="701"/>
      <c r="E31" s="726"/>
      <c r="F31" s="674">
        <v>1</v>
      </c>
      <c r="G31" s="675" t="s">
        <v>2541</v>
      </c>
      <c r="H31" s="676" t="s">
        <v>1571</v>
      </c>
      <c r="I31" s="674">
        <v>2</v>
      </c>
      <c r="J31" s="675" t="s">
        <v>1503</v>
      </c>
      <c r="K31" s="677" t="s">
        <v>1584</v>
      </c>
      <c r="L31" s="674"/>
      <c r="M31" s="680"/>
      <c r="N31" s="1181"/>
      <c r="O31" s="674"/>
      <c r="P31" s="680"/>
      <c r="Q31" s="681"/>
      <c r="R31" s="674"/>
      <c r="S31" s="680"/>
      <c r="T31" s="681"/>
      <c r="U31" s="674"/>
      <c r="V31" s="680"/>
      <c r="W31" s="681"/>
      <c r="X31" s="674"/>
      <c r="Y31" s="680"/>
      <c r="Z31" s="681"/>
      <c r="AA31" s="674"/>
      <c r="AB31" s="680"/>
      <c r="AC31" s="681"/>
      <c r="AD31" s="674"/>
      <c r="AE31" s="680"/>
      <c r="AF31" s="681"/>
      <c r="AG31" s="674"/>
      <c r="AH31" s="680"/>
      <c r="AI31" s="681"/>
      <c r="AJ31" s="674"/>
      <c r="AK31" s="680"/>
      <c r="AL31" s="681"/>
    </row>
    <row r="32" spans="1:38" x14ac:dyDescent="0.55000000000000004">
      <c r="A32" s="707"/>
      <c r="B32" s="703">
        <v>63029</v>
      </c>
      <c r="C32" s="700"/>
      <c r="D32" s="701"/>
      <c r="E32" s="726"/>
      <c r="F32" s="674">
        <v>1</v>
      </c>
      <c r="G32" s="675" t="s">
        <v>2540</v>
      </c>
      <c r="H32" s="676" t="s">
        <v>1571</v>
      </c>
      <c r="I32" s="674">
        <v>2</v>
      </c>
      <c r="J32" s="675" t="s">
        <v>1503</v>
      </c>
      <c r="K32" s="677" t="s">
        <v>1584</v>
      </c>
      <c r="L32" s="674"/>
      <c r="M32" s="680"/>
      <c r="N32" s="1181"/>
      <c r="O32" s="674"/>
      <c r="P32" s="680"/>
      <c r="Q32" s="681"/>
      <c r="R32" s="674"/>
      <c r="S32" s="680"/>
      <c r="T32" s="681"/>
      <c r="U32" s="674"/>
      <c r="V32" s="680"/>
      <c r="W32" s="681"/>
      <c r="X32" s="674"/>
      <c r="Y32" s="680"/>
      <c r="Z32" s="681"/>
      <c r="AA32" s="674"/>
      <c r="AB32" s="680"/>
      <c r="AC32" s="681"/>
      <c r="AD32" s="674"/>
      <c r="AE32" s="680"/>
      <c r="AF32" s="681"/>
      <c r="AG32" s="674"/>
      <c r="AH32" s="680"/>
      <c r="AI32" s="681"/>
      <c r="AJ32" s="674"/>
      <c r="AK32" s="680"/>
      <c r="AL32" s="681"/>
    </row>
    <row r="33" spans="1:38" x14ac:dyDescent="0.55000000000000004">
      <c r="A33" s="706"/>
      <c r="B33" s="682">
        <v>63030</v>
      </c>
      <c r="C33" s="684"/>
      <c r="D33" s="685"/>
      <c r="E33" s="695"/>
      <c r="F33" s="674">
        <v>1</v>
      </c>
      <c r="G33" s="675" t="s">
        <v>2540</v>
      </c>
      <c r="H33" s="676" t="s">
        <v>1571</v>
      </c>
      <c r="I33" s="674">
        <v>2</v>
      </c>
      <c r="J33" s="675" t="s">
        <v>1503</v>
      </c>
      <c r="K33" s="677" t="s">
        <v>1584</v>
      </c>
      <c r="L33" s="674"/>
      <c r="M33" s="680"/>
      <c r="N33" s="1181"/>
      <c r="O33" s="674"/>
      <c r="P33" s="680"/>
      <c r="Q33" s="681"/>
      <c r="R33" s="674"/>
      <c r="S33" s="680"/>
      <c r="T33" s="681"/>
      <c r="U33" s="674"/>
      <c r="V33" s="680"/>
      <c r="W33" s="681"/>
      <c r="X33" s="674"/>
      <c r="Y33" s="680"/>
      <c r="Z33" s="681"/>
      <c r="AA33" s="674"/>
      <c r="AB33" s="680"/>
      <c r="AC33" s="681"/>
      <c r="AD33" s="674"/>
      <c r="AE33" s="680"/>
      <c r="AF33" s="681"/>
      <c r="AG33" s="674"/>
      <c r="AH33" s="680"/>
      <c r="AI33" s="681"/>
      <c r="AJ33" s="674"/>
      <c r="AK33" s="680"/>
      <c r="AL33" s="681"/>
    </row>
    <row r="34" spans="1:38" x14ac:dyDescent="0.55000000000000004">
      <c r="A34" s="706">
        <v>43861</v>
      </c>
      <c r="B34" s="682">
        <v>63031</v>
      </c>
      <c r="C34" s="684">
        <v>19126462</v>
      </c>
      <c r="D34" s="685" t="s">
        <v>1490</v>
      </c>
      <c r="E34" s="695"/>
      <c r="F34" s="674">
        <v>1</v>
      </c>
      <c r="G34" s="675" t="s">
        <v>3444</v>
      </c>
      <c r="H34" s="676" t="s">
        <v>1571</v>
      </c>
      <c r="I34" s="674">
        <v>2</v>
      </c>
      <c r="J34" s="675" t="s">
        <v>1511</v>
      </c>
      <c r="K34" s="677" t="s">
        <v>1574</v>
      </c>
      <c r="L34" s="674">
        <v>3</v>
      </c>
      <c r="M34" s="678" t="s">
        <v>1502</v>
      </c>
      <c r="N34" s="679" t="s">
        <v>1575</v>
      </c>
      <c r="O34" s="674">
        <v>4</v>
      </c>
      <c r="P34" s="678" t="s">
        <v>1503</v>
      </c>
      <c r="Q34" s="677" t="s">
        <v>1801</v>
      </c>
      <c r="R34" s="674"/>
      <c r="S34" s="680"/>
      <c r="T34" s="681"/>
      <c r="U34" s="674"/>
      <c r="V34" s="680"/>
      <c r="W34" s="681"/>
      <c r="X34" s="674"/>
      <c r="Y34" s="680"/>
      <c r="Z34" s="681"/>
      <c r="AA34" s="674"/>
      <c r="AB34" s="680"/>
      <c r="AC34" s="681"/>
      <c r="AD34" s="674"/>
      <c r="AE34" s="680"/>
      <c r="AF34" s="681"/>
      <c r="AG34" s="674"/>
      <c r="AH34" s="680"/>
      <c r="AI34" s="681"/>
      <c r="AJ34" s="674"/>
      <c r="AK34" s="680"/>
      <c r="AL34" s="681"/>
    </row>
    <row r="35" spans="1:38" x14ac:dyDescent="0.55000000000000004">
      <c r="A35" s="706">
        <v>43864</v>
      </c>
      <c r="B35" s="682">
        <v>63032</v>
      </c>
      <c r="C35" s="684">
        <v>19126456</v>
      </c>
      <c r="D35" s="685" t="s">
        <v>1490</v>
      </c>
      <c r="E35" s="695"/>
      <c r="F35" s="674">
        <v>1</v>
      </c>
      <c r="G35" s="675" t="s">
        <v>3247</v>
      </c>
      <c r="H35" s="676" t="s">
        <v>1571</v>
      </c>
      <c r="I35" s="674">
        <v>2</v>
      </c>
      <c r="J35" s="675" t="s">
        <v>1511</v>
      </c>
      <c r="K35" s="677" t="s">
        <v>1574</v>
      </c>
      <c r="L35" s="674">
        <v>3</v>
      </c>
      <c r="M35" s="678" t="s">
        <v>1502</v>
      </c>
      <c r="N35" s="679" t="s">
        <v>1575</v>
      </c>
      <c r="O35" s="674">
        <v>4</v>
      </c>
      <c r="P35" s="678" t="s">
        <v>1503</v>
      </c>
      <c r="Q35" s="677" t="s">
        <v>1597</v>
      </c>
      <c r="R35" s="674"/>
      <c r="S35" s="680"/>
      <c r="T35" s="681"/>
      <c r="U35" s="674"/>
      <c r="V35" s="680"/>
      <c r="W35" s="681"/>
      <c r="X35" s="674"/>
      <c r="Y35" s="680"/>
      <c r="Z35" s="681"/>
      <c r="AA35" s="674"/>
      <c r="AB35" s="680"/>
      <c r="AC35" s="681"/>
      <c r="AD35" s="674"/>
      <c r="AE35" s="680"/>
      <c r="AF35" s="681"/>
      <c r="AG35" s="674"/>
      <c r="AH35" s="680"/>
      <c r="AI35" s="681"/>
      <c r="AJ35" s="674"/>
      <c r="AK35" s="680"/>
      <c r="AL35" s="681"/>
    </row>
    <row r="36" spans="1:38" x14ac:dyDescent="0.55000000000000004">
      <c r="A36" s="706">
        <v>43864</v>
      </c>
      <c r="B36" s="682">
        <v>63033</v>
      </c>
      <c r="C36" s="684">
        <v>20016472</v>
      </c>
      <c r="D36" s="685" t="s">
        <v>1624</v>
      </c>
      <c r="E36" s="695"/>
      <c r="F36" s="674">
        <v>1</v>
      </c>
      <c r="G36" s="675" t="s">
        <v>770</v>
      </c>
      <c r="H36" s="676" t="s">
        <v>1571</v>
      </c>
      <c r="I36" s="674">
        <v>2</v>
      </c>
      <c r="J36" s="675" t="s">
        <v>1511</v>
      </c>
      <c r="K36" s="677" t="s">
        <v>1583</v>
      </c>
      <c r="L36" s="674">
        <v>3</v>
      </c>
      <c r="M36" s="678" t="s">
        <v>1502</v>
      </c>
      <c r="N36" s="679" t="s">
        <v>1575</v>
      </c>
      <c r="O36" s="674">
        <v>4</v>
      </c>
      <c r="P36" s="678" t="s">
        <v>1498</v>
      </c>
      <c r="Q36" s="677" t="s">
        <v>3113</v>
      </c>
      <c r="R36" s="674">
        <v>5</v>
      </c>
      <c r="S36" s="696" t="s">
        <v>1503</v>
      </c>
      <c r="T36" s="697" t="s">
        <v>1597</v>
      </c>
      <c r="U36" s="674"/>
      <c r="V36" s="680"/>
      <c r="W36" s="681"/>
      <c r="X36" s="674"/>
      <c r="Y36" s="680"/>
      <c r="Z36" s="681"/>
      <c r="AA36" s="674"/>
      <c r="AB36" s="680"/>
      <c r="AC36" s="681"/>
      <c r="AD36" s="674"/>
      <c r="AE36" s="680"/>
      <c r="AF36" s="681"/>
      <c r="AG36" s="674"/>
      <c r="AH36" s="680"/>
      <c r="AI36" s="681"/>
      <c r="AJ36" s="674"/>
      <c r="AK36" s="680"/>
      <c r="AL36" s="681"/>
    </row>
    <row r="37" spans="1:38" x14ac:dyDescent="0.55000000000000004">
      <c r="A37" s="707">
        <v>43864</v>
      </c>
      <c r="B37" s="692">
        <v>63034</v>
      </c>
      <c r="C37" s="672">
        <v>19066242</v>
      </c>
      <c r="D37" s="673" t="s">
        <v>3507</v>
      </c>
      <c r="E37" s="725"/>
      <c r="F37" s="674">
        <v>1</v>
      </c>
      <c r="G37" s="675" t="s">
        <v>2250</v>
      </c>
      <c r="H37" s="676" t="s">
        <v>1571</v>
      </c>
      <c r="I37" s="674">
        <v>2</v>
      </c>
      <c r="J37" s="675" t="s">
        <v>780</v>
      </c>
      <c r="K37" s="677" t="s">
        <v>1571</v>
      </c>
      <c r="L37" s="674">
        <v>3</v>
      </c>
      <c r="M37" s="678" t="s">
        <v>2253</v>
      </c>
      <c r="N37" s="679" t="s">
        <v>1571</v>
      </c>
      <c r="O37" s="674">
        <v>4</v>
      </c>
      <c r="P37" s="678" t="s">
        <v>1634</v>
      </c>
      <c r="Q37" s="677" t="s">
        <v>1574</v>
      </c>
      <c r="R37" s="674">
        <v>5</v>
      </c>
      <c r="S37" s="696" t="s">
        <v>1507</v>
      </c>
      <c r="T37" s="697" t="s">
        <v>1583</v>
      </c>
      <c r="U37" s="674">
        <v>6</v>
      </c>
      <c r="V37" s="696" t="s">
        <v>1498</v>
      </c>
      <c r="W37" s="697" t="s">
        <v>2448</v>
      </c>
      <c r="X37" s="674">
        <v>7</v>
      </c>
      <c r="Y37" s="696" t="s">
        <v>1503</v>
      </c>
      <c r="Z37" s="697" t="s">
        <v>1801</v>
      </c>
      <c r="AA37" s="674">
        <v>8</v>
      </c>
      <c r="AB37" s="696" t="s">
        <v>3019</v>
      </c>
      <c r="AC37" s="697" t="s">
        <v>1586</v>
      </c>
      <c r="AD37" s="674"/>
      <c r="AE37" s="680"/>
      <c r="AF37" s="681"/>
      <c r="AG37" s="674"/>
      <c r="AH37" s="680"/>
      <c r="AI37" s="681"/>
      <c r="AJ37" s="674"/>
      <c r="AK37" s="680"/>
      <c r="AL37" s="681"/>
    </row>
    <row r="38" spans="1:38" x14ac:dyDescent="0.55000000000000004">
      <c r="A38" s="706"/>
      <c r="B38" s="682">
        <v>63035</v>
      </c>
      <c r="C38" s="684"/>
      <c r="D38" s="685"/>
      <c r="E38" s="695"/>
      <c r="F38" s="674">
        <v>1</v>
      </c>
      <c r="G38" s="675" t="s">
        <v>2251</v>
      </c>
      <c r="H38" s="676" t="s">
        <v>1571</v>
      </c>
      <c r="I38" s="674">
        <v>2</v>
      </c>
      <c r="J38" s="675" t="s">
        <v>1634</v>
      </c>
      <c r="K38" s="677" t="s">
        <v>1574</v>
      </c>
      <c r="L38" s="674">
        <v>3</v>
      </c>
      <c r="M38" s="678" t="s">
        <v>1502</v>
      </c>
      <c r="N38" s="679" t="s">
        <v>1575</v>
      </c>
      <c r="O38" s="674">
        <v>4</v>
      </c>
      <c r="P38" s="678" t="s">
        <v>1498</v>
      </c>
      <c r="Q38" s="677" t="s">
        <v>3508</v>
      </c>
      <c r="R38" s="674">
        <v>5</v>
      </c>
      <c r="S38" s="696" t="s">
        <v>1503</v>
      </c>
      <c r="T38" s="697" t="s">
        <v>1584</v>
      </c>
      <c r="U38" s="674">
        <v>6</v>
      </c>
      <c r="V38" s="696" t="s">
        <v>2453</v>
      </c>
      <c r="W38" s="697" t="s">
        <v>1575</v>
      </c>
      <c r="X38" s="674"/>
      <c r="Y38" s="680"/>
      <c r="Z38" s="681"/>
      <c r="AA38" s="674"/>
      <c r="AB38" s="680"/>
      <c r="AC38" s="681"/>
      <c r="AD38" s="674"/>
      <c r="AE38" s="680"/>
      <c r="AF38" s="681"/>
      <c r="AG38" s="674"/>
      <c r="AH38" s="680"/>
      <c r="AI38" s="681"/>
      <c r="AJ38" s="674"/>
      <c r="AK38" s="680"/>
      <c r="AL38" s="681"/>
    </row>
    <row r="39" spans="1:38" x14ac:dyDescent="0.55000000000000004">
      <c r="A39" s="706">
        <v>43865</v>
      </c>
      <c r="B39" s="682">
        <v>63036</v>
      </c>
      <c r="C39" s="1180" t="s">
        <v>3429</v>
      </c>
      <c r="D39" s="685" t="s">
        <v>1452</v>
      </c>
      <c r="E39" s="695"/>
      <c r="F39" s="674">
        <v>1</v>
      </c>
      <c r="G39" s="675" t="s">
        <v>3431</v>
      </c>
      <c r="H39" s="676" t="s">
        <v>1579</v>
      </c>
      <c r="I39" s="674">
        <v>2</v>
      </c>
      <c r="J39" s="675" t="s">
        <v>1511</v>
      </c>
      <c r="K39" s="677" t="s">
        <v>1583</v>
      </c>
      <c r="L39" s="674">
        <v>3</v>
      </c>
      <c r="M39" s="678" t="s">
        <v>1502</v>
      </c>
      <c r="N39" s="679" t="s">
        <v>1583</v>
      </c>
      <c r="O39" s="674">
        <v>4</v>
      </c>
      <c r="P39" s="678" t="s">
        <v>1498</v>
      </c>
      <c r="Q39" s="677" t="s">
        <v>1588</v>
      </c>
      <c r="R39" s="674">
        <v>5</v>
      </c>
      <c r="S39" s="696" t="s">
        <v>1503</v>
      </c>
      <c r="T39" s="697" t="s">
        <v>1632</v>
      </c>
      <c r="U39" s="674"/>
      <c r="V39" s="680"/>
      <c r="W39" s="681"/>
      <c r="X39" s="674"/>
      <c r="Y39" s="680"/>
      <c r="Z39" s="681"/>
      <c r="AA39" s="674"/>
      <c r="AB39" s="680"/>
      <c r="AC39" s="681"/>
      <c r="AD39" s="674"/>
      <c r="AE39" s="680"/>
      <c r="AF39" s="681"/>
      <c r="AG39" s="674"/>
      <c r="AH39" s="680"/>
      <c r="AI39" s="681"/>
      <c r="AJ39" s="674"/>
      <c r="AK39" s="680"/>
      <c r="AL39" s="681"/>
    </row>
    <row r="40" spans="1:38" x14ac:dyDescent="0.55000000000000004">
      <c r="A40" s="706">
        <v>43865</v>
      </c>
      <c r="B40" s="682">
        <v>63037</v>
      </c>
      <c r="C40" s="684">
        <v>19126452</v>
      </c>
      <c r="D40" s="685" t="s">
        <v>1926</v>
      </c>
      <c r="E40" s="695"/>
      <c r="F40" s="674">
        <v>1</v>
      </c>
      <c r="G40" s="675" t="s">
        <v>1341</v>
      </c>
      <c r="H40" s="676" t="s">
        <v>1571</v>
      </c>
      <c r="I40" s="674">
        <v>2</v>
      </c>
      <c r="J40" s="675" t="s">
        <v>1511</v>
      </c>
      <c r="K40" s="677" t="s">
        <v>1575</v>
      </c>
      <c r="L40" s="674">
        <v>3</v>
      </c>
      <c r="M40" s="678" t="s">
        <v>1502</v>
      </c>
      <c r="N40" s="679" t="s">
        <v>1575</v>
      </c>
      <c r="O40" s="674">
        <v>4</v>
      </c>
      <c r="P40" s="678" t="s">
        <v>1498</v>
      </c>
      <c r="Q40" s="677" t="s">
        <v>1580</v>
      </c>
      <c r="R40" s="674">
        <v>5</v>
      </c>
      <c r="S40" s="696" t="s">
        <v>1503</v>
      </c>
      <c r="T40" s="697" t="s">
        <v>1801</v>
      </c>
      <c r="U40" s="674"/>
      <c r="V40" s="680"/>
      <c r="W40" s="681"/>
      <c r="X40" s="674"/>
      <c r="Y40" s="680"/>
      <c r="Z40" s="681"/>
      <c r="AA40" s="674"/>
      <c r="AB40" s="680"/>
      <c r="AC40" s="681"/>
      <c r="AD40" s="674"/>
      <c r="AE40" s="680"/>
      <c r="AF40" s="681"/>
      <c r="AG40" s="674"/>
      <c r="AH40" s="680"/>
      <c r="AI40" s="681"/>
      <c r="AJ40" s="674"/>
      <c r="AK40" s="680"/>
      <c r="AL40" s="681"/>
    </row>
    <row r="41" spans="1:38" x14ac:dyDescent="0.55000000000000004">
      <c r="A41" s="707">
        <v>43867</v>
      </c>
      <c r="B41" s="692">
        <v>63038</v>
      </c>
      <c r="C41" s="672">
        <v>19126458</v>
      </c>
      <c r="D41" s="673" t="s">
        <v>2872</v>
      </c>
      <c r="E41" s="725"/>
      <c r="F41" s="674">
        <v>1</v>
      </c>
      <c r="G41" s="675" t="s">
        <v>3241</v>
      </c>
      <c r="H41" s="676" t="s">
        <v>1571</v>
      </c>
      <c r="I41" s="674">
        <v>2</v>
      </c>
      <c r="J41" s="675" t="s">
        <v>1634</v>
      </c>
      <c r="K41" s="677" t="s">
        <v>1583</v>
      </c>
      <c r="L41" s="674">
        <v>3</v>
      </c>
      <c r="M41" s="678" t="s">
        <v>1502</v>
      </c>
      <c r="N41" s="679" t="s">
        <v>1575</v>
      </c>
      <c r="O41" s="674">
        <v>4</v>
      </c>
      <c r="P41" s="678" t="s">
        <v>2328</v>
      </c>
      <c r="Q41" s="677" t="s">
        <v>3517</v>
      </c>
      <c r="R41" s="674">
        <v>5</v>
      </c>
      <c r="S41" s="696" t="s">
        <v>1636</v>
      </c>
      <c r="T41" s="697" t="s">
        <v>1575</v>
      </c>
      <c r="U41" s="674">
        <v>6</v>
      </c>
      <c r="V41" s="696" t="s">
        <v>1503</v>
      </c>
      <c r="W41" s="697" t="s">
        <v>1801</v>
      </c>
      <c r="X41" s="674"/>
      <c r="Y41" s="680"/>
      <c r="Z41" s="681"/>
      <c r="AA41" s="674"/>
      <c r="AB41" s="680"/>
      <c r="AC41" s="681"/>
      <c r="AD41" s="674"/>
      <c r="AE41" s="680"/>
      <c r="AF41" s="681"/>
      <c r="AG41" s="674"/>
      <c r="AH41" s="680"/>
      <c r="AI41" s="681"/>
      <c r="AJ41" s="674"/>
      <c r="AK41" s="680"/>
      <c r="AL41" s="681"/>
    </row>
    <row r="42" spans="1:38" x14ac:dyDescent="0.55000000000000004">
      <c r="A42" s="707"/>
      <c r="B42" s="703">
        <v>63039</v>
      </c>
      <c r="C42" s="700"/>
      <c r="D42" s="701"/>
      <c r="E42" s="726"/>
      <c r="F42" s="674">
        <v>1</v>
      </c>
      <c r="G42" s="675" t="s">
        <v>3241</v>
      </c>
      <c r="H42" s="676" t="s">
        <v>1571</v>
      </c>
      <c r="I42" s="674">
        <v>2</v>
      </c>
      <c r="J42" s="675" t="s">
        <v>1634</v>
      </c>
      <c r="K42" s="677" t="s">
        <v>1583</v>
      </c>
      <c r="L42" s="674">
        <v>3</v>
      </c>
      <c r="M42" s="678" t="s">
        <v>1502</v>
      </c>
      <c r="N42" s="679" t="s">
        <v>1575</v>
      </c>
      <c r="O42" s="674">
        <v>4</v>
      </c>
      <c r="P42" s="678" t="s">
        <v>2328</v>
      </c>
      <c r="Q42" s="677" t="s">
        <v>3517</v>
      </c>
      <c r="R42" s="674">
        <v>5</v>
      </c>
      <c r="S42" s="696" t="s">
        <v>1636</v>
      </c>
      <c r="T42" s="697" t="s">
        <v>1575</v>
      </c>
      <c r="U42" s="674">
        <v>6</v>
      </c>
      <c r="V42" s="696" t="s">
        <v>1503</v>
      </c>
      <c r="W42" s="697" t="s">
        <v>1801</v>
      </c>
      <c r="X42" s="674"/>
      <c r="Y42" s="680"/>
      <c r="Z42" s="681"/>
      <c r="AA42" s="674"/>
      <c r="AB42" s="680"/>
      <c r="AC42" s="681"/>
      <c r="AD42" s="674"/>
      <c r="AE42" s="680"/>
      <c r="AF42" s="681"/>
      <c r="AG42" s="674"/>
      <c r="AH42" s="680"/>
      <c r="AI42" s="681"/>
      <c r="AJ42" s="674"/>
      <c r="AK42" s="680"/>
      <c r="AL42" s="681"/>
    </row>
    <row r="43" spans="1:38" x14ac:dyDescent="0.55000000000000004">
      <c r="A43" s="707"/>
      <c r="B43" s="703">
        <v>63040</v>
      </c>
      <c r="C43" s="700"/>
      <c r="D43" s="701"/>
      <c r="E43" s="726"/>
      <c r="F43" s="674">
        <v>1</v>
      </c>
      <c r="G43" s="675" t="s">
        <v>3240</v>
      </c>
      <c r="H43" s="676" t="s">
        <v>1571</v>
      </c>
      <c r="I43" s="674">
        <v>2</v>
      </c>
      <c r="J43" s="675" t="s">
        <v>1634</v>
      </c>
      <c r="K43" s="677" t="s">
        <v>1583</v>
      </c>
      <c r="L43" s="674">
        <v>3</v>
      </c>
      <c r="M43" s="678" t="s">
        <v>1502</v>
      </c>
      <c r="N43" s="679" t="s">
        <v>1575</v>
      </c>
      <c r="O43" s="674">
        <v>4</v>
      </c>
      <c r="P43" s="678" t="s">
        <v>2328</v>
      </c>
      <c r="Q43" s="677" t="s">
        <v>3022</v>
      </c>
      <c r="R43" s="674">
        <v>5</v>
      </c>
      <c r="S43" s="696" t="s">
        <v>3516</v>
      </c>
      <c r="T43" s="697" t="s">
        <v>1586</v>
      </c>
      <c r="U43" s="674">
        <v>6</v>
      </c>
      <c r="V43" s="696" t="s">
        <v>1515</v>
      </c>
      <c r="W43" s="697" t="s">
        <v>1586</v>
      </c>
      <c r="X43" s="674">
        <v>7</v>
      </c>
      <c r="Y43" s="696" t="s">
        <v>1503</v>
      </c>
      <c r="Z43" s="697" t="s">
        <v>1597</v>
      </c>
      <c r="AA43" s="674"/>
      <c r="AB43" s="680"/>
      <c r="AC43" s="681"/>
      <c r="AD43" s="674"/>
      <c r="AE43" s="680"/>
      <c r="AF43" s="681"/>
      <c r="AG43" s="674"/>
      <c r="AH43" s="680"/>
      <c r="AI43" s="681"/>
      <c r="AJ43" s="674"/>
      <c r="AK43" s="680"/>
      <c r="AL43" s="681"/>
    </row>
    <row r="44" spans="1:38" x14ac:dyDescent="0.55000000000000004">
      <c r="A44" s="706"/>
      <c r="B44" s="682">
        <v>63041</v>
      </c>
      <c r="C44" s="684"/>
      <c r="D44" s="685"/>
      <c r="E44" s="695"/>
      <c r="F44" s="674">
        <v>1</v>
      </c>
      <c r="G44" s="675" t="s">
        <v>3240</v>
      </c>
      <c r="H44" s="676" t="s">
        <v>1571</v>
      </c>
      <c r="I44" s="674">
        <v>2</v>
      </c>
      <c r="J44" s="675" t="s">
        <v>1634</v>
      </c>
      <c r="K44" s="677" t="s">
        <v>1583</v>
      </c>
      <c r="L44" s="674">
        <v>3</v>
      </c>
      <c r="M44" s="678" t="s">
        <v>1502</v>
      </c>
      <c r="N44" s="679" t="s">
        <v>1575</v>
      </c>
      <c r="O44" s="674">
        <v>4</v>
      </c>
      <c r="P44" s="678" t="s">
        <v>2328</v>
      </c>
      <c r="Q44" s="677" t="s">
        <v>3022</v>
      </c>
      <c r="R44" s="674">
        <v>5</v>
      </c>
      <c r="S44" s="696" t="s">
        <v>3516</v>
      </c>
      <c r="T44" s="697" t="s">
        <v>1586</v>
      </c>
      <c r="U44" s="674">
        <v>6</v>
      </c>
      <c r="V44" s="696" t="s">
        <v>1515</v>
      </c>
      <c r="W44" s="697" t="s">
        <v>1586</v>
      </c>
      <c r="X44" s="674">
        <v>7</v>
      </c>
      <c r="Y44" s="696" t="s">
        <v>1503</v>
      </c>
      <c r="Z44" s="697" t="s">
        <v>1597</v>
      </c>
      <c r="AA44" s="674"/>
      <c r="AB44" s="680"/>
      <c r="AC44" s="681"/>
      <c r="AD44" s="674"/>
      <c r="AE44" s="680"/>
      <c r="AF44" s="681"/>
      <c r="AG44" s="674"/>
      <c r="AH44" s="680"/>
      <c r="AI44" s="681"/>
      <c r="AJ44" s="674"/>
      <c r="AK44" s="680"/>
      <c r="AL44" s="681"/>
    </row>
    <row r="45" spans="1:38" x14ac:dyDescent="0.55000000000000004">
      <c r="A45" s="706">
        <v>43871</v>
      </c>
      <c r="B45" s="682">
        <v>63042</v>
      </c>
      <c r="C45" s="684">
        <v>19046201</v>
      </c>
      <c r="D45" s="685" t="s">
        <v>3385</v>
      </c>
      <c r="E45" s="695"/>
      <c r="F45" s="674">
        <v>1</v>
      </c>
      <c r="G45" s="675" t="s">
        <v>1162</v>
      </c>
      <c r="H45" s="676" t="s">
        <v>1579</v>
      </c>
      <c r="I45" s="674">
        <v>2</v>
      </c>
      <c r="J45" s="675" t="s">
        <v>1978</v>
      </c>
      <c r="K45" s="677" t="s">
        <v>1579</v>
      </c>
      <c r="L45" s="674">
        <v>3</v>
      </c>
      <c r="M45" s="678" t="s">
        <v>1634</v>
      </c>
      <c r="N45" s="679" t="s">
        <v>1633</v>
      </c>
      <c r="O45" s="674">
        <v>4</v>
      </c>
      <c r="P45" s="678" t="s">
        <v>1502</v>
      </c>
      <c r="Q45" s="677" t="s">
        <v>1583</v>
      </c>
      <c r="R45" s="674">
        <v>5</v>
      </c>
      <c r="S45" s="696" t="s">
        <v>1498</v>
      </c>
      <c r="T45" s="697" t="s">
        <v>3403</v>
      </c>
      <c r="U45" s="674"/>
      <c r="V45" s="680"/>
      <c r="W45" s="681"/>
      <c r="X45" s="674"/>
      <c r="Y45" s="680"/>
      <c r="Z45" s="681"/>
      <c r="AA45" s="674"/>
      <c r="AB45" s="680"/>
      <c r="AC45" s="681"/>
      <c r="AD45" s="674"/>
      <c r="AE45" s="680"/>
      <c r="AF45" s="681"/>
      <c r="AG45" s="674"/>
      <c r="AH45" s="680"/>
      <c r="AI45" s="681"/>
      <c r="AJ45" s="674"/>
      <c r="AK45" s="680"/>
      <c r="AL45" s="681"/>
    </row>
    <row r="46" spans="1:38" x14ac:dyDescent="0.55000000000000004">
      <c r="A46" s="706">
        <v>43871</v>
      </c>
      <c r="B46" s="682">
        <v>63043</v>
      </c>
      <c r="C46" s="684">
        <v>20016477</v>
      </c>
      <c r="D46" s="685" t="s">
        <v>1490</v>
      </c>
      <c r="E46" s="695"/>
      <c r="F46" s="674">
        <v>1</v>
      </c>
      <c r="G46" s="675" t="s">
        <v>712</v>
      </c>
      <c r="H46" s="676" t="s">
        <v>1571</v>
      </c>
      <c r="I46" s="674"/>
      <c r="J46" s="690"/>
      <c r="K46" s="681"/>
      <c r="L46" s="674"/>
      <c r="M46" s="680"/>
      <c r="N46" s="1181"/>
      <c r="O46" s="674"/>
      <c r="P46" s="680"/>
      <c r="Q46" s="681"/>
      <c r="R46" s="674"/>
      <c r="S46" s="680"/>
      <c r="T46" s="681"/>
      <c r="U46" s="674"/>
      <c r="V46" s="680"/>
      <c r="W46" s="681"/>
      <c r="X46" s="674"/>
      <c r="Y46" s="680"/>
      <c r="Z46" s="681"/>
      <c r="AA46" s="674"/>
      <c r="AB46" s="680"/>
      <c r="AC46" s="681"/>
      <c r="AD46" s="674"/>
      <c r="AE46" s="680"/>
      <c r="AF46" s="681"/>
      <c r="AG46" s="674"/>
      <c r="AH46" s="680"/>
      <c r="AI46" s="681"/>
      <c r="AJ46" s="674"/>
      <c r="AK46" s="680"/>
      <c r="AL46" s="681"/>
    </row>
    <row r="47" spans="1:38" x14ac:dyDescent="0.55000000000000004">
      <c r="A47" s="706">
        <v>43872</v>
      </c>
      <c r="B47" s="682">
        <v>63044</v>
      </c>
      <c r="C47" s="684">
        <v>19126455</v>
      </c>
      <c r="D47" s="685" t="s">
        <v>1969</v>
      </c>
      <c r="E47" s="695"/>
      <c r="F47" s="674">
        <v>1</v>
      </c>
      <c r="G47" s="675" t="s">
        <v>710</v>
      </c>
      <c r="H47" s="676" t="s">
        <v>1571</v>
      </c>
      <c r="I47" s="674">
        <v>2</v>
      </c>
      <c r="J47" s="675" t="s">
        <v>830</v>
      </c>
      <c r="K47" s="677" t="s">
        <v>1571</v>
      </c>
      <c r="L47" s="674">
        <v>3</v>
      </c>
      <c r="M47" s="678" t="s">
        <v>716</v>
      </c>
      <c r="N47" s="679" t="s">
        <v>1571</v>
      </c>
      <c r="O47" s="674">
        <v>4</v>
      </c>
      <c r="P47" s="678" t="s">
        <v>1634</v>
      </c>
      <c r="Q47" s="677" t="s">
        <v>2930</v>
      </c>
      <c r="R47" s="674">
        <v>5</v>
      </c>
      <c r="S47" s="696" t="s">
        <v>1507</v>
      </c>
      <c r="T47" s="697" t="s">
        <v>1583</v>
      </c>
      <c r="U47" s="674">
        <v>6</v>
      </c>
      <c r="V47" s="696" t="s">
        <v>3514</v>
      </c>
      <c r="W47" s="697" t="s">
        <v>1575</v>
      </c>
      <c r="X47" s="674">
        <v>7</v>
      </c>
      <c r="Y47" s="696" t="s">
        <v>1498</v>
      </c>
      <c r="Z47" s="697" t="s">
        <v>3515</v>
      </c>
      <c r="AA47" s="674">
        <v>8</v>
      </c>
      <c r="AB47" s="696" t="s">
        <v>1636</v>
      </c>
      <c r="AC47" s="697" t="s">
        <v>1575</v>
      </c>
      <c r="AD47" s="674">
        <v>9</v>
      </c>
      <c r="AE47" s="696" t="s">
        <v>3102</v>
      </c>
      <c r="AF47" s="697" t="s">
        <v>1586</v>
      </c>
      <c r="AG47" s="674">
        <v>10</v>
      </c>
      <c r="AH47" s="696" t="s">
        <v>1503</v>
      </c>
      <c r="AI47" s="697" t="s">
        <v>1801</v>
      </c>
      <c r="AJ47" s="674"/>
      <c r="AK47" s="680"/>
      <c r="AL47" s="681"/>
    </row>
    <row r="48" spans="1:38" x14ac:dyDescent="0.55000000000000004">
      <c r="A48" s="706">
        <v>43874</v>
      </c>
      <c r="B48" s="682">
        <v>63045</v>
      </c>
      <c r="C48" s="684">
        <v>20026482</v>
      </c>
      <c r="D48" s="685" t="s">
        <v>1490</v>
      </c>
      <c r="E48" s="695"/>
      <c r="F48" s="674">
        <v>1</v>
      </c>
      <c r="G48" s="675" t="s">
        <v>3449</v>
      </c>
      <c r="H48" s="676" t="s">
        <v>1571</v>
      </c>
      <c r="I48" s="674">
        <v>2</v>
      </c>
      <c r="J48" s="675" t="s">
        <v>1511</v>
      </c>
      <c r="K48" s="677" t="s">
        <v>1583</v>
      </c>
      <c r="L48" s="674">
        <v>3</v>
      </c>
      <c r="M48" s="678" t="s">
        <v>1507</v>
      </c>
      <c r="N48" s="679" t="s">
        <v>1575</v>
      </c>
      <c r="O48" s="674">
        <v>4</v>
      </c>
      <c r="P48" s="678" t="s">
        <v>1498</v>
      </c>
      <c r="Q48" s="677" t="s">
        <v>3513</v>
      </c>
      <c r="R48" s="674">
        <v>5</v>
      </c>
      <c r="S48" s="696" t="s">
        <v>1503</v>
      </c>
      <c r="T48" s="697" t="s">
        <v>1584</v>
      </c>
      <c r="U48" s="674"/>
      <c r="V48" s="680"/>
      <c r="W48" s="681"/>
      <c r="X48" s="674"/>
      <c r="Y48" s="680"/>
      <c r="Z48" s="681"/>
      <c r="AA48" s="674"/>
      <c r="AB48" s="680"/>
      <c r="AC48" s="681"/>
      <c r="AD48" s="674"/>
      <c r="AE48" s="680"/>
      <c r="AF48" s="681"/>
      <c r="AG48" s="674"/>
      <c r="AH48" s="680"/>
      <c r="AI48" s="681"/>
      <c r="AJ48" s="674"/>
      <c r="AK48" s="680"/>
      <c r="AL48" s="681"/>
    </row>
    <row r="49" spans="1:38" x14ac:dyDescent="0.55000000000000004">
      <c r="A49" s="670">
        <v>43875</v>
      </c>
      <c r="B49" s="692">
        <v>63046</v>
      </c>
      <c r="C49" s="672">
        <v>20016481</v>
      </c>
      <c r="D49" s="673" t="s">
        <v>3527</v>
      </c>
      <c r="E49" s="695"/>
      <c r="F49" s="674">
        <v>1</v>
      </c>
      <c r="G49" s="675" t="s">
        <v>3433</v>
      </c>
      <c r="H49" s="676" t="s">
        <v>1571</v>
      </c>
      <c r="I49" s="674">
        <v>2</v>
      </c>
      <c r="J49" s="675" t="s">
        <v>1634</v>
      </c>
      <c r="K49" s="677" t="s">
        <v>1574</v>
      </c>
      <c r="L49" s="674">
        <v>3</v>
      </c>
      <c r="M49" s="678" t="s">
        <v>1502</v>
      </c>
      <c r="N49" s="679" t="s">
        <v>1575</v>
      </c>
      <c r="O49" s="674">
        <v>4</v>
      </c>
      <c r="P49" s="678" t="s">
        <v>1498</v>
      </c>
      <c r="Q49" s="677" t="s">
        <v>1932</v>
      </c>
      <c r="R49" s="674">
        <v>5</v>
      </c>
      <c r="S49" s="696" t="s">
        <v>2453</v>
      </c>
      <c r="T49" s="697" t="s">
        <v>1574</v>
      </c>
      <c r="U49" s="674"/>
      <c r="V49" s="680"/>
      <c r="W49" s="681"/>
      <c r="X49" s="674"/>
      <c r="Y49" s="680"/>
      <c r="Z49" s="681"/>
      <c r="AA49" s="674"/>
      <c r="AB49" s="680"/>
      <c r="AC49" s="681"/>
      <c r="AD49" s="674"/>
      <c r="AE49" s="680"/>
      <c r="AF49" s="681"/>
      <c r="AG49" s="674"/>
      <c r="AH49" s="680"/>
      <c r="AI49" s="681"/>
      <c r="AJ49" s="674"/>
      <c r="AK49" s="680"/>
      <c r="AL49" s="681"/>
    </row>
    <row r="50" spans="1:38" x14ac:dyDescent="0.55000000000000004">
      <c r="A50" s="706"/>
      <c r="B50" s="682">
        <v>63047</v>
      </c>
      <c r="C50" s="684"/>
      <c r="D50" s="685"/>
      <c r="E50" s="695"/>
      <c r="F50" s="674">
        <v>1</v>
      </c>
      <c r="G50" s="675" t="s">
        <v>3433</v>
      </c>
      <c r="H50" s="676" t="s">
        <v>1571</v>
      </c>
      <c r="I50" s="674">
        <v>2</v>
      </c>
      <c r="J50" s="675" t="s">
        <v>1634</v>
      </c>
      <c r="K50" s="677" t="s">
        <v>1574</v>
      </c>
      <c r="L50" s="674">
        <v>3</v>
      </c>
      <c r="M50" s="678" t="s">
        <v>1502</v>
      </c>
      <c r="N50" s="679" t="s">
        <v>1575</v>
      </c>
      <c r="O50" s="674">
        <v>4</v>
      </c>
      <c r="P50" s="678" t="s">
        <v>1498</v>
      </c>
      <c r="Q50" s="677" t="s">
        <v>1932</v>
      </c>
      <c r="R50" s="674">
        <v>5</v>
      </c>
      <c r="S50" s="696" t="s">
        <v>2453</v>
      </c>
      <c r="T50" s="697" t="s">
        <v>1574</v>
      </c>
      <c r="U50" s="674"/>
      <c r="V50" s="680"/>
      <c r="W50" s="681"/>
      <c r="X50" s="674"/>
      <c r="Y50" s="680"/>
      <c r="Z50" s="681"/>
      <c r="AA50" s="674"/>
      <c r="AB50" s="680"/>
      <c r="AC50" s="681"/>
      <c r="AD50" s="674"/>
      <c r="AE50" s="680"/>
      <c r="AF50" s="681"/>
      <c r="AG50" s="674"/>
      <c r="AH50" s="680"/>
      <c r="AI50" s="681"/>
      <c r="AJ50" s="674"/>
      <c r="AK50" s="680"/>
      <c r="AL50" s="681"/>
    </row>
    <row r="51" spans="1:38" x14ac:dyDescent="0.55000000000000004">
      <c r="A51" s="670">
        <v>43878</v>
      </c>
      <c r="B51" s="692">
        <v>63048</v>
      </c>
      <c r="C51" s="672">
        <v>19066258</v>
      </c>
      <c r="D51" s="673" t="s">
        <v>3528</v>
      </c>
      <c r="E51" s="725"/>
      <c r="F51" s="674">
        <v>1</v>
      </c>
      <c r="G51" s="675" t="s">
        <v>715</v>
      </c>
      <c r="H51" s="676" t="s">
        <v>1571</v>
      </c>
      <c r="I51" s="674">
        <v>2</v>
      </c>
      <c r="J51" s="675" t="s">
        <v>1634</v>
      </c>
      <c r="K51" s="677" t="s">
        <v>1574</v>
      </c>
      <c r="L51" s="674">
        <v>3</v>
      </c>
      <c r="M51" s="678" t="s">
        <v>1502</v>
      </c>
      <c r="N51" s="679" t="s">
        <v>1575</v>
      </c>
      <c r="O51" s="674">
        <v>4</v>
      </c>
      <c r="P51" s="678" t="s">
        <v>1498</v>
      </c>
      <c r="Q51" s="677" t="s">
        <v>1678</v>
      </c>
      <c r="R51" s="674">
        <v>5</v>
      </c>
      <c r="S51" s="696" t="s">
        <v>1503</v>
      </c>
      <c r="T51" s="697" t="s">
        <v>1584</v>
      </c>
      <c r="U51" s="674"/>
      <c r="V51" s="680"/>
      <c r="W51" s="681"/>
      <c r="X51" s="674"/>
      <c r="Y51" s="680"/>
      <c r="Z51" s="681"/>
      <c r="AA51" s="674"/>
      <c r="AB51" s="680"/>
      <c r="AC51" s="681"/>
      <c r="AD51" s="674"/>
      <c r="AE51" s="680"/>
      <c r="AF51" s="681"/>
      <c r="AG51" s="674"/>
      <c r="AH51" s="680"/>
      <c r="AI51" s="681"/>
      <c r="AJ51" s="674"/>
      <c r="AK51" s="680"/>
      <c r="AL51" s="681"/>
    </row>
    <row r="52" spans="1:38" x14ac:dyDescent="0.55000000000000004">
      <c r="A52" s="706"/>
      <c r="B52" s="682">
        <v>63049</v>
      </c>
      <c r="C52" s="684"/>
      <c r="D52" s="685"/>
      <c r="E52" s="695"/>
      <c r="F52" s="674">
        <v>1</v>
      </c>
      <c r="G52" s="675" t="s">
        <v>650</v>
      </c>
      <c r="H52" s="676" t="s">
        <v>1579</v>
      </c>
      <c r="I52" s="674">
        <v>2</v>
      </c>
      <c r="J52" s="675" t="s">
        <v>1634</v>
      </c>
      <c r="K52" s="677" t="s">
        <v>1575</v>
      </c>
      <c r="L52" s="674">
        <v>3</v>
      </c>
      <c r="M52" s="678" t="s">
        <v>1507</v>
      </c>
      <c r="N52" s="679" t="s">
        <v>1583</v>
      </c>
      <c r="O52" s="674">
        <v>4</v>
      </c>
      <c r="P52" s="678" t="s">
        <v>1498</v>
      </c>
      <c r="Q52" s="677" t="s">
        <v>2450</v>
      </c>
      <c r="R52" s="674"/>
      <c r="S52" s="680"/>
      <c r="T52" s="681"/>
      <c r="U52" s="674"/>
      <c r="V52" s="680"/>
      <c r="W52" s="681"/>
      <c r="X52" s="674"/>
      <c r="Y52" s="680"/>
      <c r="Z52" s="681"/>
      <c r="AA52" s="674"/>
      <c r="AB52" s="680"/>
      <c r="AC52" s="681"/>
      <c r="AD52" s="674"/>
      <c r="AE52" s="680"/>
      <c r="AF52" s="681"/>
      <c r="AG52" s="674"/>
      <c r="AH52" s="680"/>
      <c r="AI52" s="681"/>
      <c r="AJ52" s="674"/>
      <c r="AK52" s="680"/>
      <c r="AL52" s="681"/>
    </row>
    <row r="53" spans="1:38" x14ac:dyDescent="0.55000000000000004">
      <c r="A53" s="706">
        <v>43878</v>
      </c>
      <c r="B53" s="682">
        <v>63050</v>
      </c>
      <c r="C53" s="684">
        <v>20026486</v>
      </c>
      <c r="D53" s="685" t="s">
        <v>1624</v>
      </c>
      <c r="E53" s="695"/>
      <c r="F53" s="674">
        <v>1</v>
      </c>
      <c r="G53" s="675" t="s">
        <v>3509</v>
      </c>
      <c r="H53" s="676" t="s">
        <v>1579</v>
      </c>
      <c r="I53" s="674">
        <v>2</v>
      </c>
      <c r="J53" s="675" t="s">
        <v>1503</v>
      </c>
      <c r="K53" s="677" t="s">
        <v>1632</v>
      </c>
      <c r="L53" s="674">
        <v>3</v>
      </c>
      <c r="M53" s="678" t="s">
        <v>2057</v>
      </c>
      <c r="N53" s="679" t="s">
        <v>1583</v>
      </c>
      <c r="O53" s="674"/>
      <c r="P53" s="680"/>
      <c r="Q53" s="681"/>
      <c r="R53" s="674"/>
      <c r="S53" s="680"/>
      <c r="T53" s="681"/>
      <c r="U53" s="674"/>
      <c r="V53" s="680"/>
      <c r="W53" s="681"/>
      <c r="X53" s="674"/>
      <c r="Y53" s="680"/>
      <c r="Z53" s="681"/>
      <c r="AA53" s="674"/>
      <c r="AB53" s="680"/>
      <c r="AC53" s="681"/>
      <c r="AD53" s="674"/>
      <c r="AE53" s="680"/>
      <c r="AF53" s="681"/>
      <c r="AG53" s="674"/>
      <c r="AH53" s="680"/>
      <c r="AI53" s="681"/>
      <c r="AJ53" s="674"/>
      <c r="AK53" s="680"/>
      <c r="AL53" s="681"/>
    </row>
    <row r="54" spans="1:38" x14ac:dyDescent="0.55000000000000004">
      <c r="A54" s="706">
        <v>43878</v>
      </c>
      <c r="B54" s="682">
        <v>63051</v>
      </c>
      <c r="C54" s="684">
        <v>20016474</v>
      </c>
      <c r="D54" s="685" t="s">
        <v>3529</v>
      </c>
      <c r="E54" s="695"/>
      <c r="F54" s="674">
        <v>1</v>
      </c>
      <c r="G54" s="675" t="s">
        <v>1249</v>
      </c>
      <c r="H54" s="676" t="s">
        <v>1581</v>
      </c>
      <c r="I54" s="674">
        <v>2</v>
      </c>
      <c r="J54" s="675" t="s">
        <v>1506</v>
      </c>
      <c r="K54" s="677" t="s">
        <v>1582</v>
      </c>
      <c r="L54" s="674">
        <v>3</v>
      </c>
      <c r="M54" s="678" t="s">
        <v>1507</v>
      </c>
      <c r="N54" s="679" t="s">
        <v>1582</v>
      </c>
      <c r="O54" s="674">
        <v>4</v>
      </c>
      <c r="P54" s="678" t="s">
        <v>1498</v>
      </c>
      <c r="Q54" s="677" t="s">
        <v>2332</v>
      </c>
      <c r="R54" s="674"/>
      <c r="S54" s="680"/>
      <c r="T54" s="681"/>
      <c r="U54" s="674"/>
      <c r="V54" s="680"/>
      <c r="W54" s="681"/>
      <c r="X54" s="674"/>
      <c r="Y54" s="680"/>
      <c r="Z54" s="681"/>
      <c r="AA54" s="674"/>
      <c r="AB54" s="680"/>
      <c r="AC54" s="681"/>
      <c r="AD54" s="674"/>
      <c r="AE54" s="680"/>
      <c r="AF54" s="681"/>
      <c r="AG54" s="674"/>
      <c r="AH54" s="680"/>
      <c r="AI54" s="681"/>
      <c r="AJ54" s="674"/>
      <c r="AK54" s="680"/>
      <c r="AL54" s="681"/>
    </row>
    <row r="55" spans="1:38" x14ac:dyDescent="0.55000000000000004">
      <c r="A55" s="706">
        <v>43881</v>
      </c>
      <c r="B55" s="682">
        <v>63052</v>
      </c>
      <c r="C55" s="684">
        <v>20016467</v>
      </c>
      <c r="D55" s="685" t="s">
        <v>1926</v>
      </c>
      <c r="E55" s="695"/>
      <c r="F55" s="674">
        <v>1</v>
      </c>
      <c r="G55" s="675" t="s">
        <v>747</v>
      </c>
      <c r="H55" s="676" t="s">
        <v>1571</v>
      </c>
      <c r="I55" s="674">
        <v>2</v>
      </c>
      <c r="J55" s="675" t="s">
        <v>1511</v>
      </c>
      <c r="K55" s="677" t="s">
        <v>1575</v>
      </c>
      <c r="L55" s="674">
        <v>3</v>
      </c>
      <c r="M55" s="678" t="s">
        <v>1502</v>
      </c>
      <c r="N55" s="679" t="s">
        <v>1575</v>
      </c>
      <c r="O55" s="674">
        <v>4</v>
      </c>
      <c r="P55" s="678" t="s">
        <v>1498</v>
      </c>
      <c r="Q55" s="677" t="s">
        <v>3113</v>
      </c>
      <c r="R55" s="674">
        <v>5</v>
      </c>
      <c r="S55" s="696" t="s">
        <v>1503</v>
      </c>
      <c r="T55" s="697" t="s">
        <v>1597</v>
      </c>
      <c r="U55" s="674"/>
      <c r="V55" s="680"/>
      <c r="W55" s="681"/>
      <c r="X55" s="674"/>
      <c r="Y55" s="680"/>
      <c r="Z55" s="681"/>
      <c r="AA55" s="674"/>
      <c r="AB55" s="680"/>
      <c r="AC55" s="681"/>
      <c r="AD55" s="674"/>
      <c r="AE55" s="680"/>
      <c r="AF55" s="681"/>
      <c r="AG55" s="674"/>
      <c r="AH55" s="680"/>
      <c r="AI55" s="681"/>
      <c r="AJ55" s="674"/>
      <c r="AK55" s="680"/>
      <c r="AL55" s="681"/>
    </row>
    <row r="56" spans="1:38" x14ac:dyDescent="0.55000000000000004">
      <c r="A56" s="706">
        <v>43881</v>
      </c>
      <c r="B56" s="682">
        <v>63053</v>
      </c>
      <c r="C56" s="684">
        <v>20026489</v>
      </c>
      <c r="D56" s="685" t="s">
        <v>1490</v>
      </c>
      <c r="E56" s="695"/>
      <c r="F56" s="674">
        <v>1</v>
      </c>
      <c r="G56" s="675" t="s">
        <v>3449</v>
      </c>
      <c r="H56" s="676" t="s">
        <v>1571</v>
      </c>
      <c r="I56" s="674">
        <v>2</v>
      </c>
      <c r="J56" s="675" t="s">
        <v>2884</v>
      </c>
      <c r="K56" s="677" t="s">
        <v>1586</v>
      </c>
      <c r="L56" s="674">
        <v>3</v>
      </c>
      <c r="M56" s="678" t="s">
        <v>1511</v>
      </c>
      <c r="N56" s="679" t="s">
        <v>1633</v>
      </c>
      <c r="O56" s="674">
        <v>4</v>
      </c>
      <c r="P56" s="678" t="s">
        <v>1502</v>
      </c>
      <c r="Q56" s="677" t="s">
        <v>1583</v>
      </c>
      <c r="R56" s="674">
        <v>5</v>
      </c>
      <c r="S56" s="696" t="s">
        <v>1498</v>
      </c>
      <c r="T56" s="697" t="s">
        <v>1798</v>
      </c>
      <c r="U56" s="674">
        <v>6</v>
      </c>
      <c r="V56" s="696" t="s">
        <v>1503</v>
      </c>
      <c r="W56" s="697" t="s">
        <v>1585</v>
      </c>
      <c r="X56" s="674"/>
      <c r="Y56" s="680"/>
      <c r="Z56" s="681"/>
      <c r="AA56" s="674"/>
      <c r="AB56" s="680"/>
      <c r="AC56" s="681"/>
      <c r="AD56" s="674"/>
      <c r="AE56" s="680"/>
      <c r="AF56" s="681"/>
      <c r="AG56" s="674"/>
      <c r="AH56" s="680"/>
      <c r="AI56" s="681"/>
      <c r="AJ56" s="674"/>
      <c r="AK56" s="680"/>
      <c r="AL56" s="681"/>
    </row>
    <row r="57" spans="1:38" x14ac:dyDescent="0.55000000000000004">
      <c r="A57" s="706">
        <v>43881</v>
      </c>
      <c r="B57" s="682">
        <v>63054</v>
      </c>
      <c r="C57" s="745"/>
      <c r="D57" s="685" t="s">
        <v>2670</v>
      </c>
      <c r="E57" s="695"/>
      <c r="F57" s="674">
        <v>1</v>
      </c>
      <c r="G57" s="675" t="s">
        <v>3102</v>
      </c>
      <c r="H57" s="676" t="s">
        <v>1586</v>
      </c>
      <c r="I57" s="674"/>
      <c r="J57" s="690"/>
      <c r="K57" s="681"/>
      <c r="L57" s="674"/>
      <c r="M57" s="680"/>
      <c r="N57" s="1181"/>
      <c r="O57" s="674"/>
      <c r="P57" s="680"/>
      <c r="Q57" s="681"/>
      <c r="R57" s="674"/>
      <c r="S57" s="680"/>
      <c r="T57" s="681"/>
      <c r="U57" s="674"/>
      <c r="V57" s="680"/>
      <c r="W57" s="681"/>
      <c r="X57" s="674"/>
      <c r="Y57" s="680"/>
      <c r="Z57" s="681"/>
      <c r="AA57" s="674"/>
      <c r="AB57" s="680"/>
      <c r="AC57" s="681"/>
      <c r="AD57" s="674"/>
      <c r="AE57" s="680"/>
      <c r="AF57" s="681"/>
      <c r="AG57" s="674"/>
      <c r="AH57" s="680"/>
      <c r="AI57" s="681"/>
      <c r="AJ57" s="674"/>
      <c r="AK57" s="680"/>
      <c r="AL57" s="681"/>
    </row>
    <row r="58" spans="1:38" x14ac:dyDescent="0.55000000000000004">
      <c r="A58" s="706">
        <v>43887</v>
      </c>
      <c r="B58" s="682">
        <v>63055</v>
      </c>
      <c r="C58" s="745"/>
      <c r="D58" s="685" t="s">
        <v>1490</v>
      </c>
      <c r="E58" s="695" t="s">
        <v>659</v>
      </c>
      <c r="F58" s="674">
        <v>1</v>
      </c>
      <c r="G58" s="675" t="s">
        <v>3638</v>
      </c>
      <c r="H58" s="676" t="s">
        <v>1787</v>
      </c>
      <c r="I58" s="674"/>
      <c r="J58" s="690"/>
      <c r="K58" s="681"/>
      <c r="L58" s="674"/>
      <c r="M58" s="680"/>
      <c r="N58" s="1181"/>
      <c r="O58" s="674"/>
      <c r="P58" s="680"/>
      <c r="Q58" s="681"/>
      <c r="R58" s="674"/>
      <c r="S58" s="680"/>
      <c r="T58" s="681"/>
      <c r="U58" s="674"/>
      <c r="V58" s="680"/>
      <c r="W58" s="681"/>
      <c r="X58" s="674"/>
      <c r="Y58" s="680"/>
      <c r="Z58" s="681"/>
      <c r="AA58" s="674"/>
      <c r="AB58" s="680"/>
      <c r="AC58" s="681"/>
      <c r="AD58" s="674"/>
      <c r="AE58" s="680"/>
      <c r="AF58" s="681"/>
      <c r="AG58" s="674"/>
      <c r="AH58" s="680"/>
      <c r="AI58" s="681"/>
      <c r="AJ58" s="674"/>
      <c r="AK58" s="680"/>
      <c r="AL58" s="681"/>
    </row>
    <row r="59" spans="1:38" x14ac:dyDescent="0.55000000000000004">
      <c r="A59" s="706">
        <v>43887</v>
      </c>
      <c r="B59" s="682">
        <v>63056</v>
      </c>
      <c r="C59" s="684">
        <v>20026494</v>
      </c>
      <c r="D59" s="685" t="s">
        <v>1490</v>
      </c>
      <c r="E59" s="695"/>
      <c r="F59" s="674">
        <v>1</v>
      </c>
      <c r="G59" s="675" t="s">
        <v>3641</v>
      </c>
      <c r="H59" s="676" t="s">
        <v>1579</v>
      </c>
      <c r="I59" s="674">
        <v>2</v>
      </c>
      <c r="J59" s="675" t="s">
        <v>1511</v>
      </c>
      <c r="K59" s="677" t="s">
        <v>1633</v>
      </c>
      <c r="L59" s="674">
        <v>3</v>
      </c>
      <c r="M59" s="678" t="s">
        <v>1503</v>
      </c>
      <c r="N59" s="679" t="s">
        <v>2063</v>
      </c>
      <c r="O59" s="674"/>
      <c r="P59" s="680"/>
      <c r="Q59" s="681"/>
      <c r="R59" s="674"/>
      <c r="S59" s="680"/>
      <c r="T59" s="681"/>
      <c r="U59" s="674"/>
      <c r="V59" s="680"/>
      <c r="W59" s="681"/>
      <c r="X59" s="674"/>
      <c r="Y59" s="680"/>
      <c r="Z59" s="681"/>
      <c r="AA59" s="674"/>
      <c r="AB59" s="680"/>
      <c r="AC59" s="681"/>
      <c r="AD59" s="674"/>
      <c r="AE59" s="680"/>
      <c r="AF59" s="681"/>
      <c r="AG59" s="674"/>
      <c r="AH59" s="680"/>
      <c r="AI59" s="681"/>
      <c r="AJ59" s="674"/>
      <c r="AK59" s="680"/>
      <c r="AL59" s="681"/>
    </row>
    <row r="60" spans="1:38" x14ac:dyDescent="0.55000000000000004">
      <c r="A60" s="706">
        <v>43888</v>
      </c>
      <c r="B60" s="682">
        <v>63057</v>
      </c>
      <c r="C60" s="745"/>
      <c r="D60" s="685" t="s">
        <v>3584</v>
      </c>
      <c r="E60" s="695" t="s">
        <v>1329</v>
      </c>
      <c r="F60" s="674"/>
      <c r="G60" s="675"/>
      <c r="H60" s="676"/>
      <c r="I60" s="674"/>
      <c r="J60" s="675"/>
      <c r="K60" s="677"/>
      <c r="L60" s="674"/>
      <c r="M60" s="678"/>
      <c r="N60" s="679"/>
      <c r="O60" s="674"/>
      <c r="P60" s="678"/>
      <c r="Q60" s="677"/>
      <c r="R60" s="674"/>
      <c r="S60" s="696"/>
      <c r="T60" s="697"/>
      <c r="U60" s="674"/>
      <c r="V60" s="696"/>
      <c r="W60" s="697"/>
      <c r="X60" s="674"/>
      <c r="Y60" s="696"/>
      <c r="Z60" s="697"/>
      <c r="AA60" s="674"/>
      <c r="AB60" s="696"/>
      <c r="AC60" s="697"/>
      <c r="AD60" s="674"/>
      <c r="AE60" s="696"/>
      <c r="AF60" s="697"/>
      <c r="AG60" s="674"/>
      <c r="AH60" s="696"/>
      <c r="AI60" s="697"/>
      <c r="AJ60" s="674"/>
      <c r="AK60" s="696"/>
      <c r="AL60" s="697"/>
    </row>
    <row r="61" spans="1:38" x14ac:dyDescent="0.55000000000000004">
      <c r="A61" s="706">
        <v>43892</v>
      </c>
      <c r="B61" s="682">
        <v>63058</v>
      </c>
      <c r="C61" s="745"/>
      <c r="D61" s="685" t="s">
        <v>3506</v>
      </c>
      <c r="E61" s="695" t="s">
        <v>659</v>
      </c>
      <c r="F61" s="674">
        <v>1</v>
      </c>
      <c r="G61" s="675" t="s">
        <v>2540</v>
      </c>
      <c r="H61" s="676" t="s">
        <v>1579</v>
      </c>
      <c r="I61" s="674">
        <v>2</v>
      </c>
      <c r="J61" s="675" t="s">
        <v>3640</v>
      </c>
      <c r="K61" s="677" t="s">
        <v>1579</v>
      </c>
      <c r="L61" s="674"/>
      <c r="M61" s="680"/>
      <c r="N61" s="1181"/>
      <c r="O61" s="674"/>
      <c r="P61" s="680"/>
      <c r="Q61" s="681"/>
      <c r="R61" s="674"/>
      <c r="S61" s="680"/>
      <c r="T61" s="681"/>
      <c r="U61" s="674"/>
      <c r="V61" s="680"/>
      <c r="W61" s="681"/>
      <c r="X61" s="674"/>
      <c r="Y61" s="680"/>
      <c r="Z61" s="681"/>
      <c r="AA61" s="674"/>
      <c r="AB61" s="680"/>
      <c r="AC61" s="681"/>
      <c r="AD61" s="674"/>
      <c r="AE61" s="680"/>
      <c r="AF61" s="681"/>
      <c r="AG61" s="674"/>
      <c r="AH61" s="680"/>
      <c r="AI61" s="681"/>
      <c r="AJ61" s="674"/>
      <c r="AK61" s="680"/>
      <c r="AL61" s="681"/>
    </row>
    <row r="62" spans="1:38" x14ac:dyDescent="0.55000000000000004">
      <c r="A62" s="706">
        <v>43892</v>
      </c>
      <c r="B62" s="682">
        <v>63059</v>
      </c>
      <c r="C62" s="684">
        <v>20026506</v>
      </c>
      <c r="D62" s="685" t="s">
        <v>1350</v>
      </c>
      <c r="E62" s="695"/>
      <c r="F62" s="674">
        <v>1</v>
      </c>
      <c r="G62" s="675" t="s">
        <v>3578</v>
      </c>
      <c r="H62" s="676" t="s">
        <v>1571</v>
      </c>
      <c r="I62" s="674">
        <v>2</v>
      </c>
      <c r="J62" s="675" t="s">
        <v>1634</v>
      </c>
      <c r="K62" s="677" t="s">
        <v>1586</v>
      </c>
      <c r="L62" s="674">
        <v>3</v>
      </c>
      <c r="M62" s="678" t="s">
        <v>1507</v>
      </c>
      <c r="N62" s="679" t="s">
        <v>1575</v>
      </c>
      <c r="O62" s="674">
        <v>4</v>
      </c>
      <c r="P62" s="678" t="s">
        <v>1498</v>
      </c>
      <c r="Q62" s="677" t="s">
        <v>3639</v>
      </c>
      <c r="R62" s="674"/>
      <c r="S62" s="680"/>
      <c r="T62" s="681"/>
      <c r="U62" s="674"/>
      <c r="V62" s="680"/>
      <c r="W62" s="681"/>
      <c r="X62" s="674"/>
      <c r="Y62" s="680"/>
      <c r="Z62" s="681"/>
      <c r="AA62" s="674"/>
      <c r="AB62" s="680"/>
      <c r="AC62" s="681"/>
      <c r="AD62" s="674"/>
      <c r="AE62" s="680"/>
      <c r="AF62" s="681"/>
      <c r="AG62" s="674"/>
      <c r="AH62" s="680"/>
      <c r="AI62" s="681"/>
      <c r="AJ62" s="674"/>
      <c r="AK62" s="680"/>
      <c r="AL62" s="681"/>
    </row>
    <row r="63" spans="1:38" x14ac:dyDescent="0.55000000000000004">
      <c r="A63" s="706">
        <v>43892</v>
      </c>
      <c r="B63" s="682">
        <v>63060</v>
      </c>
      <c r="C63" s="745"/>
      <c r="D63" s="685" t="s">
        <v>2670</v>
      </c>
      <c r="E63" s="695" t="s">
        <v>3585</v>
      </c>
      <c r="F63" s="674">
        <v>1</v>
      </c>
      <c r="G63" s="675" t="s">
        <v>1506</v>
      </c>
      <c r="H63" s="676" t="s">
        <v>1586</v>
      </c>
      <c r="I63" s="674"/>
      <c r="J63" s="690"/>
      <c r="K63" s="681"/>
      <c r="L63" s="674"/>
      <c r="M63" s="680"/>
      <c r="N63" s="1181"/>
      <c r="O63" s="674"/>
      <c r="P63" s="680"/>
      <c r="Q63" s="681"/>
      <c r="R63" s="674"/>
      <c r="S63" s="680"/>
      <c r="T63" s="681"/>
      <c r="U63" s="674"/>
      <c r="V63" s="680"/>
      <c r="W63" s="681"/>
      <c r="X63" s="674"/>
      <c r="Y63" s="680"/>
      <c r="Z63" s="681"/>
      <c r="AA63" s="674"/>
      <c r="AB63" s="680"/>
      <c r="AC63" s="681"/>
      <c r="AD63" s="674"/>
      <c r="AE63" s="680"/>
      <c r="AF63" s="681"/>
      <c r="AG63" s="674"/>
      <c r="AH63" s="680"/>
      <c r="AI63" s="681"/>
      <c r="AJ63" s="674"/>
      <c r="AK63" s="680"/>
      <c r="AL63" s="681"/>
    </row>
    <row r="64" spans="1:38" x14ac:dyDescent="0.55000000000000004">
      <c r="A64" s="706">
        <v>43893</v>
      </c>
      <c r="B64" s="682">
        <v>63061</v>
      </c>
      <c r="C64" s="684">
        <v>20026500</v>
      </c>
      <c r="D64" s="685" t="s">
        <v>1926</v>
      </c>
      <c r="E64" s="695"/>
      <c r="F64" s="674">
        <v>1</v>
      </c>
      <c r="G64" s="675" t="s">
        <v>2011</v>
      </c>
      <c r="H64" s="676" t="s">
        <v>1571</v>
      </c>
      <c r="I64" s="674">
        <v>2</v>
      </c>
      <c r="J64" s="675" t="s">
        <v>1511</v>
      </c>
      <c r="K64" s="677" t="s">
        <v>1575</v>
      </c>
      <c r="L64" s="674">
        <v>3</v>
      </c>
      <c r="M64" s="678" t="s">
        <v>1503</v>
      </c>
      <c r="N64" s="679" t="s">
        <v>1584</v>
      </c>
      <c r="O64" s="674"/>
      <c r="P64" s="680"/>
      <c r="Q64" s="681"/>
      <c r="R64" s="674"/>
      <c r="S64" s="680"/>
      <c r="T64" s="681"/>
      <c r="U64" s="674"/>
      <c r="V64" s="680"/>
      <c r="W64" s="681"/>
      <c r="X64" s="674"/>
      <c r="Y64" s="680"/>
      <c r="Z64" s="681"/>
      <c r="AA64" s="674"/>
      <c r="AB64" s="680"/>
      <c r="AC64" s="681"/>
      <c r="AD64" s="674"/>
      <c r="AE64" s="680"/>
      <c r="AF64" s="681"/>
      <c r="AG64" s="674"/>
      <c r="AH64" s="680"/>
      <c r="AI64" s="681"/>
      <c r="AJ64" s="674"/>
      <c r="AK64" s="680"/>
      <c r="AL64" s="681"/>
    </row>
    <row r="65" spans="1:38" x14ac:dyDescent="0.55000000000000004">
      <c r="A65" s="706">
        <v>43896</v>
      </c>
      <c r="B65" s="682">
        <v>63062</v>
      </c>
      <c r="C65" s="684">
        <v>19056231</v>
      </c>
      <c r="D65" s="685" t="s">
        <v>3376</v>
      </c>
      <c r="E65" s="695"/>
      <c r="F65" s="674">
        <v>1</v>
      </c>
      <c r="G65" s="675" t="s">
        <v>1250</v>
      </c>
      <c r="H65" s="676" t="s">
        <v>1572</v>
      </c>
      <c r="I65" s="674">
        <v>2</v>
      </c>
      <c r="J65" s="675" t="s">
        <v>1929</v>
      </c>
      <c r="K65" s="677" t="s">
        <v>1931</v>
      </c>
      <c r="L65" s="674">
        <v>3</v>
      </c>
      <c r="M65" s="678" t="s">
        <v>1502</v>
      </c>
      <c r="N65" s="679" t="s">
        <v>1931</v>
      </c>
      <c r="O65" s="674">
        <v>4</v>
      </c>
      <c r="P65" s="678" t="s">
        <v>1498</v>
      </c>
      <c r="Q65" s="677" t="s">
        <v>3391</v>
      </c>
      <c r="R65" s="674"/>
      <c r="S65" s="680"/>
      <c r="T65" s="681"/>
      <c r="U65" s="674"/>
      <c r="V65" s="680"/>
      <c r="W65" s="681"/>
      <c r="X65" s="674"/>
      <c r="Y65" s="680"/>
      <c r="Z65" s="681"/>
      <c r="AA65" s="674"/>
      <c r="AB65" s="680"/>
      <c r="AC65" s="681"/>
      <c r="AD65" s="674"/>
      <c r="AE65" s="680"/>
      <c r="AF65" s="681"/>
      <c r="AG65" s="674"/>
      <c r="AH65" s="680"/>
      <c r="AI65" s="681"/>
      <c r="AJ65" s="674"/>
      <c r="AK65" s="680"/>
      <c r="AL65" s="681"/>
    </row>
    <row r="66" spans="1:38" x14ac:dyDescent="0.55000000000000004">
      <c r="A66" s="706">
        <v>43896</v>
      </c>
      <c r="B66" s="682">
        <v>63063</v>
      </c>
      <c r="C66" s="745"/>
      <c r="D66" s="685" t="s">
        <v>3443</v>
      </c>
      <c r="E66" s="695" t="s">
        <v>659</v>
      </c>
      <c r="F66" s="674">
        <v>1</v>
      </c>
      <c r="G66" s="675" t="s">
        <v>3638</v>
      </c>
      <c r="H66" s="676" t="s">
        <v>1787</v>
      </c>
      <c r="I66" s="674"/>
      <c r="J66" s="690"/>
      <c r="K66" s="681"/>
      <c r="L66" s="674"/>
      <c r="M66" s="680"/>
      <c r="N66" s="1181"/>
      <c r="O66" s="674"/>
      <c r="P66" s="680"/>
      <c r="Q66" s="681"/>
      <c r="R66" s="674"/>
      <c r="S66" s="680"/>
      <c r="T66" s="681"/>
      <c r="U66" s="674"/>
      <c r="V66" s="680"/>
      <c r="W66" s="681"/>
      <c r="X66" s="674"/>
      <c r="Y66" s="680"/>
      <c r="Z66" s="681"/>
      <c r="AA66" s="674"/>
      <c r="AB66" s="680"/>
      <c r="AC66" s="681"/>
      <c r="AD66" s="674"/>
      <c r="AE66" s="680"/>
      <c r="AF66" s="681"/>
      <c r="AG66" s="674"/>
      <c r="AH66" s="680"/>
      <c r="AI66" s="681"/>
      <c r="AJ66" s="674"/>
      <c r="AK66" s="680"/>
      <c r="AL66" s="681"/>
    </row>
    <row r="67" spans="1:38" x14ac:dyDescent="0.55000000000000004">
      <c r="A67" s="706">
        <v>43900</v>
      </c>
      <c r="B67" s="682">
        <v>63064</v>
      </c>
      <c r="C67" s="684">
        <v>20026499</v>
      </c>
      <c r="D67" s="685" t="s">
        <v>3586</v>
      </c>
      <c r="E67" s="695"/>
      <c r="F67" s="674">
        <v>1</v>
      </c>
      <c r="G67" s="675" t="s">
        <v>624</v>
      </c>
      <c r="H67" s="676" t="s">
        <v>1571</v>
      </c>
      <c r="I67" s="674">
        <v>2</v>
      </c>
      <c r="J67" s="675" t="s">
        <v>2888</v>
      </c>
      <c r="K67" s="677" t="s">
        <v>1571</v>
      </c>
      <c r="L67" s="674">
        <v>3</v>
      </c>
      <c r="M67" s="678" t="s">
        <v>1634</v>
      </c>
      <c r="N67" s="679" t="s">
        <v>1578</v>
      </c>
      <c r="O67" s="674">
        <v>4</v>
      </c>
      <c r="P67" s="678" t="s">
        <v>1502</v>
      </c>
      <c r="Q67" s="677" t="s">
        <v>1575</v>
      </c>
      <c r="R67" s="674">
        <v>5</v>
      </c>
      <c r="S67" s="696" t="s">
        <v>1507</v>
      </c>
      <c r="T67" s="697" t="s">
        <v>1575</v>
      </c>
      <c r="U67" s="674">
        <v>6</v>
      </c>
      <c r="V67" s="696" t="s">
        <v>1498</v>
      </c>
      <c r="W67" s="697" t="s">
        <v>2944</v>
      </c>
      <c r="X67" s="674">
        <v>7</v>
      </c>
      <c r="Y67" s="696" t="s">
        <v>1636</v>
      </c>
      <c r="Z67" s="697" t="s">
        <v>1586</v>
      </c>
      <c r="AA67" s="674"/>
      <c r="AB67" s="680"/>
      <c r="AC67" s="681"/>
      <c r="AD67" s="674"/>
      <c r="AE67" s="680"/>
      <c r="AF67" s="681"/>
      <c r="AG67" s="674"/>
      <c r="AH67" s="680"/>
      <c r="AI67" s="681"/>
      <c r="AJ67" s="674"/>
      <c r="AK67" s="680"/>
      <c r="AL67" s="681"/>
    </row>
    <row r="68" spans="1:38" x14ac:dyDescent="0.55000000000000004">
      <c r="A68" s="706">
        <v>43902</v>
      </c>
      <c r="B68" s="682">
        <v>63065</v>
      </c>
      <c r="C68" s="684">
        <v>20026507</v>
      </c>
      <c r="D68" s="685" t="s">
        <v>1331</v>
      </c>
      <c r="E68" s="695"/>
      <c r="F68" s="674">
        <v>1</v>
      </c>
      <c r="G68" s="675" t="s">
        <v>3573</v>
      </c>
      <c r="H68" s="676" t="s">
        <v>1571</v>
      </c>
      <c r="I68" s="674">
        <v>2</v>
      </c>
      <c r="J68" s="675" t="s">
        <v>3574</v>
      </c>
      <c r="K68" s="677" t="s">
        <v>1571</v>
      </c>
      <c r="L68" s="674">
        <v>3</v>
      </c>
      <c r="M68" s="678" t="s">
        <v>3575</v>
      </c>
      <c r="N68" s="679" t="s">
        <v>1579</v>
      </c>
      <c r="O68" s="674">
        <v>4</v>
      </c>
      <c r="P68" s="678" t="s">
        <v>3576</v>
      </c>
      <c r="Q68" s="677" t="s">
        <v>1571</v>
      </c>
      <c r="R68" s="674">
        <v>5</v>
      </c>
      <c r="S68" s="696" t="s">
        <v>1511</v>
      </c>
      <c r="T68" s="697" t="s">
        <v>3635</v>
      </c>
      <c r="U68" s="674">
        <v>6</v>
      </c>
      <c r="V68" s="696" t="s">
        <v>1502</v>
      </c>
      <c r="W68" s="697" t="s">
        <v>3636</v>
      </c>
      <c r="X68" s="674">
        <v>7</v>
      </c>
      <c r="Y68" s="696" t="s">
        <v>1498</v>
      </c>
      <c r="Z68" s="697" t="s">
        <v>3113</v>
      </c>
      <c r="AA68" s="674">
        <v>8</v>
      </c>
      <c r="AB68" s="696" t="s">
        <v>1503</v>
      </c>
      <c r="AC68" s="697" t="s">
        <v>3637</v>
      </c>
      <c r="AD68" s="674"/>
      <c r="AE68" s="680"/>
      <c r="AF68" s="681"/>
      <c r="AG68" s="674"/>
      <c r="AH68" s="680"/>
      <c r="AI68" s="681"/>
      <c r="AJ68" s="674"/>
      <c r="AK68" s="680"/>
      <c r="AL68" s="681"/>
    </row>
    <row r="69" spans="1:38" x14ac:dyDescent="0.55000000000000004">
      <c r="A69" s="707">
        <v>43903</v>
      </c>
      <c r="B69" s="692">
        <v>63066</v>
      </c>
      <c r="C69" s="672">
        <v>20026501</v>
      </c>
      <c r="D69" s="673" t="s">
        <v>3386</v>
      </c>
      <c r="E69" s="725"/>
      <c r="F69" s="674">
        <v>1</v>
      </c>
      <c r="G69" s="675" t="s">
        <v>810</v>
      </c>
      <c r="H69" s="676" t="s">
        <v>1571</v>
      </c>
      <c r="I69" s="674">
        <v>2</v>
      </c>
      <c r="J69" s="675" t="s">
        <v>1503</v>
      </c>
      <c r="K69" s="677" t="s">
        <v>1632</v>
      </c>
      <c r="L69" s="674"/>
      <c r="M69" s="680"/>
      <c r="N69" s="1181"/>
      <c r="O69" s="674"/>
      <c r="P69" s="680"/>
      <c r="Q69" s="681"/>
      <c r="R69" s="674"/>
      <c r="S69" s="680"/>
      <c r="T69" s="681"/>
      <c r="U69" s="674"/>
      <c r="V69" s="680"/>
      <c r="W69" s="681"/>
      <c r="X69" s="674"/>
      <c r="Y69" s="680"/>
      <c r="Z69" s="681"/>
      <c r="AA69" s="674"/>
      <c r="AB69" s="680"/>
      <c r="AC69" s="681"/>
      <c r="AD69" s="674"/>
      <c r="AE69" s="680"/>
      <c r="AF69" s="681"/>
      <c r="AG69" s="674"/>
      <c r="AH69" s="680"/>
      <c r="AI69" s="681"/>
      <c r="AJ69" s="674"/>
      <c r="AK69" s="680"/>
      <c r="AL69" s="681"/>
    </row>
    <row r="70" spans="1:38" x14ac:dyDescent="0.55000000000000004">
      <c r="A70" s="706"/>
      <c r="B70" s="682">
        <v>63067</v>
      </c>
      <c r="C70" s="684"/>
      <c r="D70" s="685"/>
      <c r="E70" s="695"/>
      <c r="F70" s="674"/>
      <c r="G70" s="675"/>
      <c r="H70" s="676"/>
      <c r="I70" s="674"/>
      <c r="J70" s="675"/>
      <c r="K70" s="677"/>
      <c r="L70" s="674"/>
      <c r="M70" s="678"/>
      <c r="N70" s="679"/>
      <c r="O70" s="674"/>
      <c r="P70" s="678"/>
      <c r="Q70" s="677"/>
      <c r="R70" s="674"/>
      <c r="S70" s="696"/>
      <c r="T70" s="697"/>
      <c r="U70" s="674"/>
      <c r="V70" s="696"/>
      <c r="W70" s="697"/>
      <c r="X70" s="674"/>
      <c r="Y70" s="696"/>
      <c r="Z70" s="697"/>
      <c r="AA70" s="674"/>
      <c r="AB70" s="696"/>
      <c r="AC70" s="697"/>
      <c r="AD70" s="674"/>
      <c r="AE70" s="696"/>
      <c r="AF70" s="697"/>
      <c r="AG70" s="674"/>
      <c r="AH70" s="696"/>
      <c r="AI70" s="697"/>
      <c r="AJ70" s="674"/>
      <c r="AK70" s="696"/>
      <c r="AL70" s="697"/>
    </row>
    <row r="71" spans="1:38" x14ac:dyDescent="0.55000000000000004">
      <c r="A71" s="706">
        <v>43903</v>
      </c>
      <c r="B71" s="682">
        <v>63068</v>
      </c>
      <c r="C71" s="684">
        <v>20016481</v>
      </c>
      <c r="D71" s="685" t="s">
        <v>3527</v>
      </c>
      <c r="E71" s="695" t="s">
        <v>3737</v>
      </c>
      <c r="F71" s="674">
        <v>1</v>
      </c>
      <c r="G71" s="675" t="s">
        <v>3433</v>
      </c>
      <c r="H71" s="676" t="s">
        <v>1571</v>
      </c>
      <c r="I71" s="674"/>
      <c r="J71" s="690"/>
      <c r="K71" s="681"/>
      <c r="L71" s="674"/>
      <c r="M71" s="680"/>
      <c r="N71" s="1181"/>
      <c r="O71" s="674"/>
      <c r="P71" s="680"/>
      <c r="Q71" s="681"/>
      <c r="R71" s="674"/>
      <c r="S71" s="680"/>
      <c r="T71" s="681"/>
      <c r="U71" s="674"/>
      <c r="V71" s="680"/>
      <c r="W71" s="681"/>
      <c r="X71" s="674"/>
      <c r="Y71" s="680"/>
      <c r="Z71" s="681"/>
      <c r="AA71" s="674"/>
      <c r="AB71" s="680"/>
      <c r="AC71" s="681"/>
      <c r="AD71" s="674"/>
      <c r="AE71" s="680"/>
      <c r="AF71" s="681"/>
      <c r="AG71" s="674"/>
      <c r="AH71" s="680"/>
      <c r="AI71" s="681"/>
      <c r="AJ71" s="674"/>
      <c r="AK71" s="680"/>
      <c r="AL71" s="681"/>
    </row>
    <row r="72" spans="1:38" x14ac:dyDescent="0.55000000000000004">
      <c r="A72" s="706">
        <v>43906</v>
      </c>
      <c r="B72" s="682">
        <v>63069</v>
      </c>
      <c r="C72" s="684">
        <v>20036515</v>
      </c>
      <c r="D72" s="685" t="s">
        <v>3738</v>
      </c>
      <c r="E72" s="695"/>
      <c r="F72" s="674"/>
      <c r="G72" s="675"/>
      <c r="H72" s="676"/>
      <c r="I72" s="674"/>
      <c r="J72" s="675"/>
      <c r="K72" s="677"/>
      <c r="L72" s="674"/>
      <c r="M72" s="678"/>
      <c r="N72" s="679"/>
      <c r="O72" s="674"/>
      <c r="P72" s="678"/>
      <c r="Q72" s="677"/>
      <c r="R72" s="674"/>
      <c r="S72" s="696"/>
      <c r="T72" s="697"/>
      <c r="U72" s="674"/>
      <c r="V72" s="696"/>
      <c r="W72" s="697"/>
      <c r="X72" s="674"/>
      <c r="Y72" s="696"/>
      <c r="Z72" s="697"/>
      <c r="AA72" s="674"/>
      <c r="AB72" s="696"/>
      <c r="AC72" s="697"/>
      <c r="AD72" s="674"/>
      <c r="AE72" s="696"/>
      <c r="AF72" s="697"/>
      <c r="AG72" s="674"/>
      <c r="AH72" s="696"/>
      <c r="AI72" s="697"/>
      <c r="AJ72" s="674"/>
      <c r="AK72" s="696"/>
      <c r="AL72" s="697"/>
    </row>
    <row r="73" spans="1:38" x14ac:dyDescent="0.55000000000000004">
      <c r="A73" s="670">
        <v>43908</v>
      </c>
      <c r="B73" s="692">
        <v>63070</v>
      </c>
      <c r="C73" s="700">
        <v>19106404</v>
      </c>
      <c r="D73" s="701" t="s">
        <v>3739</v>
      </c>
      <c r="E73" s="702"/>
      <c r="F73" s="674"/>
      <c r="G73" s="675"/>
      <c r="H73" s="676"/>
      <c r="I73" s="674"/>
      <c r="J73" s="675"/>
      <c r="K73" s="677"/>
      <c r="L73" s="674"/>
      <c r="M73" s="678"/>
      <c r="N73" s="679"/>
      <c r="O73" s="674"/>
      <c r="P73" s="678"/>
      <c r="Q73" s="677"/>
      <c r="R73" s="674"/>
      <c r="S73" s="696"/>
      <c r="T73" s="697"/>
      <c r="U73" s="674"/>
      <c r="V73" s="696"/>
      <c r="W73" s="697"/>
      <c r="X73" s="674"/>
      <c r="Y73" s="696"/>
      <c r="Z73" s="697"/>
      <c r="AA73" s="674"/>
      <c r="AB73" s="696"/>
      <c r="AC73" s="697"/>
      <c r="AD73" s="674"/>
      <c r="AE73" s="696"/>
      <c r="AF73" s="697"/>
      <c r="AG73" s="674"/>
      <c r="AH73" s="696"/>
      <c r="AI73" s="697"/>
      <c r="AJ73" s="674"/>
      <c r="AK73" s="696"/>
      <c r="AL73" s="697"/>
    </row>
    <row r="74" spans="1:38" x14ac:dyDescent="0.55000000000000004">
      <c r="A74" s="706"/>
      <c r="B74" s="682">
        <v>63071</v>
      </c>
      <c r="C74" s="684"/>
      <c r="D74" s="705"/>
      <c r="E74" s="708"/>
      <c r="F74" s="674"/>
      <c r="G74" s="675"/>
      <c r="H74" s="676"/>
      <c r="I74" s="674"/>
      <c r="J74" s="675"/>
      <c r="K74" s="677"/>
      <c r="L74" s="674"/>
      <c r="M74" s="678"/>
      <c r="N74" s="679"/>
      <c r="O74" s="674"/>
      <c r="P74" s="678"/>
      <c r="Q74" s="677"/>
      <c r="R74" s="674"/>
      <c r="S74" s="696"/>
      <c r="T74" s="697"/>
      <c r="U74" s="674"/>
      <c r="V74" s="696"/>
      <c r="W74" s="697"/>
      <c r="X74" s="674"/>
      <c r="Y74" s="696"/>
      <c r="Z74" s="697"/>
      <c r="AA74" s="674"/>
      <c r="AB74" s="696"/>
      <c r="AC74" s="697"/>
      <c r="AD74" s="674"/>
      <c r="AE74" s="696"/>
      <c r="AF74" s="697"/>
      <c r="AG74" s="674"/>
      <c r="AH74" s="696"/>
      <c r="AI74" s="697"/>
      <c r="AJ74" s="674"/>
      <c r="AK74" s="696"/>
      <c r="AL74" s="697"/>
    </row>
    <row r="75" spans="1:38" x14ac:dyDescent="0.55000000000000004">
      <c r="A75" s="706">
        <v>43909</v>
      </c>
      <c r="B75" s="682">
        <v>63072</v>
      </c>
      <c r="C75" s="684">
        <v>20026510</v>
      </c>
      <c r="D75" s="685" t="s">
        <v>3740</v>
      </c>
      <c r="E75" s="695"/>
      <c r="F75" s="674"/>
      <c r="G75" s="675"/>
      <c r="H75" s="676"/>
      <c r="I75" s="674"/>
      <c r="J75" s="675"/>
      <c r="K75" s="677"/>
      <c r="L75" s="674"/>
      <c r="M75" s="678"/>
      <c r="N75" s="679"/>
      <c r="O75" s="674"/>
      <c r="P75" s="678"/>
      <c r="Q75" s="677"/>
      <c r="R75" s="674"/>
      <c r="S75" s="696"/>
      <c r="T75" s="697"/>
      <c r="U75" s="674"/>
      <c r="V75" s="696"/>
      <c r="W75" s="697"/>
      <c r="X75" s="674"/>
      <c r="Y75" s="696"/>
      <c r="Z75" s="697"/>
      <c r="AA75" s="674"/>
      <c r="AB75" s="696"/>
      <c r="AC75" s="697"/>
      <c r="AD75" s="674"/>
      <c r="AE75" s="696"/>
      <c r="AF75" s="697"/>
      <c r="AG75" s="674"/>
      <c r="AH75" s="696"/>
      <c r="AI75" s="697"/>
      <c r="AJ75" s="674"/>
      <c r="AK75" s="696"/>
      <c r="AL75" s="697"/>
    </row>
    <row r="76" spans="1:38" x14ac:dyDescent="0.55000000000000004">
      <c r="A76" s="706">
        <v>43909</v>
      </c>
      <c r="B76" s="682">
        <v>63073</v>
      </c>
      <c r="C76" s="684">
        <v>20026511</v>
      </c>
      <c r="D76" s="685" t="s">
        <v>3740</v>
      </c>
      <c r="E76" s="695"/>
      <c r="F76" s="674"/>
      <c r="G76" s="675"/>
      <c r="H76" s="676"/>
      <c r="I76" s="674"/>
      <c r="J76" s="675"/>
      <c r="K76" s="677"/>
      <c r="L76" s="674"/>
      <c r="M76" s="678"/>
      <c r="N76" s="679"/>
      <c r="O76" s="674"/>
      <c r="P76" s="678"/>
      <c r="Q76" s="677"/>
      <c r="R76" s="674"/>
      <c r="S76" s="696"/>
      <c r="T76" s="697"/>
      <c r="U76" s="674"/>
      <c r="V76" s="696"/>
      <c r="W76" s="697"/>
      <c r="X76" s="674"/>
      <c r="Y76" s="696"/>
      <c r="Z76" s="697"/>
      <c r="AA76" s="674"/>
      <c r="AB76" s="696"/>
      <c r="AC76" s="697"/>
      <c r="AD76" s="674"/>
      <c r="AE76" s="696"/>
      <c r="AF76" s="697"/>
      <c r="AG76" s="674"/>
      <c r="AH76" s="696"/>
      <c r="AI76" s="697"/>
      <c r="AJ76" s="674"/>
      <c r="AK76" s="696"/>
      <c r="AL76" s="697"/>
    </row>
    <row r="77" spans="1:38" x14ac:dyDescent="0.55000000000000004">
      <c r="A77" s="706">
        <v>43909</v>
      </c>
      <c r="B77" s="682">
        <v>63074</v>
      </c>
      <c r="C77" s="684">
        <v>20026512</v>
      </c>
      <c r="D77" s="685" t="s">
        <v>3740</v>
      </c>
      <c r="E77" s="695"/>
      <c r="F77" s="674"/>
      <c r="G77" s="675"/>
      <c r="H77" s="676"/>
      <c r="I77" s="674"/>
      <c r="J77" s="675"/>
      <c r="K77" s="677"/>
      <c r="L77" s="674"/>
      <c r="M77" s="678"/>
      <c r="N77" s="679"/>
      <c r="O77" s="674"/>
      <c r="P77" s="678"/>
      <c r="Q77" s="677"/>
      <c r="R77" s="674"/>
      <c r="S77" s="696"/>
      <c r="T77" s="697"/>
      <c r="U77" s="674"/>
      <c r="V77" s="696"/>
      <c r="W77" s="697"/>
      <c r="X77" s="674"/>
      <c r="Y77" s="696"/>
      <c r="Z77" s="697"/>
      <c r="AA77" s="674"/>
      <c r="AB77" s="696"/>
      <c r="AC77" s="697"/>
      <c r="AD77" s="674"/>
      <c r="AE77" s="696"/>
      <c r="AF77" s="697"/>
      <c r="AG77" s="674"/>
      <c r="AH77" s="696"/>
      <c r="AI77" s="697"/>
      <c r="AJ77" s="674"/>
      <c r="AK77" s="696"/>
      <c r="AL77" s="697"/>
    </row>
    <row r="78" spans="1:38" x14ac:dyDescent="0.55000000000000004">
      <c r="A78" s="706">
        <v>43909</v>
      </c>
      <c r="B78" s="682">
        <v>63075</v>
      </c>
      <c r="C78" s="684">
        <v>20036514</v>
      </c>
      <c r="D78" s="685" t="s">
        <v>3740</v>
      </c>
      <c r="E78" s="695"/>
      <c r="F78" s="674"/>
      <c r="G78" s="675"/>
      <c r="H78" s="676"/>
      <c r="I78" s="674"/>
      <c r="J78" s="675"/>
      <c r="K78" s="677"/>
      <c r="L78" s="674"/>
      <c r="M78" s="678"/>
      <c r="N78" s="679"/>
      <c r="O78" s="674"/>
      <c r="P78" s="678"/>
      <c r="Q78" s="677"/>
      <c r="R78" s="674"/>
      <c r="S78" s="696"/>
      <c r="T78" s="697"/>
      <c r="U78" s="674"/>
      <c r="V78" s="696"/>
      <c r="W78" s="697"/>
      <c r="X78" s="674"/>
      <c r="Y78" s="696"/>
      <c r="Z78" s="697"/>
      <c r="AA78" s="674"/>
      <c r="AB78" s="696"/>
      <c r="AC78" s="697"/>
      <c r="AD78" s="674"/>
      <c r="AE78" s="696"/>
      <c r="AF78" s="697"/>
      <c r="AG78" s="674"/>
      <c r="AH78" s="696"/>
      <c r="AI78" s="697"/>
      <c r="AJ78" s="674"/>
      <c r="AK78" s="696"/>
      <c r="AL78" s="697"/>
    </row>
    <row r="79" spans="1:38" x14ac:dyDescent="0.55000000000000004">
      <c r="A79" s="706">
        <v>43909</v>
      </c>
      <c r="B79" s="682">
        <v>63076</v>
      </c>
      <c r="C79" s="684">
        <v>20036517</v>
      </c>
      <c r="D79" s="685" t="s">
        <v>3443</v>
      </c>
      <c r="E79" s="695"/>
      <c r="F79" s="674"/>
      <c r="G79" s="675"/>
      <c r="H79" s="676"/>
      <c r="I79" s="674"/>
      <c r="J79" s="675"/>
      <c r="K79" s="677"/>
      <c r="L79" s="674"/>
      <c r="M79" s="678"/>
      <c r="N79" s="679"/>
      <c r="O79" s="674"/>
      <c r="P79" s="678"/>
      <c r="Q79" s="677"/>
      <c r="R79" s="674"/>
      <c r="S79" s="696"/>
      <c r="T79" s="697"/>
      <c r="U79" s="674"/>
      <c r="V79" s="696"/>
      <c r="W79" s="697"/>
      <c r="X79" s="674"/>
      <c r="Y79" s="696"/>
      <c r="Z79" s="697"/>
      <c r="AA79" s="674"/>
      <c r="AB79" s="696"/>
      <c r="AC79" s="697"/>
      <c r="AD79" s="674"/>
      <c r="AE79" s="696"/>
      <c r="AF79" s="697"/>
      <c r="AG79" s="674"/>
      <c r="AH79" s="696"/>
      <c r="AI79" s="697"/>
      <c r="AJ79" s="674"/>
      <c r="AK79" s="696"/>
      <c r="AL79" s="697"/>
    </row>
    <row r="80" spans="1:38" x14ac:dyDescent="0.55000000000000004">
      <c r="A80" s="706">
        <v>43911</v>
      </c>
      <c r="B80" s="682">
        <v>63077</v>
      </c>
      <c r="C80" s="684">
        <v>20036513</v>
      </c>
      <c r="D80" s="685" t="s">
        <v>1490</v>
      </c>
      <c r="E80" s="695"/>
      <c r="F80" s="674"/>
      <c r="G80" s="675"/>
      <c r="H80" s="676"/>
      <c r="I80" s="674"/>
      <c r="J80" s="675"/>
      <c r="K80" s="677"/>
      <c r="L80" s="674"/>
      <c r="M80" s="678"/>
      <c r="N80" s="679"/>
      <c r="O80" s="674"/>
      <c r="P80" s="678"/>
      <c r="Q80" s="677"/>
      <c r="R80" s="674"/>
      <c r="S80" s="696"/>
      <c r="T80" s="697"/>
      <c r="U80" s="674"/>
      <c r="V80" s="696"/>
      <c r="W80" s="697"/>
      <c r="X80" s="674"/>
      <c r="Y80" s="696"/>
      <c r="Z80" s="697"/>
      <c r="AA80" s="674"/>
      <c r="AB80" s="696"/>
      <c r="AC80" s="697"/>
      <c r="AD80" s="674"/>
      <c r="AE80" s="696"/>
      <c r="AF80" s="697"/>
      <c r="AG80" s="674"/>
      <c r="AH80" s="696"/>
      <c r="AI80" s="697"/>
      <c r="AJ80" s="674"/>
      <c r="AK80" s="696"/>
      <c r="AL80" s="697"/>
    </row>
    <row r="81" spans="1:38" x14ac:dyDescent="0.55000000000000004">
      <c r="A81" s="706">
        <v>43911</v>
      </c>
      <c r="B81" s="682">
        <v>63078</v>
      </c>
      <c r="C81" s="684">
        <v>20036516</v>
      </c>
      <c r="D81" s="685" t="s">
        <v>1677</v>
      </c>
      <c r="E81" s="695"/>
      <c r="F81" s="674"/>
      <c r="G81" s="675"/>
      <c r="H81" s="676"/>
      <c r="I81" s="674"/>
      <c r="J81" s="675"/>
      <c r="K81" s="677"/>
      <c r="L81" s="674"/>
      <c r="M81" s="678"/>
      <c r="N81" s="679"/>
      <c r="O81" s="674"/>
      <c r="P81" s="678"/>
      <c r="Q81" s="677"/>
      <c r="R81" s="674"/>
      <c r="S81" s="696"/>
      <c r="T81" s="697"/>
      <c r="U81" s="674"/>
      <c r="V81" s="696"/>
      <c r="W81" s="697"/>
      <c r="X81" s="674"/>
      <c r="Y81" s="696"/>
      <c r="Z81" s="697"/>
      <c r="AA81" s="674"/>
      <c r="AB81" s="696"/>
      <c r="AC81" s="697"/>
      <c r="AD81" s="674"/>
      <c r="AE81" s="696"/>
      <c r="AF81" s="697"/>
      <c r="AG81" s="674"/>
      <c r="AH81" s="696"/>
      <c r="AI81" s="697"/>
      <c r="AJ81" s="674"/>
      <c r="AK81" s="696"/>
      <c r="AL81" s="697"/>
    </row>
    <row r="82" spans="1:38" x14ac:dyDescent="0.55000000000000004">
      <c r="A82" s="706">
        <v>43914</v>
      </c>
      <c r="B82" s="682">
        <v>63079</v>
      </c>
      <c r="C82" s="684">
        <v>19106404</v>
      </c>
      <c r="D82" s="685" t="s">
        <v>3739</v>
      </c>
      <c r="E82" s="695"/>
      <c r="F82" s="674"/>
      <c r="G82" s="675"/>
      <c r="H82" s="676"/>
      <c r="I82" s="674"/>
      <c r="J82" s="675"/>
      <c r="K82" s="677"/>
      <c r="L82" s="674"/>
      <c r="M82" s="678"/>
      <c r="N82" s="679"/>
      <c r="O82" s="674"/>
      <c r="P82" s="678"/>
      <c r="Q82" s="677"/>
      <c r="R82" s="674"/>
      <c r="S82" s="696"/>
      <c r="T82" s="697"/>
      <c r="U82" s="674"/>
      <c r="V82" s="696"/>
      <c r="W82" s="697"/>
      <c r="X82" s="674"/>
      <c r="Y82" s="696"/>
      <c r="Z82" s="697"/>
      <c r="AA82" s="674"/>
      <c r="AB82" s="696"/>
      <c r="AC82" s="697"/>
      <c r="AD82" s="674"/>
      <c r="AE82" s="696"/>
      <c r="AF82" s="697"/>
      <c r="AG82" s="674"/>
      <c r="AH82" s="696"/>
      <c r="AI82" s="697"/>
      <c r="AJ82" s="674"/>
      <c r="AK82" s="696"/>
      <c r="AL82" s="697"/>
    </row>
    <row r="83" spans="1:38" x14ac:dyDescent="0.55000000000000004">
      <c r="A83" s="706">
        <v>43914</v>
      </c>
      <c r="B83" s="682">
        <v>63080</v>
      </c>
      <c r="C83" s="684">
        <v>20016479</v>
      </c>
      <c r="D83" s="685" t="s">
        <v>3386</v>
      </c>
      <c r="E83" s="695"/>
      <c r="F83" s="674"/>
      <c r="G83" s="675"/>
      <c r="H83" s="676"/>
      <c r="I83" s="674"/>
      <c r="J83" s="675"/>
      <c r="K83" s="677"/>
      <c r="L83" s="674"/>
      <c r="M83" s="678"/>
      <c r="N83" s="679"/>
      <c r="O83" s="674"/>
      <c r="P83" s="678"/>
      <c r="Q83" s="677"/>
      <c r="R83" s="674"/>
      <c r="S83" s="696"/>
      <c r="T83" s="697"/>
      <c r="U83" s="674"/>
      <c r="V83" s="696"/>
      <c r="W83" s="697"/>
      <c r="X83" s="674"/>
      <c r="Y83" s="696"/>
      <c r="Z83" s="697"/>
      <c r="AA83" s="674"/>
      <c r="AB83" s="696"/>
      <c r="AC83" s="697"/>
      <c r="AD83" s="674"/>
      <c r="AE83" s="696"/>
      <c r="AF83" s="697"/>
      <c r="AG83" s="674"/>
      <c r="AH83" s="696"/>
      <c r="AI83" s="697"/>
      <c r="AJ83" s="674"/>
      <c r="AK83" s="696"/>
      <c r="AL83" s="697"/>
    </row>
    <row r="84" spans="1:38" x14ac:dyDescent="0.55000000000000004">
      <c r="A84" s="706">
        <v>43916</v>
      </c>
      <c r="B84" s="682">
        <v>63081</v>
      </c>
      <c r="C84" s="684">
        <v>20026510</v>
      </c>
      <c r="D84" s="685" t="s">
        <v>3740</v>
      </c>
      <c r="E84" s="695"/>
      <c r="F84" s="674"/>
      <c r="G84" s="675"/>
      <c r="H84" s="676"/>
      <c r="I84" s="674"/>
      <c r="J84" s="675"/>
      <c r="K84" s="677"/>
      <c r="L84" s="674"/>
      <c r="M84" s="678"/>
      <c r="N84" s="679"/>
      <c r="O84" s="674"/>
      <c r="P84" s="678"/>
      <c r="Q84" s="677"/>
      <c r="R84" s="674"/>
      <c r="S84" s="696"/>
      <c r="T84" s="697"/>
      <c r="U84" s="674"/>
      <c r="V84" s="696"/>
      <c r="W84" s="697"/>
      <c r="X84" s="674"/>
      <c r="Y84" s="696"/>
      <c r="Z84" s="697"/>
      <c r="AA84" s="674"/>
      <c r="AB84" s="696"/>
      <c r="AC84" s="697"/>
      <c r="AD84" s="674"/>
      <c r="AE84" s="696"/>
      <c r="AF84" s="697"/>
      <c r="AG84" s="674"/>
      <c r="AH84" s="696"/>
      <c r="AI84" s="697"/>
      <c r="AJ84" s="674"/>
      <c r="AK84" s="696"/>
      <c r="AL84" s="697"/>
    </row>
    <row r="85" spans="1:38" x14ac:dyDescent="0.55000000000000004">
      <c r="A85" s="670">
        <v>43916</v>
      </c>
      <c r="B85" s="692">
        <v>63082</v>
      </c>
      <c r="C85" s="700">
        <v>20036514</v>
      </c>
      <c r="D85" s="673" t="s">
        <v>3740</v>
      </c>
      <c r="E85" s="725"/>
      <c r="F85" s="674"/>
      <c r="G85" s="675"/>
      <c r="H85" s="676"/>
      <c r="I85" s="674"/>
      <c r="J85" s="675"/>
      <c r="K85" s="677"/>
      <c r="L85" s="674"/>
      <c r="M85" s="678"/>
      <c r="N85" s="679"/>
      <c r="O85" s="674"/>
      <c r="P85" s="678"/>
      <c r="Q85" s="677"/>
      <c r="R85" s="674"/>
      <c r="S85" s="696"/>
      <c r="T85" s="697"/>
      <c r="U85" s="674"/>
      <c r="V85" s="696"/>
      <c r="W85" s="697"/>
      <c r="X85" s="674"/>
      <c r="Y85" s="696"/>
      <c r="Z85" s="697"/>
      <c r="AA85" s="674"/>
      <c r="AB85" s="696"/>
      <c r="AC85" s="697"/>
      <c r="AD85" s="674"/>
      <c r="AE85" s="696"/>
      <c r="AF85" s="697"/>
      <c r="AG85" s="674"/>
      <c r="AH85" s="696"/>
      <c r="AI85" s="697"/>
      <c r="AJ85" s="674"/>
      <c r="AK85" s="696"/>
      <c r="AL85" s="697"/>
    </row>
    <row r="86" spans="1:38" x14ac:dyDescent="0.55000000000000004">
      <c r="A86" s="707"/>
      <c r="B86" s="703">
        <v>63083</v>
      </c>
      <c r="C86" s="700"/>
      <c r="D86" s="701"/>
      <c r="E86" s="726"/>
      <c r="F86" s="674">
        <v>1</v>
      </c>
      <c r="G86" s="675" t="s">
        <v>3753</v>
      </c>
      <c r="H86" s="676" t="s">
        <v>1571</v>
      </c>
      <c r="I86" s="674">
        <v>2</v>
      </c>
      <c r="J86" s="675" t="s">
        <v>1506</v>
      </c>
      <c r="K86" s="677" t="s">
        <v>1583</v>
      </c>
      <c r="L86" s="674">
        <v>3</v>
      </c>
      <c r="M86" s="678" t="s">
        <v>1502</v>
      </c>
      <c r="N86" s="679" t="s">
        <v>1575</v>
      </c>
      <c r="O86" s="674">
        <v>4</v>
      </c>
      <c r="P86" s="678" t="s">
        <v>1498</v>
      </c>
      <c r="Q86" s="677" t="s">
        <v>3754</v>
      </c>
      <c r="R86" s="674">
        <v>5</v>
      </c>
      <c r="S86" s="696" t="s">
        <v>1636</v>
      </c>
      <c r="T86" s="697" t="s">
        <v>1574</v>
      </c>
      <c r="U86" s="674">
        <v>6</v>
      </c>
      <c r="V86" s="696" t="s">
        <v>1503</v>
      </c>
      <c r="W86" s="697" t="s">
        <v>1801</v>
      </c>
      <c r="X86" s="674"/>
      <c r="Y86" s="680"/>
      <c r="Z86" s="681"/>
      <c r="AA86" s="674"/>
      <c r="AB86" s="680"/>
      <c r="AC86" s="681"/>
      <c r="AD86" s="674"/>
      <c r="AE86" s="680"/>
      <c r="AF86" s="681"/>
      <c r="AG86" s="674"/>
      <c r="AH86" s="680"/>
      <c r="AI86" s="681"/>
      <c r="AJ86" s="674"/>
      <c r="AK86" s="680"/>
      <c r="AL86" s="681"/>
    </row>
    <row r="87" spans="1:38" x14ac:dyDescent="0.55000000000000004">
      <c r="A87" s="706"/>
      <c r="B87" s="682">
        <v>63084</v>
      </c>
      <c r="C87" s="684"/>
      <c r="D87" s="685"/>
      <c r="E87" s="695" t="s">
        <v>3752</v>
      </c>
      <c r="F87" s="674">
        <v>1</v>
      </c>
      <c r="G87" s="675" t="s">
        <v>1506</v>
      </c>
      <c r="H87" s="676" t="s">
        <v>3751</v>
      </c>
      <c r="I87" s="674"/>
      <c r="J87" s="690"/>
      <c r="K87" s="681"/>
      <c r="L87" s="674"/>
      <c r="M87" s="680"/>
      <c r="N87" s="1181"/>
      <c r="O87" s="674"/>
      <c r="P87" s="680"/>
      <c r="Q87" s="681"/>
      <c r="R87" s="674"/>
      <c r="S87" s="680"/>
      <c r="T87" s="681"/>
      <c r="U87" s="674"/>
      <c r="V87" s="680"/>
      <c r="W87" s="681"/>
      <c r="X87" s="674"/>
      <c r="Y87" s="680"/>
      <c r="Z87" s="681"/>
      <c r="AA87" s="674"/>
      <c r="AB87" s="680"/>
      <c r="AC87" s="681"/>
      <c r="AD87" s="674"/>
      <c r="AE87" s="680"/>
      <c r="AF87" s="681"/>
      <c r="AG87" s="674"/>
      <c r="AH87" s="680"/>
      <c r="AI87" s="681"/>
      <c r="AJ87" s="674"/>
      <c r="AK87" s="680"/>
      <c r="AL87" s="681"/>
    </row>
    <row r="88" spans="1:38" x14ac:dyDescent="0.55000000000000004">
      <c r="A88" s="706">
        <v>43916</v>
      </c>
      <c r="B88" s="682">
        <v>63085</v>
      </c>
      <c r="C88" s="684">
        <v>20036534</v>
      </c>
      <c r="D88" s="685" t="s">
        <v>3586</v>
      </c>
      <c r="E88" s="695"/>
      <c r="F88" s="674">
        <v>1</v>
      </c>
      <c r="G88" s="675" t="s">
        <v>3676</v>
      </c>
      <c r="H88" s="676" t="s">
        <v>1571</v>
      </c>
      <c r="I88" s="674">
        <v>2</v>
      </c>
      <c r="J88" s="675" t="s">
        <v>1634</v>
      </c>
      <c r="K88" s="677" t="s">
        <v>1586</v>
      </c>
      <c r="L88" s="674">
        <v>3</v>
      </c>
      <c r="M88" s="678" t="s">
        <v>1507</v>
      </c>
      <c r="N88" s="679" t="s">
        <v>1575</v>
      </c>
      <c r="O88" s="674">
        <v>4</v>
      </c>
      <c r="P88" s="678" t="s">
        <v>1498</v>
      </c>
      <c r="Q88" s="677" t="s">
        <v>3750</v>
      </c>
      <c r="R88" s="674"/>
      <c r="S88" s="680"/>
      <c r="T88" s="681"/>
      <c r="U88" s="674"/>
      <c r="V88" s="680"/>
      <c r="W88" s="681"/>
      <c r="X88" s="674"/>
      <c r="Y88" s="680"/>
      <c r="Z88" s="681"/>
      <c r="AA88" s="674"/>
      <c r="AB88" s="680"/>
      <c r="AC88" s="681"/>
      <c r="AD88" s="674"/>
      <c r="AE88" s="680"/>
      <c r="AF88" s="681"/>
      <c r="AG88" s="674"/>
      <c r="AH88" s="680"/>
      <c r="AI88" s="681"/>
      <c r="AJ88" s="674"/>
      <c r="AK88" s="680"/>
      <c r="AL88" s="681"/>
    </row>
    <row r="89" spans="1:38" x14ac:dyDescent="0.55000000000000004">
      <c r="A89" s="707">
        <v>43917</v>
      </c>
      <c r="B89" s="692">
        <v>63086</v>
      </c>
      <c r="C89" s="672">
        <v>19096358</v>
      </c>
      <c r="D89" s="673" t="s">
        <v>3741</v>
      </c>
      <c r="E89" s="725"/>
      <c r="F89" s="674">
        <v>1</v>
      </c>
      <c r="G89" s="675" t="s">
        <v>716</v>
      </c>
      <c r="H89" s="676" t="s">
        <v>1571</v>
      </c>
      <c r="I89" s="674">
        <v>2</v>
      </c>
      <c r="J89" s="675" t="s">
        <v>2646</v>
      </c>
      <c r="K89" s="677" t="s">
        <v>1571</v>
      </c>
      <c r="L89" s="674">
        <v>3</v>
      </c>
      <c r="M89" s="678" t="s">
        <v>1634</v>
      </c>
      <c r="N89" s="679" t="s">
        <v>1578</v>
      </c>
      <c r="O89" s="674">
        <v>4</v>
      </c>
      <c r="P89" s="678" t="s">
        <v>1507</v>
      </c>
      <c r="Q89" s="677" t="s">
        <v>1575</v>
      </c>
      <c r="R89" s="674">
        <v>5</v>
      </c>
      <c r="S89" s="696" t="s">
        <v>1502</v>
      </c>
      <c r="T89" s="697" t="s">
        <v>1575</v>
      </c>
      <c r="U89" s="674"/>
      <c r="V89" s="680"/>
      <c r="W89" s="681"/>
      <c r="X89" s="674"/>
      <c r="Y89" s="680"/>
      <c r="Z89" s="681"/>
      <c r="AA89" s="674"/>
      <c r="AB89" s="680"/>
      <c r="AC89" s="681"/>
      <c r="AD89" s="674"/>
      <c r="AE89" s="680"/>
      <c r="AF89" s="681"/>
      <c r="AG89" s="674"/>
      <c r="AH89" s="680"/>
      <c r="AI89" s="681"/>
      <c r="AJ89" s="674"/>
      <c r="AK89" s="680"/>
      <c r="AL89" s="681"/>
    </row>
    <row r="90" spans="1:38" x14ac:dyDescent="0.55000000000000004">
      <c r="A90" s="706"/>
      <c r="B90" s="682">
        <v>63087</v>
      </c>
      <c r="C90" s="684"/>
      <c r="D90" s="685"/>
      <c r="E90" s="695"/>
      <c r="F90" s="674">
        <v>1</v>
      </c>
      <c r="G90" s="675" t="s">
        <v>3749</v>
      </c>
      <c r="H90" s="676" t="s">
        <v>1571</v>
      </c>
      <c r="I90" s="674">
        <v>2</v>
      </c>
      <c r="J90" s="675" t="s">
        <v>1634</v>
      </c>
      <c r="K90" s="677" t="s">
        <v>1574</v>
      </c>
      <c r="L90" s="674">
        <v>3</v>
      </c>
      <c r="M90" s="678" t="s">
        <v>1502</v>
      </c>
      <c r="N90" s="679" t="s">
        <v>1575</v>
      </c>
      <c r="O90" s="674">
        <v>4</v>
      </c>
      <c r="P90" s="678" t="s">
        <v>1498</v>
      </c>
      <c r="Q90" s="677" t="s">
        <v>1629</v>
      </c>
      <c r="R90" s="674">
        <v>5</v>
      </c>
      <c r="S90" s="696" t="s">
        <v>3398</v>
      </c>
      <c r="T90" s="697" t="s">
        <v>1575</v>
      </c>
      <c r="U90" s="674"/>
      <c r="V90" s="680"/>
      <c r="W90" s="681"/>
      <c r="X90" s="674"/>
      <c r="Y90" s="680"/>
      <c r="Z90" s="681"/>
      <c r="AA90" s="674"/>
      <c r="AB90" s="680"/>
      <c r="AC90" s="681"/>
      <c r="AD90" s="674"/>
      <c r="AE90" s="680"/>
      <c r="AF90" s="681"/>
      <c r="AG90" s="674"/>
      <c r="AH90" s="680"/>
      <c r="AI90" s="681"/>
      <c r="AJ90" s="674"/>
      <c r="AK90" s="680"/>
      <c r="AL90" s="681"/>
    </row>
    <row r="91" spans="1:38" x14ac:dyDescent="0.55000000000000004">
      <c r="A91" s="706">
        <v>43920</v>
      </c>
      <c r="B91" s="682">
        <v>63088</v>
      </c>
      <c r="C91" s="684">
        <v>20026483</v>
      </c>
      <c r="D91" s="685" t="s">
        <v>3742</v>
      </c>
      <c r="E91" s="695"/>
      <c r="F91" s="674">
        <v>1</v>
      </c>
      <c r="G91" s="675" t="s">
        <v>595</v>
      </c>
      <c r="H91" s="676" t="s">
        <v>1571</v>
      </c>
      <c r="I91" s="674">
        <v>2</v>
      </c>
      <c r="J91" s="675" t="s">
        <v>1511</v>
      </c>
      <c r="K91" s="677" t="s">
        <v>1574</v>
      </c>
      <c r="L91" s="674">
        <v>3</v>
      </c>
      <c r="M91" s="678" t="s">
        <v>1502</v>
      </c>
      <c r="N91" s="679" t="s">
        <v>1575</v>
      </c>
      <c r="O91" s="674">
        <v>4</v>
      </c>
      <c r="P91" s="678" t="s">
        <v>1498</v>
      </c>
      <c r="Q91" s="677" t="s">
        <v>2456</v>
      </c>
      <c r="R91" s="674">
        <v>5</v>
      </c>
      <c r="S91" s="696" t="s">
        <v>1503</v>
      </c>
      <c r="T91" s="697" t="s">
        <v>1584</v>
      </c>
      <c r="U91" s="674"/>
      <c r="V91" s="680"/>
      <c r="W91" s="681"/>
      <c r="X91" s="674"/>
      <c r="Y91" s="680"/>
      <c r="Z91" s="681"/>
      <c r="AA91" s="674"/>
      <c r="AB91" s="680"/>
      <c r="AC91" s="681"/>
      <c r="AD91" s="674"/>
      <c r="AE91" s="680"/>
      <c r="AF91" s="681"/>
      <c r="AG91" s="674"/>
      <c r="AH91" s="680"/>
      <c r="AI91" s="681"/>
      <c r="AJ91" s="674"/>
      <c r="AK91" s="680"/>
      <c r="AL91" s="681"/>
    </row>
    <row r="92" spans="1:38" x14ac:dyDescent="0.55000000000000004">
      <c r="A92" s="706">
        <v>43923</v>
      </c>
      <c r="B92" s="682">
        <v>63089</v>
      </c>
      <c r="C92" s="684">
        <v>20036533</v>
      </c>
      <c r="D92" s="685" t="s">
        <v>3743</v>
      </c>
      <c r="E92" s="695"/>
      <c r="F92" s="674">
        <v>1</v>
      </c>
      <c r="G92" s="675" t="s">
        <v>599</v>
      </c>
      <c r="H92" s="676" t="s">
        <v>1571</v>
      </c>
      <c r="I92" s="674">
        <v>2</v>
      </c>
      <c r="J92" s="675" t="s">
        <v>600</v>
      </c>
      <c r="K92" s="677" t="s">
        <v>1586</v>
      </c>
      <c r="L92" s="674">
        <v>3</v>
      </c>
      <c r="M92" s="678" t="s">
        <v>1634</v>
      </c>
      <c r="N92" s="679" t="s">
        <v>1574</v>
      </c>
      <c r="O92" s="674">
        <v>4</v>
      </c>
      <c r="P92" s="678" t="s">
        <v>1502</v>
      </c>
      <c r="Q92" s="677" t="s">
        <v>1575</v>
      </c>
      <c r="R92" s="674">
        <v>5</v>
      </c>
      <c r="S92" s="696" t="s">
        <v>1498</v>
      </c>
      <c r="T92" s="697" t="s">
        <v>1590</v>
      </c>
      <c r="U92" s="674"/>
      <c r="V92" s="680"/>
      <c r="W92" s="681"/>
      <c r="X92" s="674"/>
      <c r="Y92" s="680"/>
      <c r="Z92" s="681"/>
      <c r="AA92" s="674"/>
      <c r="AB92" s="680"/>
      <c r="AC92" s="681"/>
      <c r="AD92" s="674"/>
      <c r="AE92" s="680"/>
      <c r="AF92" s="681"/>
      <c r="AG92" s="674"/>
      <c r="AH92" s="680"/>
      <c r="AI92" s="681"/>
      <c r="AJ92" s="674"/>
      <c r="AK92" s="680"/>
      <c r="AL92" s="681"/>
    </row>
    <row r="93" spans="1:38" x14ac:dyDescent="0.55000000000000004">
      <c r="A93" s="706">
        <v>43928</v>
      </c>
      <c r="B93" s="682">
        <v>63090</v>
      </c>
      <c r="C93" s="684">
        <v>20036522</v>
      </c>
      <c r="D93" s="685" t="s">
        <v>1624</v>
      </c>
      <c r="E93" s="695"/>
      <c r="F93" s="674">
        <v>1</v>
      </c>
      <c r="G93" s="675" t="s">
        <v>1949</v>
      </c>
      <c r="H93" s="676" t="s">
        <v>1571</v>
      </c>
      <c r="I93" s="674">
        <v>2</v>
      </c>
      <c r="J93" s="675" t="s">
        <v>1511</v>
      </c>
      <c r="K93" s="677" t="s">
        <v>1574</v>
      </c>
      <c r="L93" s="674">
        <v>3</v>
      </c>
      <c r="M93" s="678" t="s">
        <v>1502</v>
      </c>
      <c r="N93" s="679" t="s">
        <v>1575</v>
      </c>
      <c r="O93" s="674">
        <v>4</v>
      </c>
      <c r="P93" s="678" t="s">
        <v>1498</v>
      </c>
      <c r="Q93" s="677" t="s">
        <v>1629</v>
      </c>
      <c r="R93" s="674">
        <v>5</v>
      </c>
      <c r="S93" s="696" t="s">
        <v>1503</v>
      </c>
      <c r="T93" s="697" t="s">
        <v>1584</v>
      </c>
      <c r="U93" s="674"/>
      <c r="V93" s="680"/>
      <c r="W93" s="681"/>
      <c r="X93" s="674"/>
      <c r="Y93" s="680"/>
      <c r="Z93" s="681"/>
      <c r="AA93" s="674"/>
      <c r="AB93" s="680"/>
      <c r="AC93" s="681"/>
      <c r="AD93" s="674"/>
      <c r="AE93" s="680"/>
      <c r="AF93" s="681"/>
      <c r="AG93" s="674"/>
      <c r="AH93" s="680"/>
      <c r="AI93" s="681"/>
      <c r="AJ93" s="674"/>
      <c r="AK93" s="680"/>
      <c r="AL93" s="681"/>
    </row>
    <row r="94" spans="1:38" x14ac:dyDescent="0.55000000000000004">
      <c r="A94" s="706">
        <v>43929</v>
      </c>
      <c r="B94" s="682">
        <v>63091</v>
      </c>
      <c r="C94" s="684">
        <v>20046537</v>
      </c>
      <c r="D94" s="685" t="s">
        <v>3744</v>
      </c>
      <c r="E94" s="695"/>
      <c r="F94" s="674">
        <v>1</v>
      </c>
      <c r="G94" s="675" t="s">
        <v>3713</v>
      </c>
      <c r="H94" s="676" t="s">
        <v>1571</v>
      </c>
      <c r="I94" s="674">
        <v>2</v>
      </c>
      <c r="J94" s="675" t="s">
        <v>624</v>
      </c>
      <c r="K94" s="677" t="s">
        <v>1571</v>
      </c>
      <c r="L94" s="674">
        <v>3</v>
      </c>
      <c r="M94" s="678" t="s">
        <v>1634</v>
      </c>
      <c r="N94" s="679" t="s">
        <v>1574</v>
      </c>
      <c r="O94" s="674">
        <v>4</v>
      </c>
      <c r="P94" s="678" t="s">
        <v>1507</v>
      </c>
      <c r="Q94" s="677" t="s">
        <v>1575</v>
      </c>
      <c r="R94" s="674">
        <v>5</v>
      </c>
      <c r="S94" s="696" t="s">
        <v>1498</v>
      </c>
      <c r="T94" s="697" t="s">
        <v>1795</v>
      </c>
      <c r="U94" s="674">
        <v>6</v>
      </c>
      <c r="V94" s="696" t="s">
        <v>1784</v>
      </c>
      <c r="W94" s="697" t="s">
        <v>1586</v>
      </c>
      <c r="X94" s="674">
        <v>7</v>
      </c>
      <c r="Y94" s="696" t="s">
        <v>1503</v>
      </c>
      <c r="Z94" s="697" t="s">
        <v>1584</v>
      </c>
      <c r="AA94" s="674"/>
      <c r="AB94" s="680"/>
      <c r="AC94" s="681"/>
      <c r="AD94" s="674"/>
      <c r="AE94" s="680"/>
      <c r="AF94" s="681"/>
      <c r="AG94" s="674"/>
      <c r="AH94" s="680"/>
      <c r="AI94" s="681"/>
      <c r="AJ94" s="674"/>
      <c r="AK94" s="680"/>
      <c r="AL94" s="681"/>
    </row>
    <row r="95" spans="1:38" x14ac:dyDescent="0.55000000000000004">
      <c r="A95" s="707">
        <v>43934</v>
      </c>
      <c r="B95" s="692">
        <v>63092</v>
      </c>
      <c r="C95" s="672">
        <v>20026503</v>
      </c>
      <c r="D95" s="673" t="s">
        <v>3745</v>
      </c>
      <c r="E95" s="725"/>
      <c r="F95" s="674">
        <v>1</v>
      </c>
      <c r="G95" s="675" t="s">
        <v>2638</v>
      </c>
      <c r="H95" s="676" t="s">
        <v>1571</v>
      </c>
      <c r="I95" s="674"/>
      <c r="J95" s="690"/>
      <c r="K95" s="681"/>
      <c r="L95" s="674"/>
      <c r="M95" s="680"/>
      <c r="N95" s="1181"/>
      <c r="O95" s="674"/>
      <c r="P95" s="680"/>
      <c r="Q95" s="681"/>
      <c r="R95" s="674"/>
      <c r="S95" s="680"/>
      <c r="T95" s="681"/>
      <c r="U95" s="674"/>
      <c r="V95" s="680"/>
      <c r="W95" s="681"/>
      <c r="X95" s="674"/>
      <c r="Y95" s="680"/>
      <c r="Z95" s="681"/>
      <c r="AA95" s="674"/>
      <c r="AB95" s="680"/>
      <c r="AC95" s="681"/>
      <c r="AD95" s="674"/>
      <c r="AE95" s="680"/>
      <c r="AF95" s="681"/>
      <c r="AG95" s="674"/>
      <c r="AH95" s="680"/>
      <c r="AI95" s="681"/>
      <c r="AJ95" s="674"/>
      <c r="AK95" s="680"/>
      <c r="AL95" s="681"/>
    </row>
    <row r="96" spans="1:38" x14ac:dyDescent="0.55000000000000004">
      <c r="A96" s="707"/>
      <c r="B96" s="703">
        <v>63093</v>
      </c>
      <c r="C96" s="700"/>
      <c r="D96" s="701"/>
      <c r="E96" s="726"/>
      <c r="F96" s="674">
        <v>1</v>
      </c>
      <c r="G96" s="675" t="s">
        <v>2638</v>
      </c>
      <c r="H96" s="676" t="s">
        <v>1571</v>
      </c>
      <c r="I96" s="674"/>
      <c r="J96" s="690"/>
      <c r="K96" s="681"/>
      <c r="L96" s="674"/>
      <c r="M96" s="680"/>
      <c r="N96" s="1181"/>
      <c r="O96" s="674"/>
      <c r="P96" s="680"/>
      <c r="Q96" s="681"/>
      <c r="R96" s="674"/>
      <c r="S96" s="680"/>
      <c r="T96" s="681"/>
      <c r="U96" s="674"/>
      <c r="V96" s="680"/>
      <c r="W96" s="681"/>
      <c r="X96" s="674"/>
      <c r="Y96" s="680"/>
      <c r="Z96" s="681"/>
      <c r="AA96" s="674"/>
      <c r="AB96" s="680"/>
      <c r="AC96" s="681"/>
      <c r="AD96" s="674"/>
      <c r="AE96" s="680"/>
      <c r="AF96" s="681"/>
      <c r="AG96" s="674"/>
      <c r="AH96" s="680"/>
      <c r="AI96" s="681"/>
      <c r="AJ96" s="674"/>
      <c r="AK96" s="680"/>
      <c r="AL96" s="681"/>
    </row>
    <row r="97" spans="1:38" x14ac:dyDescent="0.55000000000000004">
      <c r="A97" s="707"/>
      <c r="B97" s="703">
        <v>63094</v>
      </c>
      <c r="C97" s="700"/>
      <c r="D97" s="701"/>
      <c r="E97" s="726"/>
      <c r="F97" s="674">
        <v>1</v>
      </c>
      <c r="G97" s="675" t="s">
        <v>2638</v>
      </c>
      <c r="H97" s="676" t="s">
        <v>1571</v>
      </c>
      <c r="I97" s="674"/>
      <c r="J97" s="690"/>
      <c r="K97" s="681"/>
      <c r="L97" s="674"/>
      <c r="M97" s="680"/>
      <c r="N97" s="1181"/>
      <c r="O97" s="674"/>
      <c r="P97" s="680"/>
      <c r="Q97" s="681"/>
      <c r="R97" s="674"/>
      <c r="S97" s="680"/>
      <c r="T97" s="681"/>
      <c r="U97" s="674"/>
      <c r="V97" s="680"/>
      <c r="W97" s="681"/>
      <c r="X97" s="674"/>
      <c r="Y97" s="680"/>
      <c r="Z97" s="681"/>
      <c r="AA97" s="674"/>
      <c r="AB97" s="680"/>
      <c r="AC97" s="681"/>
      <c r="AD97" s="674"/>
      <c r="AE97" s="680"/>
      <c r="AF97" s="681"/>
      <c r="AG97" s="674"/>
      <c r="AH97" s="680"/>
      <c r="AI97" s="681"/>
      <c r="AJ97" s="674"/>
      <c r="AK97" s="680"/>
      <c r="AL97" s="681"/>
    </row>
    <row r="98" spans="1:38" x14ac:dyDescent="0.55000000000000004">
      <c r="A98" s="706"/>
      <c r="B98" s="682">
        <v>63095</v>
      </c>
      <c r="C98" s="684"/>
      <c r="D98" s="685"/>
      <c r="E98" s="695"/>
      <c r="F98" s="674">
        <v>1</v>
      </c>
      <c r="G98" s="675" t="s">
        <v>2638</v>
      </c>
      <c r="H98" s="676" t="s">
        <v>1571</v>
      </c>
      <c r="I98" s="674"/>
      <c r="J98" s="690"/>
      <c r="K98" s="681"/>
      <c r="L98" s="674"/>
      <c r="M98" s="680"/>
      <c r="N98" s="1181"/>
      <c r="O98" s="674"/>
      <c r="P98" s="680"/>
      <c r="Q98" s="681"/>
      <c r="R98" s="674"/>
      <c r="S98" s="680"/>
      <c r="T98" s="681"/>
      <c r="U98" s="674"/>
      <c r="V98" s="680"/>
      <c r="W98" s="681"/>
      <c r="X98" s="674"/>
      <c r="Y98" s="680"/>
      <c r="Z98" s="681"/>
      <c r="AA98" s="674"/>
      <c r="AB98" s="680"/>
      <c r="AC98" s="681"/>
      <c r="AD98" s="674"/>
      <c r="AE98" s="680"/>
      <c r="AF98" s="681"/>
      <c r="AG98" s="674"/>
      <c r="AH98" s="680"/>
      <c r="AI98" s="681"/>
      <c r="AJ98" s="674"/>
      <c r="AK98" s="680"/>
      <c r="AL98" s="681"/>
    </row>
    <row r="99" spans="1:38" x14ac:dyDescent="0.55000000000000004">
      <c r="A99" s="706">
        <v>43934</v>
      </c>
      <c r="B99" s="682">
        <v>63096</v>
      </c>
      <c r="C99" s="684">
        <v>20026504</v>
      </c>
      <c r="D99" s="685" t="s">
        <v>3745</v>
      </c>
      <c r="E99" s="695"/>
      <c r="F99" s="674">
        <v>1</v>
      </c>
      <c r="G99" s="675" t="s">
        <v>3556</v>
      </c>
      <c r="H99" s="676" t="s">
        <v>1571</v>
      </c>
      <c r="I99" s="674">
        <v>2</v>
      </c>
      <c r="J99" s="675" t="s">
        <v>1831</v>
      </c>
      <c r="K99" s="677" t="s">
        <v>1571</v>
      </c>
      <c r="L99" s="674">
        <v>3</v>
      </c>
      <c r="M99" s="678" t="s">
        <v>1634</v>
      </c>
      <c r="N99" s="679" t="s">
        <v>1633</v>
      </c>
      <c r="O99" s="674">
        <v>4</v>
      </c>
      <c r="P99" s="678" t="s">
        <v>1507</v>
      </c>
      <c r="Q99" s="677" t="s">
        <v>1575</v>
      </c>
      <c r="R99" s="674">
        <v>5</v>
      </c>
      <c r="S99" s="696" t="s">
        <v>1502</v>
      </c>
      <c r="T99" s="697" t="s">
        <v>1575</v>
      </c>
      <c r="U99" s="674">
        <v>6</v>
      </c>
      <c r="V99" s="696" t="s">
        <v>1498</v>
      </c>
      <c r="W99" s="697" t="s">
        <v>3748</v>
      </c>
      <c r="X99" s="674">
        <v>7</v>
      </c>
      <c r="Y99" s="696" t="s">
        <v>1636</v>
      </c>
      <c r="Z99" s="697" t="s">
        <v>1574</v>
      </c>
      <c r="AA99" s="674">
        <v>8</v>
      </c>
      <c r="AB99" s="696" t="s">
        <v>1503</v>
      </c>
      <c r="AC99" s="697" t="s">
        <v>1632</v>
      </c>
      <c r="AD99" s="674"/>
      <c r="AE99" s="680"/>
      <c r="AF99" s="681"/>
      <c r="AG99" s="674"/>
      <c r="AH99" s="680"/>
      <c r="AI99" s="681"/>
      <c r="AJ99" s="674"/>
      <c r="AK99" s="680"/>
      <c r="AL99" s="681"/>
    </row>
    <row r="100" spans="1:38" x14ac:dyDescent="0.55000000000000004">
      <c r="A100" s="707">
        <v>43935</v>
      </c>
      <c r="B100" s="692">
        <v>63097</v>
      </c>
      <c r="C100" s="672">
        <v>20026508</v>
      </c>
      <c r="D100" s="673" t="s">
        <v>3746</v>
      </c>
      <c r="E100" s="725"/>
      <c r="F100" s="674">
        <v>1</v>
      </c>
      <c r="G100" s="675" t="s">
        <v>3572</v>
      </c>
      <c r="H100" s="676" t="s">
        <v>1571</v>
      </c>
      <c r="I100" s="674">
        <v>2</v>
      </c>
      <c r="J100" s="675" t="s">
        <v>1503</v>
      </c>
      <c r="K100" s="677" t="s">
        <v>1585</v>
      </c>
      <c r="L100" s="674"/>
      <c r="M100" s="680"/>
      <c r="N100" s="1181"/>
      <c r="O100" s="674"/>
      <c r="P100" s="680"/>
      <c r="Q100" s="681"/>
      <c r="R100" s="674"/>
      <c r="S100" s="680"/>
      <c r="T100" s="681"/>
      <c r="U100" s="674"/>
      <c r="V100" s="680"/>
      <c r="W100" s="681"/>
      <c r="X100" s="674"/>
      <c r="Y100" s="680"/>
      <c r="Z100" s="681"/>
      <c r="AA100" s="674"/>
      <c r="AB100" s="680"/>
      <c r="AC100" s="681"/>
      <c r="AD100" s="674"/>
      <c r="AE100" s="680"/>
      <c r="AF100" s="681"/>
      <c r="AG100" s="674"/>
      <c r="AH100" s="680"/>
      <c r="AI100" s="681"/>
      <c r="AJ100" s="674"/>
      <c r="AK100" s="680"/>
      <c r="AL100" s="681"/>
    </row>
    <row r="101" spans="1:38" x14ac:dyDescent="0.55000000000000004">
      <c r="A101" s="706"/>
      <c r="B101" s="682">
        <v>63098</v>
      </c>
      <c r="C101" s="684"/>
      <c r="D101" s="685"/>
      <c r="E101" s="695"/>
      <c r="F101" s="674">
        <v>1</v>
      </c>
      <c r="G101" s="675" t="s">
        <v>3572</v>
      </c>
      <c r="H101" s="676" t="s">
        <v>1571</v>
      </c>
      <c r="I101" s="674">
        <v>2</v>
      </c>
      <c r="J101" s="675" t="s">
        <v>1503</v>
      </c>
      <c r="K101" s="677" t="s">
        <v>1585</v>
      </c>
      <c r="L101" s="674"/>
      <c r="M101" s="680"/>
      <c r="N101" s="1181"/>
      <c r="O101" s="674"/>
      <c r="P101" s="680"/>
      <c r="Q101" s="681"/>
      <c r="R101" s="674"/>
      <c r="S101" s="680"/>
      <c r="T101" s="681"/>
      <c r="U101" s="674"/>
      <c r="V101" s="680"/>
      <c r="W101" s="681"/>
      <c r="X101" s="674"/>
      <c r="Y101" s="680"/>
      <c r="Z101" s="681"/>
      <c r="AA101" s="674"/>
      <c r="AB101" s="680"/>
      <c r="AC101" s="681"/>
      <c r="AD101" s="674"/>
      <c r="AE101" s="680"/>
      <c r="AF101" s="681"/>
      <c r="AG101" s="674"/>
      <c r="AH101" s="680"/>
      <c r="AI101" s="681"/>
      <c r="AJ101" s="674"/>
      <c r="AK101" s="680"/>
      <c r="AL101" s="681"/>
    </row>
    <row r="102" spans="1:38" x14ac:dyDescent="0.55000000000000004">
      <c r="A102" s="706">
        <v>43936</v>
      </c>
      <c r="B102" s="682">
        <v>63099</v>
      </c>
      <c r="C102" s="684">
        <v>20036532</v>
      </c>
      <c r="D102" s="685" t="s">
        <v>3747</v>
      </c>
      <c r="E102" s="695"/>
      <c r="F102" s="674">
        <v>1</v>
      </c>
      <c r="G102" s="675" t="s">
        <v>1607</v>
      </c>
      <c r="H102" s="676" t="s">
        <v>1571</v>
      </c>
      <c r="I102" s="674">
        <v>2</v>
      </c>
      <c r="J102" s="675" t="s">
        <v>1503</v>
      </c>
      <c r="K102" s="677" t="s">
        <v>1801</v>
      </c>
      <c r="L102" s="674"/>
      <c r="M102" s="680"/>
      <c r="N102" s="1181"/>
      <c r="O102" s="674"/>
      <c r="P102" s="680"/>
      <c r="Q102" s="681"/>
      <c r="R102" s="674"/>
      <c r="S102" s="680"/>
      <c r="T102" s="681"/>
      <c r="U102" s="674"/>
      <c r="V102" s="680"/>
      <c r="W102" s="681"/>
      <c r="X102" s="674"/>
      <c r="Y102" s="680"/>
      <c r="Z102" s="681"/>
      <c r="AA102" s="674"/>
      <c r="AB102" s="680"/>
      <c r="AC102" s="681"/>
      <c r="AD102" s="674"/>
      <c r="AE102" s="680"/>
      <c r="AF102" s="681"/>
      <c r="AG102" s="674"/>
      <c r="AH102" s="680"/>
      <c r="AI102" s="681"/>
      <c r="AJ102" s="674"/>
      <c r="AK102" s="680"/>
      <c r="AL102" s="681"/>
    </row>
    <row r="103" spans="1:38" x14ac:dyDescent="0.55000000000000004">
      <c r="A103" s="706">
        <v>43943</v>
      </c>
      <c r="B103" s="682">
        <v>63100</v>
      </c>
      <c r="C103" s="684">
        <v>20046543</v>
      </c>
      <c r="D103" s="685" t="s">
        <v>1624</v>
      </c>
      <c r="E103" s="695"/>
      <c r="F103" s="674">
        <v>1</v>
      </c>
      <c r="G103" s="675" t="s">
        <v>3845</v>
      </c>
      <c r="H103" s="676" t="s">
        <v>1571</v>
      </c>
      <c r="I103" s="674">
        <v>2</v>
      </c>
      <c r="J103" s="675" t="s">
        <v>1511</v>
      </c>
      <c r="K103" s="677" t="s">
        <v>1574</v>
      </c>
      <c r="L103" s="674">
        <v>3</v>
      </c>
      <c r="M103" s="678" t="s">
        <v>1502</v>
      </c>
      <c r="N103" s="679" t="s">
        <v>1575</v>
      </c>
      <c r="O103" s="674">
        <v>4</v>
      </c>
      <c r="P103" s="678" t="s">
        <v>1498</v>
      </c>
      <c r="Q103" s="677" t="s">
        <v>1939</v>
      </c>
      <c r="R103" s="674">
        <v>5</v>
      </c>
      <c r="S103" s="696" t="s">
        <v>1503</v>
      </c>
      <c r="T103" s="697" t="s">
        <v>1801</v>
      </c>
      <c r="U103" s="674"/>
      <c r="V103" s="680"/>
      <c r="W103" s="681"/>
      <c r="X103" s="674"/>
      <c r="Y103" s="680"/>
      <c r="Z103" s="681"/>
      <c r="AA103" s="674"/>
      <c r="AB103" s="680"/>
      <c r="AC103" s="681"/>
      <c r="AD103" s="674"/>
      <c r="AE103" s="680"/>
      <c r="AF103" s="681"/>
      <c r="AG103" s="674"/>
      <c r="AH103" s="680"/>
      <c r="AI103" s="681"/>
      <c r="AJ103" s="674"/>
      <c r="AK103" s="680"/>
      <c r="AL103" s="681"/>
    </row>
    <row r="104" spans="1:38" x14ac:dyDescent="0.55000000000000004">
      <c r="A104" s="706">
        <v>43943</v>
      </c>
      <c r="B104" s="682">
        <v>63101</v>
      </c>
      <c r="C104" s="684">
        <v>19056231</v>
      </c>
      <c r="D104" s="685" t="s">
        <v>3376</v>
      </c>
      <c r="E104" s="695" t="s">
        <v>3776</v>
      </c>
      <c r="F104" s="674">
        <v>1</v>
      </c>
      <c r="G104" s="675" t="s">
        <v>1250</v>
      </c>
      <c r="H104" s="676" t="s">
        <v>1797</v>
      </c>
      <c r="I104" s="674">
        <v>2</v>
      </c>
      <c r="J104" s="675" t="s">
        <v>1498</v>
      </c>
      <c r="K104" s="677" t="s">
        <v>1785</v>
      </c>
      <c r="L104" s="674"/>
      <c r="M104" s="680"/>
      <c r="N104" s="1181"/>
      <c r="O104" s="674"/>
      <c r="P104" s="680"/>
      <c r="Q104" s="681"/>
      <c r="R104" s="674"/>
      <c r="S104" s="680"/>
      <c r="T104" s="681"/>
      <c r="U104" s="674"/>
      <c r="V104" s="680"/>
      <c r="W104" s="681"/>
      <c r="X104" s="674"/>
      <c r="Y104" s="680"/>
      <c r="Z104" s="681"/>
      <c r="AA104" s="674"/>
      <c r="AB104" s="680"/>
      <c r="AC104" s="681"/>
      <c r="AD104" s="674"/>
      <c r="AE104" s="680"/>
      <c r="AF104" s="681"/>
      <c r="AG104" s="674"/>
      <c r="AH104" s="680"/>
      <c r="AI104" s="681"/>
      <c r="AJ104" s="674"/>
      <c r="AK104" s="680"/>
      <c r="AL104" s="681"/>
    </row>
    <row r="105" spans="1:38" x14ac:dyDescent="0.55000000000000004">
      <c r="A105" s="706">
        <v>43943</v>
      </c>
      <c r="B105" s="682">
        <v>63102</v>
      </c>
      <c r="C105" s="684">
        <v>20026498</v>
      </c>
      <c r="D105" s="685" t="s">
        <v>3840</v>
      </c>
      <c r="E105" s="695"/>
      <c r="F105" s="674"/>
      <c r="G105" s="675"/>
      <c r="H105" s="676"/>
      <c r="I105" s="674"/>
      <c r="J105" s="675"/>
      <c r="K105" s="677"/>
      <c r="L105" s="674"/>
      <c r="M105" s="678"/>
      <c r="N105" s="679"/>
      <c r="O105" s="674"/>
      <c r="P105" s="678"/>
      <c r="Q105" s="677"/>
      <c r="R105" s="674"/>
      <c r="S105" s="696"/>
      <c r="T105" s="697"/>
      <c r="U105" s="674"/>
      <c r="V105" s="696"/>
      <c r="W105" s="697"/>
      <c r="X105" s="674"/>
      <c r="Y105" s="696"/>
      <c r="Z105" s="697"/>
      <c r="AA105" s="674"/>
      <c r="AB105" s="696"/>
      <c r="AC105" s="697"/>
      <c r="AD105" s="674"/>
      <c r="AE105" s="696"/>
      <c r="AF105" s="697"/>
      <c r="AG105" s="674"/>
      <c r="AH105" s="696"/>
      <c r="AI105" s="697"/>
      <c r="AJ105" s="674"/>
      <c r="AK105" s="696"/>
      <c r="AL105" s="697"/>
    </row>
    <row r="106" spans="1:38" x14ac:dyDescent="0.55000000000000004">
      <c r="A106" s="706">
        <v>43945</v>
      </c>
      <c r="B106" s="682">
        <v>63103</v>
      </c>
      <c r="C106" s="684">
        <v>20046542</v>
      </c>
      <c r="D106" s="685" t="s">
        <v>3586</v>
      </c>
      <c r="E106" s="695"/>
      <c r="F106" s="674">
        <v>1</v>
      </c>
      <c r="G106" s="675" t="s">
        <v>883</v>
      </c>
      <c r="H106" s="676" t="s">
        <v>1571</v>
      </c>
      <c r="I106" s="674"/>
      <c r="J106" s="690"/>
      <c r="K106" s="681"/>
      <c r="L106" s="674"/>
      <c r="M106" s="680"/>
      <c r="N106" s="1181"/>
      <c r="O106" s="674"/>
      <c r="P106" s="680"/>
      <c r="Q106" s="681"/>
      <c r="R106" s="674"/>
      <c r="S106" s="680"/>
      <c r="T106" s="681"/>
      <c r="U106" s="674"/>
      <c r="V106" s="680"/>
      <c r="W106" s="681"/>
      <c r="X106" s="674"/>
      <c r="Y106" s="680"/>
      <c r="Z106" s="681"/>
      <c r="AA106" s="674"/>
      <c r="AB106" s="680"/>
      <c r="AC106" s="681"/>
      <c r="AD106" s="674"/>
      <c r="AE106" s="680"/>
      <c r="AF106" s="681"/>
      <c r="AG106" s="674"/>
      <c r="AH106" s="680"/>
      <c r="AI106" s="681"/>
      <c r="AJ106" s="674"/>
      <c r="AK106" s="680"/>
      <c r="AL106" s="681"/>
    </row>
    <row r="107" spans="1:38" x14ac:dyDescent="0.55000000000000004">
      <c r="A107" s="706">
        <v>43949</v>
      </c>
      <c r="B107" s="682">
        <v>63104</v>
      </c>
      <c r="C107" s="684">
        <v>20046546</v>
      </c>
      <c r="D107" s="685" t="s">
        <v>1452</v>
      </c>
      <c r="E107" s="685"/>
      <c r="F107" s="674"/>
      <c r="G107" s="675"/>
      <c r="H107" s="676"/>
      <c r="I107" s="674"/>
      <c r="J107" s="675"/>
      <c r="K107" s="677"/>
      <c r="L107" s="674"/>
      <c r="M107" s="678"/>
      <c r="N107" s="679"/>
      <c r="O107" s="674"/>
      <c r="P107" s="678"/>
      <c r="Q107" s="677"/>
      <c r="R107" s="674"/>
      <c r="S107" s="696"/>
      <c r="T107" s="697"/>
      <c r="U107" s="674"/>
      <c r="V107" s="696"/>
      <c r="W107" s="697"/>
      <c r="X107" s="674"/>
      <c r="Y107" s="696"/>
      <c r="Z107" s="697"/>
      <c r="AA107" s="674"/>
      <c r="AB107" s="696"/>
      <c r="AC107" s="697"/>
      <c r="AD107" s="674"/>
      <c r="AE107" s="696"/>
      <c r="AF107" s="697"/>
      <c r="AG107" s="674"/>
      <c r="AH107" s="696"/>
      <c r="AI107" s="697"/>
      <c r="AJ107" s="674"/>
      <c r="AK107" s="696"/>
      <c r="AL107" s="697"/>
    </row>
    <row r="108" spans="1:38" x14ac:dyDescent="0.55000000000000004">
      <c r="A108" s="706">
        <v>43950</v>
      </c>
      <c r="B108" s="682">
        <v>63105</v>
      </c>
      <c r="C108" s="684">
        <v>20046538</v>
      </c>
      <c r="D108" s="685" t="s">
        <v>1738</v>
      </c>
      <c r="E108" s="685"/>
      <c r="F108" s="674"/>
      <c r="G108" s="675"/>
      <c r="H108" s="676"/>
      <c r="I108" s="674"/>
      <c r="J108" s="675"/>
      <c r="K108" s="677"/>
      <c r="L108" s="674"/>
      <c r="M108" s="678"/>
      <c r="N108" s="679"/>
      <c r="O108" s="674"/>
      <c r="P108" s="678"/>
      <c r="Q108" s="677"/>
      <c r="R108" s="674"/>
      <c r="S108" s="696"/>
      <c r="T108" s="697"/>
      <c r="U108" s="674"/>
      <c r="V108" s="696"/>
      <c r="W108" s="697"/>
      <c r="X108" s="674"/>
      <c r="Y108" s="696"/>
      <c r="Z108" s="697"/>
      <c r="AA108" s="674"/>
      <c r="AB108" s="696"/>
      <c r="AC108" s="697"/>
      <c r="AD108" s="674"/>
      <c r="AE108" s="696"/>
      <c r="AF108" s="697"/>
      <c r="AG108" s="674"/>
      <c r="AH108" s="696"/>
      <c r="AI108" s="697"/>
      <c r="AJ108" s="674"/>
      <c r="AK108" s="696"/>
      <c r="AL108" s="697"/>
    </row>
    <row r="109" spans="1:38" x14ac:dyDescent="0.55000000000000004">
      <c r="A109" s="706">
        <v>43955</v>
      </c>
      <c r="B109" s="682">
        <v>63106</v>
      </c>
      <c r="C109" s="684">
        <v>20046554</v>
      </c>
      <c r="D109" s="685" t="s">
        <v>3386</v>
      </c>
      <c r="E109" s="685"/>
      <c r="F109" s="674">
        <v>1</v>
      </c>
      <c r="G109" s="675" t="s">
        <v>650</v>
      </c>
      <c r="H109" s="676" t="s">
        <v>1571</v>
      </c>
      <c r="I109" s="674">
        <v>2</v>
      </c>
      <c r="J109" s="675" t="s">
        <v>1634</v>
      </c>
      <c r="K109" s="677" t="s">
        <v>1586</v>
      </c>
      <c r="L109" s="674">
        <v>3</v>
      </c>
      <c r="M109" s="678" t="s">
        <v>1507</v>
      </c>
      <c r="N109" s="679" t="s">
        <v>1575</v>
      </c>
      <c r="O109" s="674">
        <v>4</v>
      </c>
      <c r="P109" s="678" t="s">
        <v>1498</v>
      </c>
      <c r="Q109" s="677" t="s">
        <v>3844</v>
      </c>
      <c r="R109" s="674"/>
      <c r="S109" s="680"/>
      <c r="T109" s="681"/>
      <c r="U109" s="674"/>
      <c r="V109" s="680"/>
      <c r="W109" s="681"/>
      <c r="X109" s="674"/>
      <c r="Y109" s="680"/>
      <c r="Z109" s="681"/>
      <c r="AA109" s="674"/>
      <c r="AB109" s="680"/>
      <c r="AC109" s="681"/>
      <c r="AD109" s="674"/>
      <c r="AE109" s="680"/>
      <c r="AF109" s="681"/>
      <c r="AG109" s="674"/>
      <c r="AH109" s="680"/>
      <c r="AI109" s="681"/>
      <c r="AJ109" s="674"/>
      <c r="AK109" s="680"/>
      <c r="AL109" s="681"/>
    </row>
    <row r="110" spans="1:38" x14ac:dyDescent="0.55000000000000004">
      <c r="A110" s="706">
        <v>43956</v>
      </c>
      <c r="B110" s="682">
        <v>63107</v>
      </c>
      <c r="C110" s="684">
        <v>20046546</v>
      </c>
      <c r="D110" s="685" t="s">
        <v>1452</v>
      </c>
      <c r="E110" s="685"/>
      <c r="F110" s="674">
        <v>1</v>
      </c>
      <c r="G110" s="675" t="s">
        <v>1341</v>
      </c>
      <c r="H110" s="676" t="s">
        <v>1579</v>
      </c>
      <c r="I110" s="674">
        <v>2</v>
      </c>
      <c r="J110" s="675" t="s">
        <v>1511</v>
      </c>
      <c r="K110" s="677" t="s">
        <v>1583</v>
      </c>
      <c r="L110" s="674">
        <v>3</v>
      </c>
      <c r="M110" s="678" t="s">
        <v>1502</v>
      </c>
      <c r="N110" s="679" t="s">
        <v>1583</v>
      </c>
      <c r="O110" s="674">
        <v>4</v>
      </c>
      <c r="P110" s="678" t="s">
        <v>1498</v>
      </c>
      <c r="Q110" s="677" t="s">
        <v>1798</v>
      </c>
      <c r="R110" s="674">
        <v>5</v>
      </c>
      <c r="S110" s="696" t="s">
        <v>1503</v>
      </c>
      <c r="T110" s="697" t="s">
        <v>1597</v>
      </c>
      <c r="U110" s="674"/>
      <c r="V110" s="680"/>
      <c r="W110" s="681"/>
      <c r="X110" s="674"/>
      <c r="Y110" s="680"/>
      <c r="Z110" s="681"/>
      <c r="AA110" s="674"/>
      <c r="AB110" s="680"/>
      <c r="AC110" s="681"/>
      <c r="AD110" s="674"/>
      <c r="AE110" s="680"/>
      <c r="AF110" s="681"/>
      <c r="AG110" s="674"/>
      <c r="AH110" s="680"/>
      <c r="AI110" s="681"/>
      <c r="AJ110" s="674"/>
      <c r="AK110" s="680"/>
      <c r="AL110" s="681"/>
    </row>
    <row r="111" spans="1:38" x14ac:dyDescent="0.55000000000000004">
      <c r="A111" s="706">
        <v>43956</v>
      </c>
      <c r="B111" s="682">
        <v>63108</v>
      </c>
      <c r="C111" s="684">
        <v>20046548</v>
      </c>
      <c r="D111" s="685" t="s">
        <v>3527</v>
      </c>
      <c r="E111" s="685"/>
      <c r="F111" s="674">
        <v>1</v>
      </c>
      <c r="G111" s="675" t="s">
        <v>1607</v>
      </c>
      <c r="H111" s="676" t="s">
        <v>3843</v>
      </c>
      <c r="I111" s="674">
        <v>2</v>
      </c>
      <c r="J111" s="675" t="s">
        <v>1503</v>
      </c>
      <c r="K111" s="677" t="s">
        <v>1801</v>
      </c>
      <c r="L111" s="674"/>
      <c r="M111" s="680"/>
      <c r="N111" s="1181"/>
      <c r="O111" s="674"/>
      <c r="P111" s="680"/>
      <c r="Q111" s="681"/>
      <c r="R111" s="674"/>
      <c r="S111" s="680"/>
      <c r="T111" s="681"/>
      <c r="U111" s="674"/>
      <c r="V111" s="680"/>
      <c r="W111" s="681"/>
      <c r="X111" s="674"/>
      <c r="Y111" s="680"/>
      <c r="Z111" s="681"/>
      <c r="AA111" s="674"/>
      <c r="AB111" s="680"/>
      <c r="AC111" s="681"/>
      <c r="AD111" s="674"/>
      <c r="AE111" s="680"/>
      <c r="AF111" s="681"/>
      <c r="AG111" s="674"/>
      <c r="AH111" s="680"/>
      <c r="AI111" s="681"/>
      <c r="AJ111" s="674"/>
      <c r="AK111" s="680"/>
      <c r="AL111" s="681"/>
    </row>
    <row r="112" spans="1:38" x14ac:dyDescent="0.55000000000000004">
      <c r="A112" s="706">
        <v>43956</v>
      </c>
      <c r="B112" s="682">
        <v>63109</v>
      </c>
      <c r="C112" s="684">
        <v>19106404</v>
      </c>
      <c r="D112" s="685" t="s">
        <v>3739</v>
      </c>
      <c r="E112" s="685" t="s">
        <v>3737</v>
      </c>
      <c r="F112" s="674">
        <v>1</v>
      </c>
      <c r="G112" s="675" t="s">
        <v>2477</v>
      </c>
      <c r="H112" s="676" t="s">
        <v>1571</v>
      </c>
      <c r="I112" s="674">
        <v>2</v>
      </c>
      <c r="J112" s="675" t="s">
        <v>1634</v>
      </c>
      <c r="K112" s="677" t="s">
        <v>1578</v>
      </c>
      <c r="L112" s="674">
        <v>3</v>
      </c>
      <c r="M112" s="678" t="s">
        <v>1502</v>
      </c>
      <c r="N112" s="679" t="s">
        <v>1575</v>
      </c>
      <c r="O112" s="674">
        <v>4</v>
      </c>
      <c r="P112" s="678" t="s">
        <v>1498</v>
      </c>
      <c r="Q112" s="677" t="s">
        <v>3109</v>
      </c>
      <c r="R112" s="674">
        <v>5</v>
      </c>
      <c r="S112" s="696" t="s">
        <v>1503</v>
      </c>
      <c r="T112" s="697" t="s">
        <v>1632</v>
      </c>
      <c r="U112" s="674"/>
      <c r="V112" s="680"/>
      <c r="W112" s="681"/>
      <c r="X112" s="674"/>
      <c r="Y112" s="680"/>
      <c r="Z112" s="681"/>
      <c r="AA112" s="674"/>
      <c r="AB112" s="680"/>
      <c r="AC112" s="681"/>
      <c r="AD112" s="674"/>
      <c r="AE112" s="680"/>
      <c r="AF112" s="681"/>
      <c r="AG112" s="674"/>
      <c r="AH112" s="680"/>
      <c r="AI112" s="681"/>
      <c r="AJ112" s="674"/>
      <c r="AK112" s="680"/>
      <c r="AL112" s="681"/>
    </row>
    <row r="113" spans="1:38" x14ac:dyDescent="0.55000000000000004">
      <c r="A113" s="706">
        <v>43958</v>
      </c>
      <c r="B113" s="682">
        <v>63110</v>
      </c>
      <c r="C113" s="1180" t="s">
        <v>3778</v>
      </c>
      <c r="D113" s="685" t="s">
        <v>3841</v>
      </c>
      <c r="E113" s="695"/>
      <c r="F113" s="674">
        <v>1</v>
      </c>
      <c r="G113" s="675" t="s">
        <v>728</v>
      </c>
      <c r="H113" s="676" t="s">
        <v>1579</v>
      </c>
      <c r="I113" s="674"/>
      <c r="J113" s="690"/>
      <c r="K113" s="681"/>
      <c r="L113" s="674"/>
      <c r="M113" s="680"/>
      <c r="N113" s="1181"/>
      <c r="O113" s="674"/>
      <c r="P113" s="680"/>
      <c r="Q113" s="681"/>
      <c r="R113" s="674"/>
      <c r="S113" s="680"/>
      <c r="T113" s="681"/>
      <c r="U113" s="674"/>
      <c r="V113" s="680"/>
      <c r="W113" s="681"/>
      <c r="X113" s="674"/>
      <c r="Y113" s="680"/>
      <c r="Z113" s="681"/>
      <c r="AA113" s="674"/>
      <c r="AB113" s="680"/>
      <c r="AC113" s="681"/>
      <c r="AD113" s="674"/>
      <c r="AE113" s="680"/>
      <c r="AF113" s="681"/>
      <c r="AG113" s="674"/>
      <c r="AH113" s="680"/>
      <c r="AI113" s="681"/>
      <c r="AJ113" s="674"/>
      <c r="AK113" s="680"/>
      <c r="AL113" s="681"/>
    </row>
    <row r="114" spans="1:38" x14ac:dyDescent="0.55000000000000004">
      <c r="A114" s="706">
        <v>43958</v>
      </c>
      <c r="B114" s="682">
        <v>63111</v>
      </c>
      <c r="C114" s="684">
        <v>20056555</v>
      </c>
      <c r="D114" s="685" t="s">
        <v>3586</v>
      </c>
      <c r="E114" s="695"/>
      <c r="F114" s="674">
        <v>1</v>
      </c>
      <c r="G114" s="675" t="s">
        <v>879</v>
      </c>
      <c r="H114" s="676" t="s">
        <v>1571</v>
      </c>
      <c r="I114" s="674">
        <v>2</v>
      </c>
      <c r="J114" s="675" t="s">
        <v>1634</v>
      </c>
      <c r="K114" s="677" t="s">
        <v>1586</v>
      </c>
      <c r="L114" s="674">
        <v>3</v>
      </c>
      <c r="M114" s="678" t="s">
        <v>1507</v>
      </c>
      <c r="N114" s="679" t="s">
        <v>1575</v>
      </c>
      <c r="O114" s="674">
        <v>4</v>
      </c>
      <c r="P114" s="678" t="s">
        <v>1498</v>
      </c>
      <c r="Q114" s="677" t="s">
        <v>1593</v>
      </c>
      <c r="R114" s="674" t="s">
        <v>3237</v>
      </c>
      <c r="S114" s="680"/>
      <c r="T114" s="681"/>
      <c r="U114" s="674"/>
      <c r="V114" s="680"/>
      <c r="W114" s="681"/>
      <c r="X114" s="674"/>
      <c r="Y114" s="680"/>
      <c r="Z114" s="681"/>
      <c r="AA114" s="674"/>
      <c r="AB114" s="680"/>
      <c r="AC114" s="681"/>
      <c r="AD114" s="674"/>
      <c r="AE114" s="680"/>
      <c r="AF114" s="681"/>
      <c r="AG114" s="674"/>
      <c r="AH114" s="680"/>
      <c r="AI114" s="681"/>
      <c r="AJ114" s="674"/>
      <c r="AK114" s="680"/>
      <c r="AL114" s="681"/>
    </row>
    <row r="115" spans="1:38" x14ac:dyDescent="0.55000000000000004">
      <c r="A115" s="706">
        <v>43963</v>
      </c>
      <c r="B115" s="682">
        <v>63112</v>
      </c>
      <c r="C115" s="684">
        <v>20046553</v>
      </c>
      <c r="D115" s="685" t="s">
        <v>3443</v>
      </c>
      <c r="E115" s="695"/>
      <c r="F115" s="674">
        <v>1</v>
      </c>
      <c r="G115" s="675" t="s">
        <v>3592</v>
      </c>
      <c r="H115" s="676" t="s">
        <v>1571</v>
      </c>
      <c r="I115" s="674">
        <v>2</v>
      </c>
      <c r="J115" s="675" t="s">
        <v>1511</v>
      </c>
      <c r="K115" s="677" t="s">
        <v>1574</v>
      </c>
      <c r="L115" s="674">
        <v>3</v>
      </c>
      <c r="M115" s="678" t="s">
        <v>1502</v>
      </c>
      <c r="N115" s="679" t="s">
        <v>1575</v>
      </c>
      <c r="O115" s="674">
        <v>4</v>
      </c>
      <c r="P115" s="678" t="s">
        <v>1498</v>
      </c>
      <c r="Q115" s="677" t="s">
        <v>1939</v>
      </c>
      <c r="R115" s="674">
        <v>5</v>
      </c>
      <c r="S115" s="696" t="s">
        <v>1503</v>
      </c>
      <c r="T115" s="697" t="s">
        <v>1584</v>
      </c>
      <c r="U115" s="674"/>
      <c r="V115" s="680"/>
      <c r="W115" s="681"/>
      <c r="X115" s="674"/>
      <c r="Y115" s="680"/>
      <c r="Z115" s="681"/>
      <c r="AA115" s="674"/>
      <c r="AB115" s="680"/>
      <c r="AC115" s="681"/>
      <c r="AD115" s="674"/>
      <c r="AE115" s="680"/>
      <c r="AF115" s="681"/>
      <c r="AG115" s="674"/>
      <c r="AH115" s="680"/>
      <c r="AI115" s="681"/>
      <c r="AJ115" s="674"/>
      <c r="AK115" s="680"/>
      <c r="AL115" s="681"/>
    </row>
    <row r="116" spans="1:38" x14ac:dyDescent="0.55000000000000004">
      <c r="A116" s="706">
        <v>43965</v>
      </c>
      <c r="B116" s="682">
        <v>63113</v>
      </c>
      <c r="C116" s="684">
        <v>20046551</v>
      </c>
      <c r="D116" s="685" t="s">
        <v>3842</v>
      </c>
      <c r="E116" s="695"/>
      <c r="F116" s="674">
        <v>1</v>
      </c>
      <c r="G116" s="675" t="s">
        <v>3572</v>
      </c>
      <c r="H116" s="676" t="s">
        <v>1571</v>
      </c>
      <c r="I116" s="674">
        <v>2</v>
      </c>
      <c r="J116" s="675" t="s">
        <v>1503</v>
      </c>
      <c r="K116" s="677" t="s">
        <v>1632</v>
      </c>
      <c r="L116" s="674"/>
      <c r="M116" s="680"/>
      <c r="N116" s="1181"/>
      <c r="O116" s="674"/>
      <c r="P116" s="680"/>
      <c r="Q116" s="681"/>
      <c r="R116" s="674"/>
      <c r="S116" s="680"/>
      <c r="T116" s="681"/>
      <c r="U116" s="674"/>
      <c r="V116" s="680"/>
      <c r="W116" s="681"/>
      <c r="X116" s="674"/>
      <c r="Y116" s="680"/>
      <c r="Z116" s="681"/>
      <c r="AA116" s="674"/>
      <c r="AB116" s="680"/>
      <c r="AC116" s="681"/>
      <c r="AD116" s="674"/>
      <c r="AE116" s="680"/>
      <c r="AF116" s="681"/>
      <c r="AG116" s="674"/>
      <c r="AH116" s="680"/>
      <c r="AI116" s="681"/>
      <c r="AJ116" s="674"/>
      <c r="AK116" s="680"/>
      <c r="AL116" s="681"/>
    </row>
    <row r="117" spans="1:38" x14ac:dyDescent="0.55000000000000004">
      <c r="A117" s="707">
        <v>43966</v>
      </c>
      <c r="B117" s="692">
        <v>63114</v>
      </c>
      <c r="C117" s="672">
        <v>20036521</v>
      </c>
      <c r="D117" s="673" t="s">
        <v>1622</v>
      </c>
      <c r="E117" s="725"/>
      <c r="F117" s="674">
        <v>1</v>
      </c>
      <c r="G117" s="675" t="s">
        <v>1826</v>
      </c>
      <c r="H117" s="676" t="s">
        <v>1797</v>
      </c>
      <c r="I117" s="674">
        <v>2</v>
      </c>
      <c r="J117" s="675" t="s">
        <v>1634</v>
      </c>
      <c r="K117" s="677" t="s">
        <v>1633</v>
      </c>
      <c r="L117" s="674">
        <v>3</v>
      </c>
      <c r="M117" s="678" t="s">
        <v>1502</v>
      </c>
      <c r="N117" s="679" t="s">
        <v>1633</v>
      </c>
      <c r="O117" s="674">
        <v>4</v>
      </c>
      <c r="P117" s="678" t="s">
        <v>1498</v>
      </c>
      <c r="Q117" s="677" t="s">
        <v>1629</v>
      </c>
      <c r="R117" s="674"/>
      <c r="S117" s="680"/>
      <c r="T117" s="681"/>
      <c r="U117" s="674"/>
      <c r="V117" s="680"/>
      <c r="W117" s="681"/>
      <c r="X117" s="674"/>
      <c r="Y117" s="680"/>
      <c r="Z117" s="681"/>
      <c r="AA117" s="674"/>
      <c r="AB117" s="680"/>
      <c r="AC117" s="681"/>
      <c r="AD117" s="674"/>
      <c r="AE117" s="680"/>
      <c r="AF117" s="681"/>
      <c r="AG117" s="674"/>
      <c r="AH117" s="680"/>
      <c r="AI117" s="681"/>
      <c r="AJ117" s="674"/>
      <c r="AK117" s="680"/>
      <c r="AL117" s="681"/>
    </row>
    <row r="118" spans="1:38" x14ac:dyDescent="0.55000000000000004">
      <c r="A118" s="706"/>
      <c r="B118" s="682">
        <v>63115</v>
      </c>
      <c r="C118" s="684"/>
      <c r="D118" s="685"/>
      <c r="E118" s="695"/>
      <c r="F118" s="674">
        <v>1</v>
      </c>
      <c r="G118" s="675" t="s">
        <v>734</v>
      </c>
      <c r="H118" s="676" t="s">
        <v>1571</v>
      </c>
      <c r="I118" s="674">
        <v>2</v>
      </c>
      <c r="J118" s="675" t="s">
        <v>1503</v>
      </c>
      <c r="K118" s="677" t="s">
        <v>1801</v>
      </c>
      <c r="L118" s="674"/>
      <c r="M118" s="680"/>
      <c r="N118" s="1181"/>
      <c r="O118" s="674"/>
      <c r="P118" s="680"/>
      <c r="Q118" s="681"/>
      <c r="R118" s="674"/>
      <c r="S118" s="680"/>
      <c r="T118" s="681"/>
      <c r="U118" s="674"/>
      <c r="V118" s="680"/>
      <c r="W118" s="681"/>
      <c r="X118" s="674"/>
      <c r="Y118" s="680"/>
      <c r="Z118" s="681"/>
      <c r="AA118" s="674"/>
      <c r="AB118" s="680"/>
      <c r="AC118" s="681"/>
      <c r="AD118" s="674"/>
      <c r="AE118" s="680"/>
      <c r="AF118" s="681"/>
      <c r="AG118" s="674"/>
      <c r="AH118" s="680"/>
      <c r="AI118" s="681"/>
      <c r="AJ118" s="674"/>
      <c r="AK118" s="680"/>
      <c r="AL118" s="681"/>
    </row>
    <row r="119" spans="1:38" x14ac:dyDescent="0.55000000000000004">
      <c r="A119" s="706">
        <v>43966</v>
      </c>
      <c r="B119" s="682">
        <v>63116</v>
      </c>
      <c r="C119" s="1367">
        <v>20046538</v>
      </c>
      <c r="D119" s="685" t="s">
        <v>1738</v>
      </c>
      <c r="E119" s="1428" t="s">
        <v>3847</v>
      </c>
      <c r="F119" s="674">
        <v>1</v>
      </c>
      <c r="G119" s="675" t="s">
        <v>1784</v>
      </c>
      <c r="H119" s="676" t="s">
        <v>1574</v>
      </c>
      <c r="I119" s="674"/>
      <c r="J119" s="690"/>
      <c r="K119" s="681"/>
      <c r="L119" s="674"/>
      <c r="M119" s="680"/>
      <c r="N119" s="1181"/>
      <c r="O119" s="674"/>
      <c r="P119" s="680"/>
      <c r="Q119" s="681"/>
      <c r="R119" s="674"/>
      <c r="S119" s="680"/>
      <c r="T119" s="681"/>
      <c r="U119" s="674"/>
      <c r="V119" s="680"/>
      <c r="W119" s="681"/>
      <c r="X119" s="674"/>
      <c r="Y119" s="680"/>
      <c r="Z119" s="681"/>
      <c r="AA119" s="674"/>
      <c r="AB119" s="680"/>
      <c r="AC119" s="681"/>
      <c r="AD119" s="674"/>
      <c r="AE119" s="680"/>
      <c r="AF119" s="681"/>
      <c r="AG119" s="674"/>
      <c r="AH119" s="680"/>
      <c r="AI119" s="681"/>
      <c r="AJ119" s="674"/>
      <c r="AK119" s="680"/>
      <c r="AL119" s="681"/>
    </row>
    <row r="120" spans="1:38" x14ac:dyDescent="0.55000000000000004">
      <c r="A120" s="706">
        <v>43969</v>
      </c>
      <c r="B120" s="682">
        <v>63117</v>
      </c>
      <c r="C120" s="684">
        <v>20046544</v>
      </c>
      <c r="D120" s="685" t="s">
        <v>3384</v>
      </c>
      <c r="E120" s="695"/>
      <c r="F120" s="674">
        <v>1</v>
      </c>
      <c r="G120" s="675" t="s">
        <v>1607</v>
      </c>
      <c r="H120" s="676" t="s">
        <v>1571</v>
      </c>
      <c r="I120" s="674">
        <v>2</v>
      </c>
      <c r="J120" s="675" t="s">
        <v>1503</v>
      </c>
      <c r="K120" s="677" t="s">
        <v>1801</v>
      </c>
      <c r="L120" s="674"/>
      <c r="M120" s="680"/>
      <c r="N120" s="1181"/>
      <c r="O120" s="674"/>
      <c r="P120" s="680"/>
      <c r="Q120" s="681"/>
      <c r="R120" s="674"/>
      <c r="S120" s="680"/>
      <c r="T120" s="681"/>
      <c r="U120" s="674"/>
      <c r="V120" s="680"/>
      <c r="W120" s="681"/>
      <c r="X120" s="674"/>
      <c r="Y120" s="680"/>
      <c r="Z120" s="681"/>
      <c r="AA120" s="674"/>
      <c r="AB120" s="680"/>
      <c r="AC120" s="681"/>
      <c r="AD120" s="674"/>
      <c r="AE120" s="680"/>
      <c r="AF120" s="681"/>
      <c r="AG120" s="674"/>
      <c r="AH120" s="680"/>
      <c r="AI120" s="681"/>
      <c r="AJ120" s="674"/>
      <c r="AK120" s="680"/>
      <c r="AL120" s="681"/>
    </row>
    <row r="121" spans="1:38" x14ac:dyDescent="0.55000000000000004">
      <c r="A121" s="707">
        <v>43970</v>
      </c>
      <c r="B121" s="692">
        <v>63118</v>
      </c>
      <c r="C121" s="672">
        <v>20036527</v>
      </c>
      <c r="D121" s="673" t="s">
        <v>3746</v>
      </c>
      <c r="E121" s="725"/>
      <c r="F121" s="674"/>
      <c r="G121" s="675"/>
      <c r="H121" s="676"/>
      <c r="I121" s="674"/>
      <c r="J121" s="675"/>
      <c r="K121" s="677"/>
      <c r="L121" s="674"/>
      <c r="M121" s="678"/>
      <c r="N121" s="679"/>
      <c r="O121" s="674"/>
      <c r="P121" s="678"/>
      <c r="Q121" s="677"/>
      <c r="R121" s="674"/>
      <c r="S121" s="696"/>
      <c r="T121" s="697"/>
      <c r="U121" s="674"/>
      <c r="V121" s="696"/>
      <c r="W121" s="697"/>
      <c r="X121" s="674"/>
      <c r="Y121" s="696"/>
      <c r="Z121" s="697"/>
      <c r="AA121" s="674"/>
      <c r="AB121" s="696"/>
      <c r="AC121" s="697"/>
      <c r="AD121" s="674"/>
      <c r="AE121" s="696"/>
      <c r="AF121" s="697"/>
      <c r="AG121" s="674"/>
      <c r="AH121" s="696"/>
      <c r="AI121" s="697"/>
      <c r="AJ121" s="674"/>
      <c r="AK121" s="696"/>
      <c r="AL121" s="697"/>
    </row>
    <row r="122" spans="1:38" x14ac:dyDescent="0.55000000000000004">
      <c r="A122" s="707"/>
      <c r="B122" s="698">
        <v>63119</v>
      </c>
      <c r="C122" s="700"/>
      <c r="D122" s="701"/>
      <c r="E122" s="726"/>
      <c r="F122" s="674"/>
      <c r="G122" s="675"/>
      <c r="H122" s="676"/>
      <c r="I122" s="674"/>
      <c r="J122" s="675"/>
      <c r="K122" s="677"/>
      <c r="L122" s="674"/>
      <c r="M122" s="678"/>
      <c r="N122" s="679"/>
      <c r="O122" s="674"/>
      <c r="P122" s="678"/>
      <c r="Q122" s="677"/>
      <c r="R122" s="674"/>
      <c r="S122" s="696"/>
      <c r="T122" s="697"/>
      <c r="U122" s="674"/>
      <c r="V122" s="696"/>
      <c r="W122" s="697"/>
      <c r="X122" s="674"/>
      <c r="Y122" s="696"/>
      <c r="Z122" s="697"/>
      <c r="AA122" s="674"/>
      <c r="AB122" s="696"/>
      <c r="AC122" s="697"/>
      <c r="AD122" s="674"/>
      <c r="AE122" s="696"/>
      <c r="AF122" s="697"/>
      <c r="AG122" s="674"/>
      <c r="AH122" s="696"/>
      <c r="AI122" s="697"/>
      <c r="AJ122" s="674"/>
      <c r="AK122" s="696"/>
      <c r="AL122" s="697"/>
    </row>
    <row r="123" spans="1:38" x14ac:dyDescent="0.55000000000000004">
      <c r="A123" s="707"/>
      <c r="B123" s="703">
        <v>63120</v>
      </c>
      <c r="C123" s="700"/>
      <c r="D123" s="701"/>
      <c r="E123" s="726"/>
      <c r="F123" s="674"/>
      <c r="G123" s="675"/>
      <c r="H123" s="676"/>
      <c r="I123" s="674"/>
      <c r="J123" s="675"/>
      <c r="K123" s="677"/>
      <c r="L123" s="674"/>
      <c r="M123" s="678"/>
      <c r="N123" s="679"/>
      <c r="O123" s="674"/>
      <c r="P123" s="678"/>
      <c r="Q123" s="677"/>
      <c r="R123" s="674"/>
      <c r="S123" s="696"/>
      <c r="T123" s="697"/>
      <c r="U123" s="674"/>
      <c r="V123" s="696"/>
      <c r="W123" s="697"/>
      <c r="X123" s="674"/>
      <c r="Y123" s="696"/>
      <c r="Z123" s="697"/>
      <c r="AA123" s="674"/>
      <c r="AB123" s="696"/>
      <c r="AC123" s="697"/>
      <c r="AD123" s="674"/>
      <c r="AE123" s="696"/>
      <c r="AF123" s="697"/>
      <c r="AG123" s="674"/>
      <c r="AH123" s="696"/>
      <c r="AI123" s="697"/>
      <c r="AJ123" s="674"/>
      <c r="AK123" s="696"/>
      <c r="AL123" s="697"/>
    </row>
    <row r="124" spans="1:38" x14ac:dyDescent="0.55000000000000004">
      <c r="A124" s="707"/>
      <c r="B124" s="698">
        <v>63121</v>
      </c>
      <c r="C124" s="700"/>
      <c r="D124" s="701"/>
      <c r="E124" s="726"/>
      <c r="F124" s="674"/>
      <c r="G124" s="675"/>
      <c r="H124" s="676"/>
      <c r="I124" s="674"/>
      <c r="J124" s="675"/>
      <c r="K124" s="677"/>
      <c r="L124" s="674"/>
      <c r="M124" s="678"/>
      <c r="N124" s="679"/>
      <c r="O124" s="674"/>
      <c r="P124" s="678"/>
      <c r="Q124" s="677"/>
      <c r="R124" s="674"/>
      <c r="S124" s="696"/>
      <c r="T124" s="697"/>
      <c r="U124" s="674"/>
      <c r="V124" s="696"/>
      <c r="W124" s="697"/>
      <c r="X124" s="674"/>
      <c r="Y124" s="696"/>
      <c r="Z124" s="697"/>
      <c r="AA124" s="674"/>
      <c r="AB124" s="696"/>
      <c r="AC124" s="697"/>
      <c r="AD124" s="674"/>
      <c r="AE124" s="696"/>
      <c r="AF124" s="697"/>
      <c r="AG124" s="674"/>
      <c r="AH124" s="696"/>
      <c r="AI124" s="697"/>
      <c r="AJ124" s="674"/>
      <c r="AK124" s="696"/>
      <c r="AL124" s="697"/>
    </row>
    <row r="125" spans="1:38" x14ac:dyDescent="0.55000000000000004">
      <c r="A125" s="706"/>
      <c r="B125" s="683">
        <v>63122</v>
      </c>
      <c r="C125" s="684"/>
      <c r="D125" s="685"/>
      <c r="E125" s="695"/>
      <c r="F125" s="674"/>
      <c r="G125" s="675"/>
      <c r="H125" s="676"/>
      <c r="I125" s="674"/>
      <c r="J125" s="675"/>
      <c r="K125" s="677"/>
      <c r="L125" s="674"/>
      <c r="M125" s="678"/>
      <c r="N125" s="679"/>
      <c r="O125" s="674"/>
      <c r="P125" s="678"/>
      <c r="Q125" s="677"/>
      <c r="R125" s="674"/>
      <c r="S125" s="696"/>
      <c r="T125" s="697"/>
      <c r="U125" s="674"/>
      <c r="V125" s="696"/>
      <c r="W125" s="697"/>
      <c r="X125" s="674"/>
      <c r="Y125" s="696"/>
      <c r="Z125" s="697"/>
      <c r="AA125" s="674"/>
      <c r="AB125" s="696"/>
      <c r="AC125" s="697"/>
      <c r="AD125" s="674"/>
      <c r="AE125" s="696"/>
      <c r="AF125" s="697"/>
      <c r="AG125" s="674"/>
      <c r="AH125" s="696"/>
      <c r="AI125" s="697"/>
      <c r="AJ125" s="674"/>
      <c r="AK125" s="696"/>
      <c r="AL125" s="697"/>
    </row>
    <row r="126" spans="1:38" x14ac:dyDescent="0.55000000000000004">
      <c r="A126" s="670">
        <v>43973</v>
      </c>
      <c r="B126" s="692">
        <v>63123</v>
      </c>
      <c r="C126" s="672">
        <v>20036536</v>
      </c>
      <c r="D126" s="673" t="s">
        <v>3952</v>
      </c>
      <c r="E126" s="725"/>
      <c r="F126" s="674">
        <v>1</v>
      </c>
      <c r="G126" s="675" t="s">
        <v>4059</v>
      </c>
      <c r="H126" s="676" t="s">
        <v>1571</v>
      </c>
      <c r="I126" s="674">
        <v>2</v>
      </c>
      <c r="J126" s="675" t="s">
        <v>1631</v>
      </c>
      <c r="K126" s="677" t="s">
        <v>1575</v>
      </c>
      <c r="L126" s="674">
        <v>3</v>
      </c>
      <c r="M126" s="678" t="s">
        <v>1634</v>
      </c>
      <c r="N126" s="679" t="s">
        <v>1575</v>
      </c>
      <c r="O126" s="674">
        <v>4</v>
      </c>
      <c r="P126" s="678" t="s">
        <v>2940</v>
      </c>
      <c r="Q126" s="677" t="s">
        <v>1574</v>
      </c>
      <c r="R126" s="674">
        <v>5</v>
      </c>
      <c r="S126" s="696" t="s">
        <v>2458</v>
      </c>
      <c r="T126" s="697" t="s">
        <v>1575</v>
      </c>
      <c r="U126" s="674">
        <v>6</v>
      </c>
      <c r="V126" s="696" t="s">
        <v>4060</v>
      </c>
      <c r="W126" s="697" t="s">
        <v>1575</v>
      </c>
      <c r="X126" s="674">
        <v>7</v>
      </c>
      <c r="Y126" s="696" t="s">
        <v>1514</v>
      </c>
      <c r="Z126" s="697" t="s">
        <v>1587</v>
      </c>
      <c r="AA126" s="674">
        <v>8</v>
      </c>
      <c r="AB126" s="696" t="s">
        <v>1503</v>
      </c>
      <c r="AC126" s="697" t="s">
        <v>1632</v>
      </c>
      <c r="AD126" s="674"/>
      <c r="AE126" s="680"/>
      <c r="AF126" s="681"/>
      <c r="AG126" s="674"/>
      <c r="AH126" s="680"/>
      <c r="AI126" s="681"/>
      <c r="AJ126" s="674"/>
      <c r="AK126" s="680"/>
      <c r="AL126" s="681"/>
    </row>
    <row r="127" spans="1:38" x14ac:dyDescent="0.55000000000000004">
      <c r="A127" s="707"/>
      <c r="B127" s="703">
        <v>63124</v>
      </c>
      <c r="C127" s="700"/>
      <c r="D127" s="701"/>
      <c r="E127" s="704"/>
      <c r="F127" s="674">
        <v>1</v>
      </c>
      <c r="G127" s="675" t="s">
        <v>4053</v>
      </c>
      <c r="H127" s="676" t="s">
        <v>1571</v>
      </c>
      <c r="I127" s="674">
        <v>2</v>
      </c>
      <c r="J127" s="675" t="s">
        <v>1634</v>
      </c>
      <c r="K127" s="677" t="s">
        <v>1574</v>
      </c>
      <c r="L127" s="674">
        <v>3</v>
      </c>
      <c r="M127" s="678" t="s">
        <v>1631</v>
      </c>
      <c r="N127" s="679" t="s">
        <v>1574</v>
      </c>
      <c r="O127" s="674">
        <v>4</v>
      </c>
      <c r="P127" s="678" t="s">
        <v>2940</v>
      </c>
      <c r="Q127" s="677" t="s">
        <v>1575</v>
      </c>
      <c r="R127" s="674">
        <v>5</v>
      </c>
      <c r="S127" s="696" t="s">
        <v>2328</v>
      </c>
      <c r="T127" s="697" t="s">
        <v>4054</v>
      </c>
      <c r="U127" s="674">
        <v>6</v>
      </c>
      <c r="V127" s="696" t="s">
        <v>4055</v>
      </c>
      <c r="W127" s="697" t="s">
        <v>1586</v>
      </c>
      <c r="X127" s="674">
        <v>7</v>
      </c>
      <c r="Y127" s="696" t="s">
        <v>4056</v>
      </c>
      <c r="Z127" s="697" t="s">
        <v>4057</v>
      </c>
      <c r="AA127" s="674">
        <v>8</v>
      </c>
      <c r="AB127" s="696" t="s">
        <v>1503</v>
      </c>
      <c r="AC127" s="697" t="s">
        <v>4058</v>
      </c>
      <c r="AD127" s="674"/>
      <c r="AE127" s="680"/>
      <c r="AF127" s="681"/>
      <c r="AG127" s="674"/>
      <c r="AH127" s="680"/>
      <c r="AI127" s="681"/>
      <c r="AJ127" s="674"/>
      <c r="AK127" s="680"/>
      <c r="AL127" s="681"/>
    </row>
    <row r="128" spans="1:38" x14ac:dyDescent="0.55000000000000004">
      <c r="A128" s="706"/>
      <c r="B128" s="682">
        <v>63125</v>
      </c>
      <c r="C128" s="684"/>
      <c r="D128" s="685"/>
      <c r="E128" s="685"/>
      <c r="F128" s="674">
        <v>1</v>
      </c>
      <c r="G128" s="675" t="s">
        <v>3671</v>
      </c>
      <c r="H128" s="676" t="s">
        <v>1571</v>
      </c>
      <c r="I128" s="674">
        <v>2</v>
      </c>
      <c r="J128" s="675" t="s">
        <v>624</v>
      </c>
      <c r="K128" s="677" t="s">
        <v>1571</v>
      </c>
      <c r="L128" s="674">
        <v>3</v>
      </c>
      <c r="M128" s="678" t="s">
        <v>1634</v>
      </c>
      <c r="N128" s="679" t="s">
        <v>1575</v>
      </c>
      <c r="O128" s="674">
        <v>4</v>
      </c>
      <c r="P128" s="678" t="s">
        <v>1631</v>
      </c>
      <c r="Q128" s="677" t="s">
        <v>1574</v>
      </c>
      <c r="R128" s="674">
        <v>5</v>
      </c>
      <c r="S128" s="696" t="s">
        <v>1507</v>
      </c>
      <c r="T128" s="697" t="s">
        <v>1575</v>
      </c>
      <c r="U128" s="674">
        <v>6</v>
      </c>
      <c r="V128" s="696" t="s">
        <v>1503</v>
      </c>
      <c r="W128" s="697" t="s">
        <v>1585</v>
      </c>
      <c r="X128" s="674"/>
      <c r="Y128" s="680"/>
      <c r="Z128" s="681"/>
      <c r="AA128" s="674"/>
      <c r="AB128" s="680"/>
      <c r="AC128" s="681"/>
      <c r="AD128" s="674"/>
      <c r="AE128" s="680"/>
      <c r="AF128" s="681"/>
      <c r="AG128" s="674"/>
      <c r="AH128" s="680"/>
      <c r="AI128" s="681"/>
      <c r="AJ128" s="674"/>
      <c r="AK128" s="680"/>
      <c r="AL128" s="681"/>
    </row>
    <row r="129" spans="1:38" x14ac:dyDescent="0.55000000000000004">
      <c r="A129" s="670">
        <v>43976</v>
      </c>
      <c r="B129" s="692">
        <v>63126</v>
      </c>
      <c r="C129" s="672">
        <v>20056561</v>
      </c>
      <c r="D129" s="673" t="s">
        <v>3965</v>
      </c>
      <c r="E129" s="693"/>
      <c r="F129" s="674">
        <v>1</v>
      </c>
      <c r="G129" s="675" t="s">
        <v>3827</v>
      </c>
      <c r="H129" s="676" t="s">
        <v>1571</v>
      </c>
      <c r="I129" s="674">
        <v>2</v>
      </c>
      <c r="J129" s="675" t="s">
        <v>769</v>
      </c>
      <c r="K129" s="677" t="s">
        <v>1571</v>
      </c>
      <c r="L129" s="674">
        <v>3</v>
      </c>
      <c r="M129" s="678" t="s">
        <v>1634</v>
      </c>
      <c r="N129" s="679" t="s">
        <v>1574</v>
      </c>
      <c r="O129" s="674">
        <v>4</v>
      </c>
      <c r="P129" s="678" t="s">
        <v>1507</v>
      </c>
      <c r="Q129" s="677" t="s">
        <v>1575</v>
      </c>
      <c r="R129" s="674">
        <v>5</v>
      </c>
      <c r="S129" s="696" t="s">
        <v>1498</v>
      </c>
      <c r="T129" s="697" t="s">
        <v>2451</v>
      </c>
      <c r="U129" s="674">
        <v>6</v>
      </c>
      <c r="V129" s="696" t="s">
        <v>1503</v>
      </c>
      <c r="W129" s="697" t="s">
        <v>1632</v>
      </c>
      <c r="X129" s="674"/>
      <c r="Y129" s="680"/>
      <c r="Z129" s="681"/>
      <c r="AA129" s="674"/>
      <c r="AB129" s="680"/>
      <c r="AC129" s="681"/>
      <c r="AD129" s="674"/>
      <c r="AE129" s="680"/>
      <c r="AF129" s="681"/>
      <c r="AG129" s="674"/>
      <c r="AH129" s="680"/>
      <c r="AI129" s="681"/>
      <c r="AJ129" s="674"/>
      <c r="AK129" s="680"/>
      <c r="AL129" s="681"/>
    </row>
    <row r="130" spans="1:38" x14ac:dyDescent="0.55000000000000004">
      <c r="A130" s="707"/>
      <c r="B130" s="703">
        <v>63127</v>
      </c>
      <c r="C130" s="700"/>
      <c r="D130" s="701"/>
      <c r="E130" s="704"/>
      <c r="F130" s="674">
        <v>1</v>
      </c>
      <c r="G130" s="675" t="s">
        <v>3827</v>
      </c>
      <c r="H130" s="676" t="s">
        <v>1571</v>
      </c>
      <c r="I130" s="674">
        <v>2</v>
      </c>
      <c r="J130" s="675" t="s">
        <v>769</v>
      </c>
      <c r="K130" s="677" t="s">
        <v>1571</v>
      </c>
      <c r="L130" s="674">
        <v>3</v>
      </c>
      <c r="M130" s="678" t="s">
        <v>1634</v>
      </c>
      <c r="N130" s="679" t="s">
        <v>1574</v>
      </c>
      <c r="O130" s="674">
        <v>4</v>
      </c>
      <c r="P130" s="678" t="s">
        <v>1507</v>
      </c>
      <c r="Q130" s="677" t="s">
        <v>1575</v>
      </c>
      <c r="R130" s="674">
        <v>5</v>
      </c>
      <c r="S130" s="696" t="s">
        <v>1498</v>
      </c>
      <c r="T130" s="697" t="s">
        <v>2451</v>
      </c>
      <c r="U130" s="674">
        <v>6</v>
      </c>
      <c r="V130" s="696" t="s">
        <v>1503</v>
      </c>
      <c r="W130" s="697" t="s">
        <v>1632</v>
      </c>
      <c r="X130" s="674"/>
      <c r="Y130" s="680"/>
      <c r="Z130" s="681"/>
      <c r="AA130" s="674"/>
      <c r="AB130" s="680"/>
      <c r="AC130" s="681"/>
      <c r="AD130" s="674"/>
      <c r="AE130" s="680"/>
      <c r="AF130" s="681"/>
      <c r="AG130" s="674"/>
      <c r="AH130" s="680"/>
      <c r="AI130" s="681"/>
      <c r="AJ130" s="674"/>
      <c r="AK130" s="680"/>
      <c r="AL130" s="681"/>
    </row>
    <row r="131" spans="1:38" x14ac:dyDescent="0.55000000000000004">
      <c r="A131" s="706"/>
      <c r="B131" s="682">
        <v>63128</v>
      </c>
      <c r="C131" s="684"/>
      <c r="D131" s="685"/>
      <c r="E131" s="685"/>
      <c r="F131" s="674">
        <v>1</v>
      </c>
      <c r="G131" s="675" t="s">
        <v>2573</v>
      </c>
      <c r="H131" s="676" t="s">
        <v>1579</v>
      </c>
      <c r="I131" s="674">
        <v>2</v>
      </c>
      <c r="J131" s="675" t="s">
        <v>1634</v>
      </c>
      <c r="K131" s="677" t="s">
        <v>1583</v>
      </c>
      <c r="L131" s="674">
        <v>3</v>
      </c>
      <c r="M131" s="678" t="s">
        <v>1507</v>
      </c>
      <c r="N131" s="679" t="s">
        <v>1583</v>
      </c>
      <c r="O131" s="674">
        <v>4</v>
      </c>
      <c r="P131" s="678" t="s">
        <v>1498</v>
      </c>
      <c r="Q131" s="677" t="s">
        <v>1590</v>
      </c>
      <c r="R131" s="674"/>
      <c r="S131" s="680"/>
      <c r="T131" s="681"/>
      <c r="U131" s="674"/>
      <c r="V131" s="680"/>
      <c r="W131" s="681"/>
      <c r="X131" s="674"/>
      <c r="Y131" s="680"/>
      <c r="Z131" s="681"/>
      <c r="AA131" s="674"/>
      <c r="AB131" s="680"/>
      <c r="AC131" s="681"/>
      <c r="AD131" s="674"/>
      <c r="AE131" s="680"/>
      <c r="AF131" s="681"/>
      <c r="AG131" s="674"/>
      <c r="AH131" s="680"/>
      <c r="AI131" s="681"/>
      <c r="AJ131" s="674"/>
      <c r="AK131" s="680"/>
      <c r="AL131" s="681"/>
    </row>
    <row r="132" spans="1:38" x14ac:dyDescent="0.55000000000000004">
      <c r="A132" s="706">
        <v>43977</v>
      </c>
      <c r="B132" s="682">
        <v>63129</v>
      </c>
      <c r="C132" s="684"/>
      <c r="D132" s="685" t="s">
        <v>3586</v>
      </c>
      <c r="E132" s="685" t="s">
        <v>3737</v>
      </c>
      <c r="F132" s="674"/>
      <c r="G132" s="675"/>
      <c r="H132" s="676"/>
      <c r="I132" s="674"/>
      <c r="J132" s="675"/>
      <c r="K132" s="677"/>
      <c r="L132" s="674"/>
      <c r="M132" s="678"/>
      <c r="N132" s="679"/>
      <c r="O132" s="674"/>
      <c r="P132" s="678"/>
      <c r="Q132" s="677"/>
      <c r="R132" s="674"/>
      <c r="S132" s="696"/>
      <c r="T132" s="697"/>
      <c r="U132" s="674"/>
      <c r="V132" s="696"/>
      <c r="W132" s="697"/>
      <c r="X132" s="674"/>
      <c r="Y132" s="696"/>
      <c r="Z132" s="697"/>
      <c r="AA132" s="674"/>
      <c r="AB132" s="696"/>
      <c r="AC132" s="697"/>
      <c r="AD132" s="674"/>
      <c r="AE132" s="696"/>
      <c r="AF132" s="697"/>
      <c r="AG132" s="674"/>
      <c r="AH132" s="696"/>
      <c r="AI132" s="697"/>
      <c r="AJ132" s="674"/>
      <c r="AK132" s="696"/>
      <c r="AL132" s="697"/>
    </row>
    <row r="133" spans="1:38" x14ac:dyDescent="0.55000000000000004">
      <c r="A133" s="707">
        <v>43979</v>
      </c>
      <c r="B133" s="692">
        <v>63130</v>
      </c>
      <c r="C133" s="672">
        <v>20046545</v>
      </c>
      <c r="D133" s="673" t="s">
        <v>3966</v>
      </c>
      <c r="E133" s="693"/>
      <c r="F133" s="674">
        <v>1</v>
      </c>
      <c r="G133" s="675" t="s">
        <v>3719</v>
      </c>
      <c r="H133" s="676" t="s">
        <v>1571</v>
      </c>
      <c r="I133" s="674"/>
      <c r="J133" s="690"/>
      <c r="K133" s="681"/>
      <c r="L133" s="674"/>
      <c r="M133" s="680"/>
      <c r="N133" s="1181"/>
      <c r="O133" s="674"/>
      <c r="P133" s="680"/>
      <c r="Q133" s="681"/>
      <c r="R133" s="674"/>
      <c r="S133" s="680"/>
      <c r="T133" s="681"/>
      <c r="U133" s="674"/>
      <c r="V133" s="680"/>
      <c r="W133" s="681"/>
      <c r="X133" s="674"/>
      <c r="Y133" s="680"/>
      <c r="Z133" s="681"/>
      <c r="AA133" s="674"/>
      <c r="AB133" s="680"/>
      <c r="AC133" s="681"/>
      <c r="AD133" s="674"/>
      <c r="AE133" s="680"/>
      <c r="AF133" s="681"/>
      <c r="AG133" s="674"/>
      <c r="AH133" s="680"/>
      <c r="AI133" s="681"/>
      <c r="AJ133" s="674"/>
      <c r="AK133" s="680"/>
      <c r="AL133" s="681"/>
    </row>
    <row r="134" spans="1:38" x14ac:dyDescent="0.55000000000000004">
      <c r="A134" s="706"/>
      <c r="B134" s="682">
        <v>63131</v>
      </c>
      <c r="C134" s="684"/>
      <c r="D134" s="685"/>
      <c r="E134" s="685"/>
      <c r="F134" s="674">
        <v>1</v>
      </c>
      <c r="G134" s="675" t="s">
        <v>3719</v>
      </c>
      <c r="H134" s="676" t="s">
        <v>1571</v>
      </c>
      <c r="I134" s="674"/>
      <c r="J134" s="690"/>
      <c r="K134" s="681"/>
      <c r="L134" s="674"/>
      <c r="M134" s="680"/>
      <c r="N134" s="1181"/>
      <c r="O134" s="674"/>
      <c r="P134" s="680"/>
      <c r="Q134" s="681"/>
      <c r="R134" s="674"/>
      <c r="S134" s="680"/>
      <c r="T134" s="681"/>
      <c r="U134" s="674"/>
      <c r="V134" s="680"/>
      <c r="W134" s="681"/>
      <c r="X134" s="674"/>
      <c r="Y134" s="680"/>
      <c r="Z134" s="681"/>
      <c r="AA134" s="674"/>
      <c r="AB134" s="680"/>
      <c r="AC134" s="681"/>
      <c r="AD134" s="674"/>
      <c r="AE134" s="680"/>
      <c r="AF134" s="681"/>
      <c r="AG134" s="674"/>
      <c r="AH134" s="680"/>
      <c r="AI134" s="681"/>
      <c r="AJ134" s="674"/>
      <c r="AK134" s="680"/>
      <c r="AL134" s="681"/>
    </row>
    <row r="135" spans="1:38" x14ac:dyDescent="0.55000000000000004">
      <c r="A135" s="706">
        <v>43983</v>
      </c>
      <c r="B135" s="682">
        <v>63132</v>
      </c>
      <c r="C135" s="684">
        <v>20056575</v>
      </c>
      <c r="D135" s="685" t="s">
        <v>1624</v>
      </c>
      <c r="E135" s="685"/>
      <c r="F135" s="674">
        <v>1</v>
      </c>
      <c r="G135" s="675" t="s">
        <v>3867</v>
      </c>
      <c r="H135" s="676" t="s">
        <v>1571</v>
      </c>
      <c r="I135" s="674">
        <v>2</v>
      </c>
      <c r="J135" s="675" t="s">
        <v>1511</v>
      </c>
      <c r="K135" s="677" t="s">
        <v>1583</v>
      </c>
      <c r="L135" s="674">
        <v>3</v>
      </c>
      <c r="M135" s="678" t="s">
        <v>1502</v>
      </c>
      <c r="N135" s="679" t="s">
        <v>1575</v>
      </c>
      <c r="O135" s="674">
        <v>4</v>
      </c>
      <c r="P135" s="678" t="s">
        <v>1498</v>
      </c>
      <c r="Q135" s="677" t="s">
        <v>4052</v>
      </c>
      <c r="R135" s="674">
        <v>5</v>
      </c>
      <c r="S135" s="696" t="s">
        <v>1503</v>
      </c>
      <c r="T135" s="697" t="s">
        <v>1801</v>
      </c>
      <c r="U135" s="674"/>
      <c r="V135" s="680"/>
      <c r="W135" s="681"/>
      <c r="X135" s="674"/>
      <c r="Y135" s="680"/>
      <c r="Z135" s="681"/>
      <c r="AA135" s="674"/>
      <c r="AB135" s="680"/>
      <c r="AC135" s="681"/>
      <c r="AD135" s="674"/>
      <c r="AE135" s="680"/>
      <c r="AF135" s="681"/>
      <c r="AG135" s="674"/>
      <c r="AH135" s="680"/>
      <c r="AI135" s="681"/>
      <c r="AJ135" s="674"/>
      <c r="AK135" s="680"/>
      <c r="AL135" s="681"/>
    </row>
    <row r="136" spans="1:38" x14ac:dyDescent="0.55000000000000004">
      <c r="A136" s="706">
        <v>43983</v>
      </c>
      <c r="B136" s="682">
        <v>63133</v>
      </c>
      <c r="C136" s="684">
        <v>20056556</v>
      </c>
      <c r="D136" s="685" t="s">
        <v>1926</v>
      </c>
      <c r="E136" s="685"/>
      <c r="F136" s="674">
        <v>1</v>
      </c>
      <c r="G136" s="675" t="s">
        <v>3981</v>
      </c>
      <c r="H136" s="676" t="s">
        <v>1579</v>
      </c>
      <c r="I136" s="674"/>
      <c r="J136" s="690"/>
      <c r="K136" s="681"/>
      <c r="L136" s="674"/>
      <c r="M136" s="680"/>
      <c r="N136" s="1181"/>
      <c r="O136" s="674"/>
      <c r="P136" s="680"/>
      <c r="Q136" s="681"/>
      <c r="R136" s="674"/>
      <c r="S136" s="680"/>
      <c r="T136" s="681"/>
      <c r="U136" s="674"/>
      <c r="V136" s="680"/>
      <c r="W136" s="681"/>
      <c r="X136" s="674"/>
      <c r="Y136" s="680"/>
      <c r="Z136" s="681"/>
      <c r="AA136" s="674"/>
      <c r="AB136" s="680"/>
      <c r="AC136" s="681"/>
      <c r="AD136" s="674"/>
      <c r="AE136" s="680"/>
      <c r="AF136" s="681"/>
      <c r="AG136" s="674"/>
      <c r="AH136" s="680"/>
      <c r="AI136" s="681"/>
      <c r="AJ136" s="674"/>
      <c r="AK136" s="680"/>
      <c r="AL136" s="681"/>
    </row>
    <row r="137" spans="1:38" x14ac:dyDescent="0.55000000000000004">
      <c r="A137" s="707">
        <v>43986</v>
      </c>
      <c r="B137" s="692">
        <v>63134</v>
      </c>
      <c r="C137" s="672">
        <v>20056574</v>
      </c>
      <c r="D137" s="673" t="s">
        <v>3967</v>
      </c>
      <c r="E137" s="693"/>
      <c r="F137" s="674">
        <v>1</v>
      </c>
      <c r="G137" s="675" t="s">
        <v>1316</v>
      </c>
      <c r="H137" s="676" t="s">
        <v>1571</v>
      </c>
      <c r="I137" s="674">
        <v>2</v>
      </c>
      <c r="J137" s="675" t="s">
        <v>716</v>
      </c>
      <c r="K137" s="677" t="s">
        <v>1571</v>
      </c>
      <c r="L137" s="674">
        <v>3</v>
      </c>
      <c r="M137" s="678" t="s">
        <v>1634</v>
      </c>
      <c r="N137" s="679" t="s">
        <v>1578</v>
      </c>
      <c r="O137" s="674">
        <v>4</v>
      </c>
      <c r="P137" s="678" t="s">
        <v>1507</v>
      </c>
      <c r="Q137" s="677" t="s">
        <v>1575</v>
      </c>
      <c r="R137" s="674">
        <v>5</v>
      </c>
      <c r="S137" s="696" t="s">
        <v>1502</v>
      </c>
      <c r="T137" s="697" t="s">
        <v>1575</v>
      </c>
      <c r="U137" s="674">
        <v>6</v>
      </c>
      <c r="V137" s="696" t="s">
        <v>1498</v>
      </c>
      <c r="W137" s="697" t="s">
        <v>3982</v>
      </c>
      <c r="X137" s="674">
        <v>7</v>
      </c>
      <c r="Y137" s="696" t="s">
        <v>3398</v>
      </c>
      <c r="Z137" s="697" t="s">
        <v>1575</v>
      </c>
      <c r="AA137" s="674"/>
      <c r="AB137" s="680"/>
      <c r="AC137" s="681"/>
      <c r="AD137" s="674"/>
      <c r="AE137" s="680"/>
      <c r="AF137" s="681"/>
      <c r="AG137" s="674"/>
      <c r="AH137" s="680"/>
      <c r="AI137" s="681"/>
      <c r="AJ137" s="674"/>
      <c r="AK137" s="680"/>
      <c r="AL137" s="681"/>
    </row>
    <row r="138" spans="1:38" x14ac:dyDescent="0.55000000000000004">
      <c r="A138" s="706"/>
      <c r="B138" s="682">
        <v>63135</v>
      </c>
      <c r="C138" s="684"/>
      <c r="D138" s="685"/>
      <c r="E138" s="685"/>
      <c r="F138" s="674">
        <v>1</v>
      </c>
      <c r="G138" s="675" t="s">
        <v>1316</v>
      </c>
      <c r="H138" s="676" t="s">
        <v>1571</v>
      </c>
      <c r="I138" s="674">
        <v>2</v>
      </c>
      <c r="J138" s="675" t="s">
        <v>716</v>
      </c>
      <c r="K138" s="677" t="s">
        <v>1571</v>
      </c>
      <c r="L138" s="674">
        <v>3</v>
      </c>
      <c r="M138" s="678" t="s">
        <v>1634</v>
      </c>
      <c r="N138" s="679" t="s">
        <v>1578</v>
      </c>
      <c r="O138" s="674">
        <v>4</v>
      </c>
      <c r="P138" s="678" t="s">
        <v>1507</v>
      </c>
      <c r="Q138" s="677" t="s">
        <v>1575</v>
      </c>
      <c r="R138" s="674">
        <v>5</v>
      </c>
      <c r="S138" s="696" t="s">
        <v>1502</v>
      </c>
      <c r="T138" s="697" t="s">
        <v>1575</v>
      </c>
      <c r="U138" s="674">
        <v>6</v>
      </c>
      <c r="V138" s="696" t="s">
        <v>1498</v>
      </c>
      <c r="W138" s="697" t="s">
        <v>3982</v>
      </c>
      <c r="X138" s="674">
        <v>7</v>
      </c>
      <c r="Y138" s="696" t="s">
        <v>3398</v>
      </c>
      <c r="Z138" s="697" t="s">
        <v>1575</v>
      </c>
      <c r="AA138" s="674"/>
      <c r="AB138" s="680"/>
      <c r="AC138" s="681"/>
      <c r="AD138" s="674"/>
      <c r="AE138" s="680"/>
      <c r="AF138" s="681"/>
      <c r="AG138" s="674"/>
      <c r="AH138" s="680"/>
      <c r="AI138" s="681"/>
      <c r="AJ138" s="674"/>
      <c r="AK138" s="680"/>
      <c r="AL138" s="681"/>
    </row>
    <row r="139" spans="1:38" x14ac:dyDescent="0.55000000000000004">
      <c r="A139" s="706">
        <v>43986</v>
      </c>
      <c r="B139" s="682">
        <v>63136</v>
      </c>
      <c r="C139" s="745"/>
      <c r="D139" s="685" t="s">
        <v>2670</v>
      </c>
      <c r="E139" s="685" t="s">
        <v>3968</v>
      </c>
      <c r="F139" s="674">
        <v>1</v>
      </c>
      <c r="G139" s="675" t="s">
        <v>548</v>
      </c>
      <c r="H139" s="676" t="s">
        <v>1574</v>
      </c>
      <c r="I139" s="674"/>
      <c r="J139" s="690"/>
      <c r="K139" s="681"/>
      <c r="L139" s="674"/>
      <c r="M139" s="680"/>
      <c r="N139" s="1181"/>
      <c r="O139" s="674"/>
      <c r="P139" s="680"/>
      <c r="Q139" s="681"/>
      <c r="R139" s="674"/>
      <c r="S139" s="680"/>
      <c r="T139" s="681"/>
      <c r="U139" s="674"/>
      <c r="V139" s="680"/>
      <c r="W139" s="681"/>
      <c r="X139" s="674"/>
      <c r="Y139" s="680"/>
      <c r="Z139" s="681"/>
      <c r="AA139" s="674"/>
      <c r="AB139" s="680"/>
      <c r="AC139" s="681"/>
      <c r="AD139" s="674"/>
      <c r="AE139" s="680"/>
      <c r="AF139" s="681"/>
      <c r="AG139" s="674"/>
      <c r="AH139" s="680"/>
      <c r="AI139" s="681"/>
      <c r="AJ139" s="674"/>
      <c r="AK139" s="680"/>
      <c r="AL139" s="681"/>
    </row>
    <row r="140" spans="1:38" x14ac:dyDescent="0.55000000000000004">
      <c r="A140" s="706">
        <v>43987</v>
      </c>
      <c r="B140" s="682">
        <v>63137</v>
      </c>
      <c r="C140" s="684">
        <v>20056566</v>
      </c>
      <c r="D140" s="685" t="s">
        <v>3966</v>
      </c>
      <c r="E140" s="685"/>
      <c r="F140" s="674">
        <v>1</v>
      </c>
      <c r="G140" s="675" t="s">
        <v>3874</v>
      </c>
      <c r="H140" s="676" t="s">
        <v>1571</v>
      </c>
      <c r="I140" s="674">
        <v>2</v>
      </c>
      <c r="J140" s="675" t="s">
        <v>830</v>
      </c>
      <c r="K140" s="677" t="s">
        <v>1571</v>
      </c>
      <c r="L140" s="674">
        <v>3</v>
      </c>
      <c r="M140" s="678" t="s">
        <v>1631</v>
      </c>
      <c r="N140" s="679" t="s">
        <v>1575</v>
      </c>
      <c r="O140" s="674">
        <v>4</v>
      </c>
      <c r="P140" s="678" t="s">
        <v>1634</v>
      </c>
      <c r="Q140" s="677" t="s">
        <v>1586</v>
      </c>
      <c r="R140" s="674">
        <v>5</v>
      </c>
      <c r="S140" s="696" t="s">
        <v>1507</v>
      </c>
      <c r="T140" s="697" t="s">
        <v>1575</v>
      </c>
      <c r="U140" s="674">
        <v>6</v>
      </c>
      <c r="V140" s="696" t="s">
        <v>1498</v>
      </c>
      <c r="W140" s="697" t="s">
        <v>3100</v>
      </c>
      <c r="X140" s="674">
        <v>7</v>
      </c>
      <c r="Y140" s="696" t="s">
        <v>1503</v>
      </c>
      <c r="Z140" s="697" t="s">
        <v>1801</v>
      </c>
      <c r="AA140" s="674"/>
      <c r="AB140" s="680"/>
      <c r="AC140" s="681"/>
      <c r="AD140" s="674"/>
      <c r="AE140" s="680"/>
      <c r="AF140" s="681"/>
      <c r="AG140" s="674"/>
      <c r="AH140" s="680"/>
      <c r="AI140" s="681"/>
      <c r="AJ140" s="674"/>
      <c r="AK140" s="680"/>
      <c r="AL140" s="681"/>
    </row>
    <row r="141" spans="1:38" x14ac:dyDescent="0.55000000000000004">
      <c r="A141" s="707">
        <v>43987</v>
      </c>
      <c r="B141" s="692">
        <v>63138</v>
      </c>
      <c r="C141" s="672">
        <v>20056568</v>
      </c>
      <c r="D141" s="673" t="s">
        <v>1625</v>
      </c>
      <c r="E141" s="693"/>
      <c r="F141" s="674">
        <v>1</v>
      </c>
      <c r="G141" s="675" t="s">
        <v>2138</v>
      </c>
      <c r="H141" s="676" t="s">
        <v>1571</v>
      </c>
      <c r="I141" s="674">
        <v>2</v>
      </c>
      <c r="J141" s="675" t="s">
        <v>1634</v>
      </c>
      <c r="K141" s="677" t="s">
        <v>1574</v>
      </c>
      <c r="L141" s="674">
        <v>3</v>
      </c>
      <c r="M141" s="678" t="s">
        <v>1502</v>
      </c>
      <c r="N141" s="679" t="s">
        <v>1575</v>
      </c>
      <c r="O141" s="674">
        <v>4</v>
      </c>
      <c r="P141" s="678" t="s">
        <v>1498</v>
      </c>
      <c r="Q141" s="677" t="s">
        <v>3101</v>
      </c>
      <c r="R141" s="674">
        <v>4</v>
      </c>
      <c r="S141" s="696" t="s">
        <v>1784</v>
      </c>
      <c r="T141" s="697" t="s">
        <v>1575</v>
      </c>
      <c r="U141" s="674"/>
      <c r="V141" s="680"/>
      <c r="W141" s="681"/>
      <c r="X141" s="674"/>
      <c r="Y141" s="680"/>
      <c r="Z141" s="681"/>
      <c r="AA141" s="674"/>
      <c r="AB141" s="680"/>
      <c r="AC141" s="681"/>
      <c r="AD141" s="674"/>
      <c r="AE141" s="680"/>
      <c r="AF141" s="681"/>
      <c r="AG141" s="674"/>
      <c r="AH141" s="680"/>
      <c r="AI141" s="681"/>
      <c r="AJ141" s="674"/>
      <c r="AK141" s="680"/>
      <c r="AL141" s="681"/>
    </row>
    <row r="142" spans="1:38" x14ac:dyDescent="0.55000000000000004">
      <c r="A142" s="706"/>
      <c r="B142" s="682">
        <v>63139</v>
      </c>
      <c r="C142" s="684"/>
      <c r="D142" s="685"/>
      <c r="E142" s="685"/>
      <c r="F142" s="674">
        <v>1</v>
      </c>
      <c r="G142" s="675" t="s">
        <v>2135</v>
      </c>
      <c r="H142" s="676" t="s">
        <v>1571</v>
      </c>
      <c r="I142" s="674">
        <v>2</v>
      </c>
      <c r="J142" s="675" t="s">
        <v>1634</v>
      </c>
      <c r="K142" s="677" t="s">
        <v>1574</v>
      </c>
      <c r="L142" s="674">
        <v>3</v>
      </c>
      <c r="M142" s="678" t="s">
        <v>1507</v>
      </c>
      <c r="N142" s="679" t="s">
        <v>1575</v>
      </c>
      <c r="O142" s="674">
        <v>4</v>
      </c>
      <c r="P142" s="678" t="s">
        <v>1498</v>
      </c>
      <c r="Q142" s="677" t="s">
        <v>2451</v>
      </c>
      <c r="R142" s="674">
        <v>5</v>
      </c>
      <c r="S142" s="696" t="s">
        <v>3102</v>
      </c>
      <c r="T142" s="697" t="s">
        <v>1586</v>
      </c>
      <c r="U142" s="674"/>
      <c r="V142" s="680"/>
      <c r="W142" s="681"/>
      <c r="X142" s="674"/>
      <c r="Y142" s="680"/>
      <c r="Z142" s="681"/>
      <c r="AA142" s="674"/>
      <c r="AB142" s="680"/>
      <c r="AC142" s="681"/>
      <c r="AD142" s="674"/>
      <c r="AE142" s="680"/>
      <c r="AF142" s="681"/>
      <c r="AG142" s="674"/>
      <c r="AH142" s="680"/>
      <c r="AI142" s="681"/>
      <c r="AJ142" s="674"/>
      <c r="AK142" s="680"/>
      <c r="AL142" s="681"/>
    </row>
    <row r="143" spans="1:38" x14ac:dyDescent="0.55000000000000004">
      <c r="A143" s="706">
        <v>43987</v>
      </c>
      <c r="B143" s="682">
        <v>63140</v>
      </c>
      <c r="C143" s="745"/>
      <c r="D143" s="685" t="s">
        <v>3969</v>
      </c>
      <c r="E143" s="685" t="s">
        <v>3970</v>
      </c>
      <c r="F143" s="674">
        <v>1</v>
      </c>
      <c r="G143" s="675" t="s">
        <v>650</v>
      </c>
      <c r="H143" s="676" t="s">
        <v>1579</v>
      </c>
      <c r="I143" s="674">
        <v>2</v>
      </c>
      <c r="J143" s="675" t="s">
        <v>712</v>
      </c>
      <c r="K143" s="677" t="s">
        <v>1797</v>
      </c>
      <c r="L143" s="674">
        <v>3</v>
      </c>
      <c r="M143" s="678" t="s">
        <v>1634</v>
      </c>
      <c r="N143" s="679" t="s">
        <v>1575</v>
      </c>
      <c r="O143" s="674">
        <v>4</v>
      </c>
      <c r="P143" s="678" t="s">
        <v>1507</v>
      </c>
      <c r="Q143" s="677" t="s">
        <v>1583</v>
      </c>
      <c r="R143" s="674">
        <v>5</v>
      </c>
      <c r="S143" s="696" t="s">
        <v>1498</v>
      </c>
      <c r="T143" s="697" t="s">
        <v>2450</v>
      </c>
      <c r="U143" s="674"/>
      <c r="V143" s="680"/>
      <c r="W143" s="681"/>
      <c r="X143" s="674"/>
      <c r="Y143" s="680"/>
      <c r="Z143" s="681"/>
      <c r="AA143" s="674"/>
      <c r="AB143" s="680"/>
      <c r="AC143" s="681"/>
      <c r="AD143" s="674"/>
      <c r="AE143" s="680"/>
      <c r="AF143" s="681"/>
      <c r="AG143" s="674"/>
      <c r="AH143" s="680"/>
      <c r="AI143" s="681"/>
      <c r="AJ143" s="674"/>
      <c r="AK143" s="680"/>
      <c r="AL143" s="681"/>
    </row>
    <row r="144" spans="1:38" x14ac:dyDescent="0.55000000000000004">
      <c r="A144" s="706">
        <v>43991</v>
      </c>
      <c r="B144" s="682">
        <v>63141</v>
      </c>
      <c r="C144" s="1180" t="s">
        <v>3779</v>
      </c>
      <c r="D144" s="685" t="s">
        <v>3780</v>
      </c>
      <c r="E144" s="685"/>
      <c r="F144" s="674">
        <v>1</v>
      </c>
      <c r="G144" s="675" t="s">
        <v>3781</v>
      </c>
      <c r="H144" s="676" t="s">
        <v>1579</v>
      </c>
      <c r="I144" s="674"/>
      <c r="J144" s="690"/>
      <c r="K144" s="681"/>
      <c r="L144" s="674"/>
      <c r="M144" s="680"/>
      <c r="N144" s="1181"/>
      <c r="O144" s="674"/>
      <c r="P144" s="680"/>
      <c r="Q144" s="681"/>
      <c r="R144" s="674"/>
      <c r="S144" s="680"/>
      <c r="T144" s="681"/>
      <c r="U144" s="674"/>
      <c r="V144" s="680"/>
      <c r="W144" s="681"/>
      <c r="X144" s="674"/>
      <c r="Y144" s="680"/>
      <c r="Z144" s="681"/>
      <c r="AA144" s="674"/>
      <c r="AB144" s="680"/>
      <c r="AC144" s="681"/>
      <c r="AD144" s="674"/>
      <c r="AE144" s="680"/>
      <c r="AF144" s="681"/>
      <c r="AG144" s="674"/>
      <c r="AH144" s="680"/>
      <c r="AI144" s="681"/>
      <c r="AJ144" s="674"/>
      <c r="AK144" s="680"/>
      <c r="AL144" s="681"/>
    </row>
    <row r="145" spans="1:38" x14ac:dyDescent="0.55000000000000004">
      <c r="A145" s="707">
        <v>43991</v>
      </c>
      <c r="B145" s="692">
        <v>63142</v>
      </c>
      <c r="C145" s="672">
        <v>20056559</v>
      </c>
      <c r="D145" s="673" t="s">
        <v>3971</v>
      </c>
      <c r="E145" s="693"/>
      <c r="F145" s="674">
        <v>1</v>
      </c>
      <c r="G145" s="675" t="s">
        <v>815</v>
      </c>
      <c r="H145" s="676" t="s">
        <v>1571</v>
      </c>
      <c r="I145" s="674">
        <v>2</v>
      </c>
      <c r="J145" s="675" t="s">
        <v>1503</v>
      </c>
      <c r="K145" s="677" t="s">
        <v>1632</v>
      </c>
      <c r="L145" s="674"/>
      <c r="M145" s="680"/>
      <c r="N145" s="1181"/>
      <c r="O145" s="674"/>
      <c r="P145" s="680"/>
      <c r="Q145" s="681"/>
      <c r="R145" s="674"/>
      <c r="S145" s="680"/>
      <c r="T145" s="681"/>
      <c r="U145" s="674"/>
      <c r="V145" s="680"/>
      <c r="W145" s="681"/>
      <c r="X145" s="674"/>
      <c r="Y145" s="680"/>
      <c r="Z145" s="681"/>
      <c r="AA145" s="674"/>
      <c r="AB145" s="680"/>
      <c r="AC145" s="681"/>
      <c r="AD145" s="674"/>
      <c r="AE145" s="680"/>
      <c r="AF145" s="681"/>
      <c r="AG145" s="674"/>
      <c r="AH145" s="680"/>
      <c r="AI145" s="681"/>
      <c r="AJ145" s="674"/>
      <c r="AK145" s="680"/>
      <c r="AL145" s="681"/>
    </row>
    <row r="146" spans="1:38" x14ac:dyDescent="0.55000000000000004">
      <c r="A146" s="706"/>
      <c r="B146" s="682">
        <v>63143</v>
      </c>
      <c r="C146" s="684"/>
      <c r="D146" s="685"/>
      <c r="E146" s="685"/>
      <c r="F146" s="674">
        <v>1</v>
      </c>
      <c r="G146" s="675" t="s">
        <v>815</v>
      </c>
      <c r="H146" s="676" t="s">
        <v>1571</v>
      </c>
      <c r="I146" s="674">
        <v>2</v>
      </c>
      <c r="J146" s="675" t="s">
        <v>1503</v>
      </c>
      <c r="K146" s="677" t="s">
        <v>1632</v>
      </c>
      <c r="L146" s="674"/>
      <c r="M146" s="680"/>
      <c r="N146" s="1181"/>
      <c r="O146" s="674"/>
      <c r="P146" s="680"/>
      <c r="Q146" s="681"/>
      <c r="R146" s="674"/>
      <c r="S146" s="680"/>
      <c r="T146" s="681"/>
      <c r="U146" s="674"/>
      <c r="V146" s="680"/>
      <c r="W146" s="681"/>
      <c r="X146" s="674"/>
      <c r="Y146" s="680"/>
      <c r="Z146" s="681"/>
      <c r="AA146" s="674"/>
      <c r="AB146" s="680"/>
      <c r="AC146" s="681"/>
      <c r="AD146" s="674"/>
      <c r="AE146" s="680"/>
      <c r="AF146" s="681"/>
      <c r="AG146" s="674"/>
      <c r="AH146" s="680"/>
      <c r="AI146" s="681"/>
      <c r="AJ146" s="674"/>
      <c r="AK146" s="680"/>
      <c r="AL146" s="681"/>
    </row>
    <row r="147" spans="1:38" x14ac:dyDescent="0.55000000000000004">
      <c r="A147" s="707">
        <v>43992</v>
      </c>
      <c r="B147" s="692">
        <v>63144</v>
      </c>
      <c r="C147" s="672">
        <v>20036525</v>
      </c>
      <c r="D147" s="673" t="s">
        <v>3746</v>
      </c>
      <c r="E147" s="693"/>
      <c r="F147" s="674">
        <v>1</v>
      </c>
      <c r="G147" s="675" t="s">
        <v>4051</v>
      </c>
      <c r="H147" s="676" t="s">
        <v>1571</v>
      </c>
      <c r="I147" s="674">
        <v>2</v>
      </c>
      <c r="J147" s="675" t="s">
        <v>1634</v>
      </c>
      <c r="K147" s="677" t="s">
        <v>1574</v>
      </c>
      <c r="L147" s="674">
        <v>3</v>
      </c>
      <c r="M147" s="678" t="s">
        <v>1631</v>
      </c>
      <c r="N147" s="679" t="s">
        <v>1575</v>
      </c>
      <c r="O147" s="674">
        <v>4</v>
      </c>
      <c r="P147" s="678" t="s">
        <v>4044</v>
      </c>
      <c r="Q147" s="677" t="s">
        <v>1574</v>
      </c>
      <c r="R147" s="674">
        <v>5</v>
      </c>
      <c r="S147" s="696" t="s">
        <v>2327</v>
      </c>
      <c r="T147" s="697" t="s">
        <v>1575</v>
      </c>
      <c r="U147" s="674">
        <v>6</v>
      </c>
      <c r="V147" s="696" t="s">
        <v>1900</v>
      </c>
      <c r="W147" s="697" t="s">
        <v>1587</v>
      </c>
      <c r="X147" s="674">
        <v>7</v>
      </c>
      <c r="Y147" s="696" t="s">
        <v>1503</v>
      </c>
      <c r="Z147" s="697" t="s">
        <v>1632</v>
      </c>
      <c r="AA147" s="674"/>
      <c r="AB147" s="680"/>
      <c r="AC147" s="681"/>
      <c r="AD147" s="674"/>
      <c r="AE147" s="680"/>
      <c r="AF147" s="681"/>
      <c r="AG147" s="674"/>
      <c r="AH147" s="680"/>
      <c r="AI147" s="681"/>
      <c r="AJ147" s="674"/>
      <c r="AK147" s="680"/>
      <c r="AL147" s="681"/>
    </row>
    <row r="148" spans="1:38" x14ac:dyDescent="0.55000000000000004">
      <c r="A148" s="707"/>
      <c r="B148" s="703">
        <v>63145</v>
      </c>
      <c r="C148" s="700"/>
      <c r="D148" s="701"/>
      <c r="E148" s="704"/>
      <c r="F148" s="674">
        <v>1</v>
      </c>
      <c r="G148" s="675" t="s">
        <v>4050</v>
      </c>
      <c r="H148" s="676" t="s">
        <v>1571</v>
      </c>
      <c r="I148" s="674">
        <v>2</v>
      </c>
      <c r="J148" s="675" t="s">
        <v>1634</v>
      </c>
      <c r="K148" s="677" t="s">
        <v>1574</v>
      </c>
      <c r="L148" s="674">
        <v>3</v>
      </c>
      <c r="M148" s="678" t="s">
        <v>1502</v>
      </c>
      <c r="N148" s="679" t="s">
        <v>1575</v>
      </c>
      <c r="O148" s="674">
        <v>4</v>
      </c>
      <c r="P148" s="678" t="s">
        <v>1498</v>
      </c>
      <c r="Q148" s="677" t="s">
        <v>1589</v>
      </c>
      <c r="R148" s="674">
        <v>5</v>
      </c>
      <c r="S148" s="696" t="s">
        <v>1503</v>
      </c>
      <c r="T148" s="697" t="s">
        <v>1597</v>
      </c>
      <c r="U148" s="674"/>
      <c r="V148" s="680"/>
      <c r="W148" s="681"/>
      <c r="X148" s="674"/>
      <c r="Y148" s="680"/>
      <c r="Z148" s="681"/>
      <c r="AA148" s="674"/>
      <c r="AB148" s="680"/>
      <c r="AC148" s="681"/>
      <c r="AD148" s="674"/>
      <c r="AE148" s="680"/>
      <c r="AF148" s="681"/>
      <c r="AG148" s="674"/>
      <c r="AH148" s="680"/>
      <c r="AI148" s="681"/>
      <c r="AJ148" s="674"/>
      <c r="AK148" s="680"/>
      <c r="AL148" s="681"/>
    </row>
    <row r="149" spans="1:38" x14ac:dyDescent="0.55000000000000004">
      <c r="A149" s="707"/>
      <c r="B149" s="703">
        <v>63146</v>
      </c>
      <c r="C149" s="700"/>
      <c r="D149" s="701"/>
      <c r="E149" s="726"/>
      <c r="F149" s="674">
        <v>1</v>
      </c>
      <c r="G149" s="675" t="s">
        <v>4047</v>
      </c>
      <c r="H149" s="676" t="s">
        <v>1571</v>
      </c>
      <c r="I149" s="674">
        <v>2</v>
      </c>
      <c r="J149" s="675" t="s">
        <v>1634</v>
      </c>
      <c r="K149" s="677" t="s">
        <v>1575</v>
      </c>
      <c r="L149" s="674">
        <v>3</v>
      </c>
      <c r="M149" s="678" t="s">
        <v>1631</v>
      </c>
      <c r="N149" s="679" t="s">
        <v>1575</v>
      </c>
      <c r="O149" s="674">
        <v>4</v>
      </c>
      <c r="P149" s="678" t="s">
        <v>4044</v>
      </c>
      <c r="Q149" s="677" t="s">
        <v>1586</v>
      </c>
      <c r="R149" s="674">
        <v>5</v>
      </c>
      <c r="S149" s="696" t="s">
        <v>1498</v>
      </c>
      <c r="T149" s="697" t="s">
        <v>4048</v>
      </c>
      <c r="U149" s="674">
        <v>6</v>
      </c>
      <c r="V149" s="696" t="s">
        <v>4049</v>
      </c>
      <c r="W149" s="697" t="s">
        <v>1575</v>
      </c>
      <c r="X149" s="674">
        <v>7</v>
      </c>
      <c r="Y149" s="696" t="s">
        <v>1503</v>
      </c>
      <c r="Z149" s="697" t="s">
        <v>1632</v>
      </c>
      <c r="AA149" s="674"/>
      <c r="AB149" s="680"/>
      <c r="AC149" s="681"/>
      <c r="AD149" s="674"/>
      <c r="AE149" s="680"/>
      <c r="AF149" s="681"/>
      <c r="AG149" s="674"/>
      <c r="AH149" s="680"/>
      <c r="AI149" s="681"/>
      <c r="AJ149" s="674"/>
      <c r="AK149" s="680"/>
      <c r="AL149" s="681"/>
    </row>
    <row r="150" spans="1:38" x14ac:dyDescent="0.55000000000000004">
      <c r="A150" s="706"/>
      <c r="B150" s="682">
        <v>63147</v>
      </c>
      <c r="C150" s="684"/>
      <c r="D150" s="685"/>
      <c r="E150" s="695"/>
      <c r="F150" s="674">
        <v>1</v>
      </c>
      <c r="G150" s="675" t="s">
        <v>3983</v>
      </c>
      <c r="H150" s="676" t="s">
        <v>1571</v>
      </c>
      <c r="I150" s="674">
        <v>2</v>
      </c>
      <c r="J150" s="675" t="s">
        <v>1631</v>
      </c>
      <c r="K150" s="677" t="s">
        <v>1586</v>
      </c>
      <c r="L150" s="674">
        <v>3</v>
      </c>
      <c r="M150" s="678" t="s">
        <v>1502</v>
      </c>
      <c r="N150" s="679" t="s">
        <v>1586</v>
      </c>
      <c r="O150" s="674">
        <v>4</v>
      </c>
      <c r="P150" s="678" t="s">
        <v>2327</v>
      </c>
      <c r="Q150" s="677" t="s">
        <v>1586</v>
      </c>
      <c r="R150" s="674">
        <v>5</v>
      </c>
      <c r="S150" s="696" t="s">
        <v>1503</v>
      </c>
      <c r="T150" s="697" t="s">
        <v>1584</v>
      </c>
      <c r="U150" s="674"/>
      <c r="V150" s="680"/>
      <c r="W150" s="681"/>
      <c r="X150" s="674"/>
      <c r="Y150" s="680"/>
      <c r="Z150" s="681"/>
      <c r="AA150" s="674"/>
      <c r="AB150" s="680"/>
      <c r="AC150" s="681"/>
      <c r="AD150" s="674"/>
      <c r="AE150" s="680"/>
      <c r="AF150" s="681"/>
      <c r="AG150" s="674"/>
      <c r="AH150" s="680"/>
      <c r="AI150" s="681"/>
      <c r="AJ150" s="674"/>
      <c r="AK150" s="680"/>
      <c r="AL150" s="681"/>
    </row>
    <row r="151" spans="1:38" x14ac:dyDescent="0.55000000000000004">
      <c r="A151" s="707">
        <v>44115</v>
      </c>
      <c r="B151" s="692">
        <v>63148</v>
      </c>
      <c r="C151" s="672">
        <v>20066589</v>
      </c>
      <c r="D151" s="673" t="s">
        <v>3972</v>
      </c>
      <c r="E151" s="725"/>
      <c r="F151" s="674">
        <v>1</v>
      </c>
      <c r="G151" s="675" t="s">
        <v>715</v>
      </c>
      <c r="H151" s="676" t="s">
        <v>1571</v>
      </c>
      <c r="I151" s="674">
        <v>2</v>
      </c>
      <c r="J151" s="675" t="s">
        <v>1634</v>
      </c>
      <c r="K151" s="677" t="s">
        <v>1574</v>
      </c>
      <c r="L151" s="674">
        <v>3</v>
      </c>
      <c r="M151" s="678" t="s">
        <v>1502</v>
      </c>
      <c r="N151" s="679" t="s">
        <v>1575</v>
      </c>
      <c r="O151" s="674">
        <v>4</v>
      </c>
      <c r="P151" s="678" t="s">
        <v>1498</v>
      </c>
      <c r="Q151" s="677" t="s">
        <v>1678</v>
      </c>
      <c r="R151" s="674">
        <v>5</v>
      </c>
      <c r="S151" s="696" t="s">
        <v>1503</v>
      </c>
      <c r="T151" s="697" t="s">
        <v>1584</v>
      </c>
      <c r="U151" s="674"/>
      <c r="V151" s="680"/>
      <c r="W151" s="681"/>
      <c r="X151" s="674"/>
      <c r="Y151" s="680"/>
      <c r="Z151" s="681"/>
      <c r="AA151" s="674"/>
      <c r="AB151" s="680"/>
      <c r="AC151" s="681"/>
      <c r="AD151" s="674"/>
      <c r="AE151" s="680"/>
      <c r="AF151" s="681"/>
      <c r="AG151" s="674"/>
      <c r="AH151" s="680"/>
      <c r="AI151" s="681"/>
      <c r="AJ151" s="674"/>
      <c r="AK151" s="680"/>
      <c r="AL151" s="681"/>
    </row>
    <row r="152" spans="1:38" x14ac:dyDescent="0.55000000000000004">
      <c r="A152" s="706"/>
      <c r="B152" s="682">
        <v>63149</v>
      </c>
      <c r="C152" s="684"/>
      <c r="D152" s="685"/>
      <c r="E152" s="695"/>
      <c r="F152" s="674">
        <v>1</v>
      </c>
      <c r="G152" s="675" t="s">
        <v>3674</v>
      </c>
      <c r="H152" s="676" t="s">
        <v>1571</v>
      </c>
      <c r="I152" s="674">
        <v>2</v>
      </c>
      <c r="J152" s="675" t="s">
        <v>1634</v>
      </c>
      <c r="K152" s="677" t="s">
        <v>1575</v>
      </c>
      <c r="L152" s="674">
        <v>3</v>
      </c>
      <c r="M152" s="678" t="s">
        <v>1503</v>
      </c>
      <c r="N152" s="679" t="s">
        <v>1584</v>
      </c>
      <c r="O152" s="674"/>
      <c r="P152" s="680"/>
      <c r="Q152" s="681"/>
      <c r="R152" s="674"/>
      <c r="S152" s="680"/>
      <c r="T152" s="681"/>
      <c r="U152" s="674"/>
      <c r="V152" s="680"/>
      <c r="W152" s="681"/>
      <c r="X152" s="674"/>
      <c r="Y152" s="680"/>
      <c r="Z152" s="681"/>
      <c r="AA152" s="674"/>
      <c r="AB152" s="680"/>
      <c r="AC152" s="681"/>
      <c r="AD152" s="674"/>
      <c r="AE152" s="680"/>
      <c r="AF152" s="681"/>
      <c r="AG152" s="674"/>
      <c r="AH152" s="680"/>
      <c r="AI152" s="681"/>
      <c r="AJ152" s="674"/>
      <c r="AK152" s="680"/>
      <c r="AL152" s="681"/>
    </row>
    <row r="153" spans="1:38" x14ac:dyDescent="0.55000000000000004">
      <c r="A153" s="706">
        <v>44001</v>
      </c>
      <c r="B153" s="682">
        <v>63150</v>
      </c>
      <c r="C153" s="684">
        <v>20066582</v>
      </c>
      <c r="D153" s="685" t="s">
        <v>3586</v>
      </c>
      <c r="E153" s="695"/>
      <c r="F153" s="674">
        <v>1</v>
      </c>
      <c r="G153" s="675" t="s">
        <v>3881</v>
      </c>
      <c r="H153" s="676" t="s">
        <v>1579</v>
      </c>
      <c r="I153" s="674"/>
      <c r="J153" s="690"/>
      <c r="K153" s="681"/>
      <c r="L153" s="674"/>
      <c r="M153" s="680"/>
      <c r="N153" s="1181"/>
      <c r="O153" s="674"/>
      <c r="P153" s="680"/>
      <c r="Q153" s="681"/>
      <c r="R153" s="674"/>
      <c r="S153" s="680"/>
      <c r="T153" s="681"/>
      <c r="U153" s="674"/>
      <c r="V153" s="680"/>
      <c r="W153" s="681"/>
      <c r="X153" s="674"/>
      <c r="Y153" s="680"/>
      <c r="Z153" s="681"/>
      <c r="AA153" s="674"/>
      <c r="AB153" s="680"/>
      <c r="AC153" s="681"/>
      <c r="AD153" s="674"/>
      <c r="AE153" s="680"/>
      <c r="AF153" s="681"/>
      <c r="AG153" s="674"/>
      <c r="AH153" s="680"/>
      <c r="AI153" s="681"/>
      <c r="AJ153" s="674"/>
      <c r="AK153" s="680"/>
      <c r="AL153" s="681"/>
    </row>
    <row r="154" spans="1:38" x14ac:dyDescent="0.55000000000000004">
      <c r="A154" s="706">
        <v>44004</v>
      </c>
      <c r="B154" s="682">
        <v>63151</v>
      </c>
      <c r="C154" s="684">
        <v>20046541</v>
      </c>
      <c r="D154" s="685" t="s">
        <v>3527</v>
      </c>
      <c r="E154" s="695"/>
      <c r="F154" s="674">
        <v>1</v>
      </c>
      <c r="G154" s="675" t="s">
        <v>1834</v>
      </c>
      <c r="H154" s="676" t="s">
        <v>1571</v>
      </c>
      <c r="I154" s="674">
        <v>2</v>
      </c>
      <c r="J154" s="675" t="s">
        <v>1634</v>
      </c>
      <c r="K154" s="677" t="s">
        <v>1574</v>
      </c>
      <c r="L154" s="674">
        <v>3</v>
      </c>
      <c r="M154" s="678" t="s">
        <v>1502</v>
      </c>
      <c r="N154" s="679" t="s">
        <v>1575</v>
      </c>
      <c r="O154" s="674">
        <v>4</v>
      </c>
      <c r="P154" s="678" t="s">
        <v>1498</v>
      </c>
      <c r="Q154" s="677" t="s">
        <v>2944</v>
      </c>
      <c r="R154" s="674">
        <v>5</v>
      </c>
      <c r="S154" s="696" t="s">
        <v>1636</v>
      </c>
      <c r="T154" s="697" t="s">
        <v>1586</v>
      </c>
      <c r="U154" s="674"/>
      <c r="V154" s="680"/>
      <c r="W154" s="681"/>
      <c r="X154" s="674"/>
      <c r="Y154" s="680"/>
      <c r="Z154" s="681"/>
      <c r="AA154" s="674"/>
      <c r="AB154" s="680"/>
      <c r="AC154" s="681"/>
      <c r="AD154" s="674"/>
      <c r="AE154" s="680"/>
      <c r="AF154" s="681"/>
      <c r="AG154" s="674"/>
      <c r="AH154" s="680"/>
      <c r="AI154" s="681"/>
      <c r="AJ154" s="674"/>
      <c r="AK154" s="680"/>
      <c r="AL154" s="681"/>
    </row>
    <row r="155" spans="1:38" x14ac:dyDescent="0.55000000000000004">
      <c r="A155" s="707">
        <v>44005</v>
      </c>
      <c r="B155" s="692">
        <v>63152</v>
      </c>
      <c r="C155" s="672">
        <v>20026495</v>
      </c>
      <c r="D155" s="673" t="s">
        <v>3973</v>
      </c>
      <c r="E155" s="725"/>
      <c r="F155" s="674">
        <v>1</v>
      </c>
      <c r="G155" s="675" t="s">
        <v>883</v>
      </c>
      <c r="H155" s="676" t="s">
        <v>1571</v>
      </c>
      <c r="I155" s="674">
        <v>2</v>
      </c>
      <c r="J155" s="675" t="s">
        <v>3540</v>
      </c>
      <c r="K155" s="677" t="s">
        <v>1571</v>
      </c>
      <c r="L155" s="674">
        <v>3</v>
      </c>
      <c r="M155" s="678" t="s">
        <v>1634</v>
      </c>
      <c r="N155" s="679" t="s">
        <v>1574</v>
      </c>
      <c r="O155" s="674">
        <v>4</v>
      </c>
      <c r="P155" s="678" t="s">
        <v>4044</v>
      </c>
      <c r="Q155" s="677" t="s">
        <v>1575</v>
      </c>
      <c r="R155" s="674">
        <v>5</v>
      </c>
      <c r="S155" s="696" t="s">
        <v>1498</v>
      </c>
      <c r="T155" s="697" t="s">
        <v>1792</v>
      </c>
      <c r="U155" s="674">
        <v>6</v>
      </c>
      <c r="V155" s="696" t="s">
        <v>1503</v>
      </c>
      <c r="W155" s="697" t="s">
        <v>1801</v>
      </c>
      <c r="X155" s="674"/>
      <c r="Y155" s="680"/>
      <c r="Z155" s="681"/>
      <c r="AA155" s="674"/>
      <c r="AB155" s="680"/>
      <c r="AC155" s="681"/>
      <c r="AD155" s="674"/>
      <c r="AE155" s="680"/>
      <c r="AF155" s="681"/>
      <c r="AG155" s="674"/>
      <c r="AH155" s="680"/>
      <c r="AI155" s="681"/>
      <c r="AJ155" s="674"/>
      <c r="AK155" s="680"/>
      <c r="AL155" s="681"/>
    </row>
    <row r="156" spans="1:38" x14ac:dyDescent="0.55000000000000004">
      <c r="A156" s="706"/>
      <c r="B156" s="682">
        <v>63153</v>
      </c>
      <c r="C156" s="684"/>
      <c r="D156" s="685"/>
      <c r="E156" s="695"/>
      <c r="F156" s="674">
        <v>1</v>
      </c>
      <c r="G156" s="675" t="s">
        <v>772</v>
      </c>
      <c r="H156" s="676" t="s">
        <v>1579</v>
      </c>
      <c r="I156" s="674"/>
      <c r="J156" s="690"/>
      <c r="K156" s="681"/>
      <c r="L156" s="674"/>
      <c r="M156" s="680"/>
      <c r="N156" s="1181"/>
      <c r="O156" s="674"/>
      <c r="P156" s="680"/>
      <c r="Q156" s="681"/>
      <c r="R156" s="674"/>
      <c r="S156" s="680"/>
      <c r="T156" s="681"/>
      <c r="U156" s="674"/>
      <c r="V156" s="680"/>
      <c r="W156" s="681"/>
      <c r="X156" s="674"/>
      <c r="Y156" s="680"/>
      <c r="Z156" s="681"/>
      <c r="AA156" s="674"/>
      <c r="AB156" s="680"/>
      <c r="AC156" s="681"/>
      <c r="AD156" s="674"/>
      <c r="AE156" s="680"/>
      <c r="AF156" s="681"/>
      <c r="AG156" s="674"/>
      <c r="AH156" s="680"/>
      <c r="AI156" s="681"/>
      <c r="AJ156" s="674"/>
      <c r="AK156" s="680"/>
      <c r="AL156" s="681"/>
    </row>
    <row r="157" spans="1:38" x14ac:dyDescent="0.55000000000000004">
      <c r="A157" s="706">
        <v>44006</v>
      </c>
      <c r="B157" s="682">
        <v>63154</v>
      </c>
      <c r="C157" s="684">
        <v>20056557</v>
      </c>
      <c r="D157" s="685" t="s">
        <v>1738</v>
      </c>
      <c r="E157" s="695"/>
      <c r="F157" s="674">
        <v>1</v>
      </c>
      <c r="G157" s="675" t="s">
        <v>3835</v>
      </c>
      <c r="H157" s="676" t="s">
        <v>1571</v>
      </c>
      <c r="I157" s="674">
        <v>2</v>
      </c>
      <c r="J157" s="675" t="s">
        <v>1511</v>
      </c>
      <c r="K157" s="677" t="s">
        <v>1574</v>
      </c>
      <c r="L157" s="674">
        <v>3</v>
      </c>
      <c r="M157" s="678" t="s">
        <v>1502</v>
      </c>
      <c r="N157" s="679" t="s">
        <v>1575</v>
      </c>
      <c r="O157" s="674">
        <v>4</v>
      </c>
      <c r="P157" s="678" t="s">
        <v>1498</v>
      </c>
      <c r="Q157" s="677" t="s">
        <v>1939</v>
      </c>
      <c r="R157" s="674">
        <v>5</v>
      </c>
      <c r="S157" s="696" t="s">
        <v>1503</v>
      </c>
      <c r="T157" s="697" t="s">
        <v>1584</v>
      </c>
      <c r="U157" s="674"/>
      <c r="V157" s="680"/>
      <c r="W157" s="681"/>
      <c r="X157" s="674"/>
      <c r="Y157" s="680"/>
      <c r="Z157" s="681"/>
      <c r="AA157" s="674"/>
      <c r="AB157" s="680"/>
      <c r="AC157" s="681"/>
      <c r="AD157" s="674"/>
      <c r="AE157" s="680"/>
      <c r="AF157" s="681"/>
      <c r="AG157" s="674"/>
      <c r="AH157" s="680"/>
      <c r="AI157" s="681"/>
      <c r="AJ157" s="674"/>
      <c r="AK157" s="680"/>
      <c r="AL157" s="681"/>
    </row>
    <row r="158" spans="1:38" x14ac:dyDescent="0.55000000000000004">
      <c r="A158" s="706">
        <v>44007</v>
      </c>
      <c r="B158" s="682">
        <v>63155</v>
      </c>
      <c r="C158" s="684">
        <v>20066591</v>
      </c>
      <c r="D158" s="685" t="s">
        <v>1969</v>
      </c>
      <c r="E158" s="695"/>
      <c r="F158" s="674">
        <v>1</v>
      </c>
      <c r="G158" s="675" t="s">
        <v>801</v>
      </c>
      <c r="H158" s="676" t="s">
        <v>1571</v>
      </c>
      <c r="I158" s="674">
        <v>2</v>
      </c>
      <c r="J158" s="675" t="s">
        <v>1634</v>
      </c>
      <c r="K158" s="677" t="s">
        <v>1586</v>
      </c>
      <c r="L158" s="674">
        <v>3</v>
      </c>
      <c r="M158" s="678" t="s">
        <v>1507</v>
      </c>
      <c r="N158" s="679" t="s">
        <v>1575</v>
      </c>
      <c r="O158" s="674">
        <v>4</v>
      </c>
      <c r="P158" s="678" t="s">
        <v>1498</v>
      </c>
      <c r="Q158" s="677" t="s">
        <v>1795</v>
      </c>
      <c r="R158" s="674"/>
      <c r="S158" s="680"/>
      <c r="T158" s="681"/>
      <c r="U158" s="674"/>
      <c r="V158" s="680"/>
      <c r="W158" s="681"/>
      <c r="X158" s="674"/>
      <c r="Y158" s="680"/>
      <c r="Z158" s="681"/>
      <c r="AA158" s="674"/>
      <c r="AB158" s="680"/>
      <c r="AC158" s="681"/>
      <c r="AD158" s="674"/>
      <c r="AE158" s="680"/>
      <c r="AF158" s="681"/>
      <c r="AG158" s="674"/>
      <c r="AH158" s="680"/>
      <c r="AI158" s="681"/>
      <c r="AJ158" s="674"/>
      <c r="AK158" s="680"/>
      <c r="AL158" s="681"/>
    </row>
    <row r="159" spans="1:38" x14ac:dyDescent="0.55000000000000004">
      <c r="A159" s="706">
        <v>44007</v>
      </c>
      <c r="B159" s="682">
        <v>63156</v>
      </c>
      <c r="C159" s="684">
        <v>20066594</v>
      </c>
      <c r="D159" s="685" t="s">
        <v>3974</v>
      </c>
      <c r="E159" s="695"/>
      <c r="F159" s="674">
        <v>1</v>
      </c>
      <c r="G159" s="675" t="s">
        <v>1316</v>
      </c>
      <c r="H159" s="676" t="s">
        <v>1571</v>
      </c>
      <c r="I159" s="674">
        <v>2</v>
      </c>
      <c r="J159" s="675" t="s">
        <v>1634</v>
      </c>
      <c r="K159" s="677" t="s">
        <v>1574</v>
      </c>
      <c r="L159" s="674">
        <v>3</v>
      </c>
      <c r="M159" s="678" t="s">
        <v>1502</v>
      </c>
      <c r="N159" s="679" t="s">
        <v>1575</v>
      </c>
      <c r="O159" s="674">
        <v>4</v>
      </c>
      <c r="P159" s="678" t="s">
        <v>1498</v>
      </c>
      <c r="Q159" s="677" t="s">
        <v>3982</v>
      </c>
      <c r="R159" s="674">
        <v>5</v>
      </c>
      <c r="S159" s="696" t="s">
        <v>3398</v>
      </c>
      <c r="T159" s="697" t="s">
        <v>1575</v>
      </c>
      <c r="U159" s="674"/>
      <c r="V159" s="680"/>
      <c r="W159" s="681"/>
      <c r="X159" s="674"/>
      <c r="Y159" s="680"/>
      <c r="Z159" s="681"/>
      <c r="AA159" s="674"/>
      <c r="AB159" s="680"/>
      <c r="AC159" s="681"/>
      <c r="AD159" s="674"/>
      <c r="AE159" s="680"/>
      <c r="AF159" s="681"/>
      <c r="AG159" s="674"/>
      <c r="AH159" s="680"/>
      <c r="AI159" s="681"/>
      <c r="AJ159" s="674"/>
      <c r="AK159" s="680"/>
      <c r="AL159" s="681"/>
    </row>
    <row r="160" spans="1:38" x14ac:dyDescent="0.55000000000000004">
      <c r="A160" s="706">
        <v>44008</v>
      </c>
      <c r="B160" s="682">
        <v>63157</v>
      </c>
      <c r="C160" s="684">
        <v>20056577</v>
      </c>
      <c r="D160" s="685" t="s">
        <v>3975</v>
      </c>
      <c r="E160" s="695"/>
      <c r="F160" s="674">
        <v>1</v>
      </c>
      <c r="G160" s="675" t="s">
        <v>3861</v>
      </c>
      <c r="H160" s="676" t="s">
        <v>1571</v>
      </c>
      <c r="I160" s="674">
        <v>2</v>
      </c>
      <c r="J160" s="675" t="s">
        <v>3863</v>
      </c>
      <c r="K160" s="677" t="s">
        <v>1571</v>
      </c>
      <c r="L160" s="674">
        <v>3</v>
      </c>
      <c r="M160" s="678" t="s">
        <v>3864</v>
      </c>
      <c r="N160" s="679" t="s">
        <v>1571</v>
      </c>
      <c r="O160" s="674">
        <v>4</v>
      </c>
      <c r="P160" s="678" t="s">
        <v>1511</v>
      </c>
      <c r="Q160" s="677" t="s">
        <v>1633</v>
      </c>
      <c r="R160" s="674">
        <v>5</v>
      </c>
      <c r="S160" s="696" t="s">
        <v>1507</v>
      </c>
      <c r="T160" s="697" t="s">
        <v>1583</v>
      </c>
      <c r="U160" s="674">
        <v>6</v>
      </c>
      <c r="V160" s="696" t="s">
        <v>1502</v>
      </c>
      <c r="W160" s="697" t="s">
        <v>1575</v>
      </c>
      <c r="X160" s="674">
        <v>7</v>
      </c>
      <c r="Y160" s="696" t="s">
        <v>1498</v>
      </c>
      <c r="Z160" s="697" t="s">
        <v>2338</v>
      </c>
      <c r="AA160" s="674">
        <v>8</v>
      </c>
      <c r="AB160" s="696" t="s">
        <v>1503</v>
      </c>
      <c r="AC160" s="697" t="s">
        <v>1597</v>
      </c>
      <c r="AD160" s="674"/>
      <c r="AE160" s="680"/>
      <c r="AF160" s="681"/>
      <c r="AG160" s="674"/>
      <c r="AH160" s="680"/>
      <c r="AI160" s="681"/>
      <c r="AJ160" s="674"/>
      <c r="AK160" s="680"/>
      <c r="AL160" s="681"/>
    </row>
    <row r="161" spans="1:38" x14ac:dyDescent="0.55000000000000004">
      <c r="A161" s="706">
        <v>44008</v>
      </c>
      <c r="B161" s="682">
        <v>63158</v>
      </c>
      <c r="C161" s="684">
        <v>20066588</v>
      </c>
      <c r="D161" s="685" t="s">
        <v>3384</v>
      </c>
      <c r="E161" s="695"/>
      <c r="F161" s="674">
        <v>1</v>
      </c>
      <c r="G161" s="675" t="s">
        <v>3569</v>
      </c>
      <c r="H161" s="676" t="s">
        <v>1579</v>
      </c>
      <c r="I161" s="674">
        <v>2</v>
      </c>
      <c r="J161" s="675" t="s">
        <v>1503</v>
      </c>
      <c r="K161" s="677" t="s">
        <v>1632</v>
      </c>
      <c r="L161" s="674"/>
      <c r="M161" s="680"/>
      <c r="N161" s="1181"/>
      <c r="O161" s="674"/>
      <c r="P161" s="680"/>
      <c r="Q161" s="681"/>
      <c r="R161" s="674"/>
      <c r="S161" s="680"/>
      <c r="T161" s="681"/>
      <c r="U161" s="674"/>
      <c r="V161" s="680"/>
      <c r="W161" s="681"/>
      <c r="X161" s="674"/>
      <c r="Y161" s="680"/>
      <c r="Z161" s="681"/>
      <c r="AA161" s="674"/>
      <c r="AB161" s="680"/>
      <c r="AC161" s="681"/>
      <c r="AD161" s="674"/>
      <c r="AE161" s="680"/>
      <c r="AF161" s="681"/>
      <c r="AG161" s="674"/>
      <c r="AH161" s="680"/>
      <c r="AI161" s="681"/>
      <c r="AJ161" s="674"/>
      <c r="AK161" s="680"/>
      <c r="AL161" s="681"/>
    </row>
    <row r="162" spans="1:38" x14ac:dyDescent="0.55000000000000004">
      <c r="A162" s="706">
        <v>44011</v>
      </c>
      <c r="B162" s="682">
        <v>63159</v>
      </c>
      <c r="C162" s="684">
        <v>20066604</v>
      </c>
      <c r="D162" s="685" t="s">
        <v>3443</v>
      </c>
      <c r="E162" s="695"/>
      <c r="F162" s="674">
        <v>1</v>
      </c>
      <c r="G162" s="675" t="s">
        <v>3912</v>
      </c>
      <c r="H162" s="676" t="s">
        <v>1579</v>
      </c>
      <c r="I162" s="674">
        <v>2</v>
      </c>
      <c r="J162" s="675" t="s">
        <v>1966</v>
      </c>
      <c r="K162" s="677" t="s">
        <v>1571</v>
      </c>
      <c r="L162" s="674">
        <v>3</v>
      </c>
      <c r="M162" s="678" t="s">
        <v>1511</v>
      </c>
      <c r="N162" s="679" t="s">
        <v>1574</v>
      </c>
      <c r="O162" s="674">
        <v>4</v>
      </c>
      <c r="P162" s="678" t="s">
        <v>1507</v>
      </c>
      <c r="Q162" s="677" t="s">
        <v>1633</v>
      </c>
      <c r="R162" s="674">
        <v>5</v>
      </c>
      <c r="S162" s="696" t="s">
        <v>1498</v>
      </c>
      <c r="T162" s="697" t="s">
        <v>4046</v>
      </c>
      <c r="U162" s="674"/>
      <c r="V162" s="680"/>
      <c r="W162" s="681"/>
      <c r="X162" s="674"/>
      <c r="Y162" s="680"/>
      <c r="Z162" s="681"/>
      <c r="AA162" s="674"/>
      <c r="AB162" s="680"/>
      <c r="AC162" s="681"/>
      <c r="AD162" s="674"/>
      <c r="AE162" s="680"/>
      <c r="AF162" s="681"/>
      <c r="AG162" s="674"/>
      <c r="AH162" s="680"/>
      <c r="AI162" s="681"/>
      <c r="AJ162" s="674"/>
      <c r="AK162" s="680"/>
      <c r="AL162" s="681"/>
    </row>
    <row r="163" spans="1:38" x14ac:dyDescent="0.55000000000000004">
      <c r="A163" s="706">
        <v>44011</v>
      </c>
      <c r="B163" s="682">
        <v>63160</v>
      </c>
      <c r="C163" s="684">
        <v>20066591</v>
      </c>
      <c r="D163" s="685" t="s">
        <v>1969</v>
      </c>
      <c r="E163" s="695"/>
      <c r="F163" s="674">
        <v>1</v>
      </c>
      <c r="G163" s="675" t="s">
        <v>3903</v>
      </c>
      <c r="H163" s="676" t="s">
        <v>1571</v>
      </c>
      <c r="I163" s="674"/>
      <c r="J163" s="690"/>
      <c r="K163" s="681"/>
      <c r="L163" s="674"/>
      <c r="M163" s="680"/>
      <c r="N163" s="1181"/>
      <c r="O163" s="674"/>
      <c r="P163" s="680"/>
      <c r="Q163" s="681"/>
      <c r="R163" s="674"/>
      <c r="S163" s="680"/>
      <c r="T163" s="681"/>
      <c r="U163" s="674"/>
      <c r="V163" s="680"/>
      <c r="W163" s="681"/>
      <c r="X163" s="674"/>
      <c r="Y163" s="680"/>
      <c r="Z163" s="681"/>
      <c r="AA163" s="674"/>
      <c r="AB163" s="680"/>
      <c r="AC163" s="681"/>
      <c r="AD163" s="674"/>
      <c r="AE163" s="680"/>
      <c r="AF163" s="681"/>
      <c r="AG163" s="674"/>
      <c r="AH163" s="680"/>
      <c r="AI163" s="681"/>
      <c r="AJ163" s="674"/>
      <c r="AK163" s="680"/>
      <c r="AL163" s="681"/>
    </row>
    <row r="164" spans="1:38" x14ac:dyDescent="0.55000000000000004">
      <c r="A164" s="670">
        <v>44011</v>
      </c>
      <c r="B164" s="692">
        <v>63161</v>
      </c>
      <c r="C164" s="672">
        <v>20066593</v>
      </c>
      <c r="D164" s="673" t="s">
        <v>3976</v>
      </c>
      <c r="E164" s="725"/>
      <c r="F164" s="674">
        <v>1</v>
      </c>
      <c r="G164" s="675" t="s">
        <v>3899</v>
      </c>
      <c r="H164" s="676" t="s">
        <v>1571</v>
      </c>
      <c r="I164" s="674">
        <v>2</v>
      </c>
      <c r="J164" s="675" t="s">
        <v>1634</v>
      </c>
      <c r="K164" s="677" t="s">
        <v>1574</v>
      </c>
      <c r="L164" s="674">
        <v>3</v>
      </c>
      <c r="M164" s="678" t="s">
        <v>1502</v>
      </c>
      <c r="N164" s="679" t="s">
        <v>1575</v>
      </c>
      <c r="O164" s="674">
        <v>4</v>
      </c>
      <c r="P164" s="678" t="s">
        <v>1503</v>
      </c>
      <c r="Q164" s="677" t="s">
        <v>1584</v>
      </c>
      <c r="R164" s="674"/>
      <c r="S164" s="680"/>
      <c r="T164" s="681"/>
      <c r="U164" s="674"/>
      <c r="V164" s="680"/>
      <c r="W164" s="681"/>
      <c r="X164" s="674"/>
      <c r="Y164" s="680"/>
      <c r="Z164" s="681"/>
      <c r="AA164" s="674"/>
      <c r="AB164" s="680"/>
      <c r="AC164" s="681"/>
      <c r="AD164" s="674"/>
      <c r="AE164" s="680"/>
      <c r="AF164" s="681"/>
      <c r="AG164" s="674"/>
      <c r="AH164" s="680"/>
      <c r="AI164" s="681"/>
      <c r="AJ164" s="674"/>
      <c r="AK164" s="680"/>
      <c r="AL164" s="681"/>
    </row>
    <row r="165" spans="1:38" x14ac:dyDescent="0.55000000000000004">
      <c r="A165" s="707"/>
      <c r="B165" s="703">
        <v>63162</v>
      </c>
      <c r="C165" s="700"/>
      <c r="D165" s="701"/>
      <c r="E165" s="726"/>
      <c r="F165" s="674">
        <v>1</v>
      </c>
      <c r="G165" s="675" t="s">
        <v>3899</v>
      </c>
      <c r="H165" s="676" t="s">
        <v>1571</v>
      </c>
      <c r="I165" s="674">
        <v>2</v>
      </c>
      <c r="J165" s="675" t="s">
        <v>1634</v>
      </c>
      <c r="K165" s="677" t="s">
        <v>1574</v>
      </c>
      <c r="L165" s="674">
        <v>3</v>
      </c>
      <c r="M165" s="678" t="s">
        <v>1502</v>
      </c>
      <c r="N165" s="679" t="s">
        <v>1575</v>
      </c>
      <c r="O165" s="674">
        <v>4</v>
      </c>
      <c r="P165" s="678" t="s">
        <v>1503</v>
      </c>
      <c r="Q165" s="677" t="s">
        <v>1584</v>
      </c>
      <c r="R165" s="674"/>
      <c r="S165" s="680"/>
      <c r="T165" s="681"/>
      <c r="U165" s="674"/>
      <c r="V165" s="680"/>
      <c r="W165" s="681"/>
      <c r="X165" s="674"/>
      <c r="Y165" s="680"/>
      <c r="Z165" s="681"/>
      <c r="AA165" s="674"/>
      <c r="AB165" s="680"/>
      <c r="AC165" s="681"/>
      <c r="AD165" s="674"/>
      <c r="AE165" s="680"/>
      <c r="AF165" s="681"/>
      <c r="AG165" s="674"/>
      <c r="AH165" s="680"/>
      <c r="AI165" s="681"/>
      <c r="AJ165" s="674"/>
      <c r="AK165" s="680"/>
      <c r="AL165" s="681"/>
    </row>
    <row r="166" spans="1:38" x14ac:dyDescent="0.55000000000000004">
      <c r="A166" s="706"/>
      <c r="B166" s="682">
        <v>63163</v>
      </c>
      <c r="C166" s="684"/>
      <c r="D166" s="685"/>
      <c r="E166" s="695"/>
      <c r="F166" s="674">
        <v>1</v>
      </c>
      <c r="G166" s="675" t="s">
        <v>3900</v>
      </c>
      <c r="H166" s="676" t="s">
        <v>1579</v>
      </c>
      <c r="I166" s="674">
        <v>2</v>
      </c>
      <c r="J166" s="675" t="s">
        <v>1634</v>
      </c>
      <c r="K166" s="677" t="s">
        <v>1583</v>
      </c>
      <c r="L166" s="674">
        <v>3</v>
      </c>
      <c r="M166" s="678" t="s">
        <v>1502</v>
      </c>
      <c r="N166" s="679" t="s">
        <v>1583</v>
      </c>
      <c r="O166" s="674">
        <v>4</v>
      </c>
      <c r="P166" s="678" t="s">
        <v>1498</v>
      </c>
      <c r="Q166" s="677" t="s">
        <v>3094</v>
      </c>
      <c r="R166" s="674">
        <v>5</v>
      </c>
      <c r="S166" s="696" t="s">
        <v>1503</v>
      </c>
      <c r="T166" s="697" t="s">
        <v>1597</v>
      </c>
      <c r="U166" s="674"/>
      <c r="V166" s="680"/>
      <c r="W166" s="681"/>
      <c r="X166" s="674"/>
      <c r="Y166" s="680"/>
      <c r="Z166" s="681"/>
      <c r="AA166" s="674"/>
      <c r="AB166" s="680"/>
      <c r="AC166" s="681"/>
      <c r="AD166" s="674"/>
      <c r="AE166" s="680"/>
      <c r="AF166" s="681"/>
      <c r="AG166" s="674"/>
      <c r="AH166" s="680"/>
      <c r="AI166" s="681"/>
      <c r="AJ166" s="674"/>
      <c r="AK166" s="680"/>
      <c r="AL166" s="681"/>
    </row>
    <row r="167" spans="1:38" x14ac:dyDescent="0.55000000000000004">
      <c r="A167" s="706">
        <v>44013</v>
      </c>
      <c r="B167" s="682">
        <v>63164</v>
      </c>
      <c r="C167" s="684">
        <v>20066603</v>
      </c>
      <c r="D167" s="685" t="s">
        <v>3977</v>
      </c>
      <c r="E167" s="695"/>
      <c r="F167" s="674">
        <v>1</v>
      </c>
      <c r="G167" s="675" t="s">
        <v>712</v>
      </c>
      <c r="H167" s="676" t="s">
        <v>2325</v>
      </c>
      <c r="I167" s="674"/>
      <c r="J167" s="690"/>
      <c r="K167" s="681"/>
      <c r="L167" s="674"/>
      <c r="M167" s="680"/>
      <c r="N167" s="1181"/>
      <c r="O167" s="674"/>
      <c r="P167" s="680"/>
      <c r="Q167" s="681"/>
      <c r="R167" s="674"/>
      <c r="S167" s="680"/>
      <c r="T167" s="681"/>
      <c r="U167" s="674"/>
      <c r="V167" s="680"/>
      <c r="W167" s="681"/>
      <c r="X167" s="674"/>
      <c r="Y167" s="680"/>
      <c r="Z167" s="681"/>
      <c r="AA167" s="674"/>
      <c r="AB167" s="680"/>
      <c r="AC167" s="681"/>
      <c r="AD167" s="674"/>
      <c r="AE167" s="680"/>
      <c r="AF167" s="681"/>
      <c r="AG167" s="674"/>
      <c r="AH167" s="680"/>
      <c r="AI167" s="681"/>
      <c r="AJ167" s="674"/>
      <c r="AK167" s="680"/>
      <c r="AL167" s="681"/>
    </row>
    <row r="168" spans="1:38" x14ac:dyDescent="0.55000000000000004">
      <c r="A168" s="670">
        <v>44013</v>
      </c>
      <c r="B168" s="692">
        <v>63165</v>
      </c>
      <c r="C168" s="672">
        <v>20066592</v>
      </c>
      <c r="D168" s="673" t="s">
        <v>3976</v>
      </c>
      <c r="E168" s="725"/>
      <c r="F168" s="674">
        <v>1</v>
      </c>
      <c r="G168" s="675" t="s">
        <v>3561</v>
      </c>
      <c r="H168" s="676" t="s">
        <v>1571</v>
      </c>
      <c r="I168" s="674">
        <v>2</v>
      </c>
      <c r="J168" s="675" t="s">
        <v>1634</v>
      </c>
      <c r="K168" s="677" t="s">
        <v>1574</v>
      </c>
      <c r="L168" s="674">
        <v>3</v>
      </c>
      <c r="M168" s="678" t="s">
        <v>1502</v>
      </c>
      <c r="N168" s="679" t="s">
        <v>1575</v>
      </c>
      <c r="O168" s="674">
        <v>4</v>
      </c>
      <c r="P168" s="678" t="s">
        <v>1498</v>
      </c>
      <c r="Q168" s="677" t="s">
        <v>2878</v>
      </c>
      <c r="R168" s="674">
        <v>5</v>
      </c>
      <c r="S168" s="696" t="s">
        <v>1503</v>
      </c>
      <c r="T168" s="697" t="s">
        <v>1584</v>
      </c>
      <c r="U168" s="674"/>
      <c r="V168" s="680"/>
      <c r="W168" s="681"/>
      <c r="X168" s="674"/>
      <c r="Y168" s="680"/>
      <c r="Z168" s="681"/>
      <c r="AA168" s="674"/>
      <c r="AB168" s="680"/>
      <c r="AC168" s="681"/>
      <c r="AD168" s="674"/>
      <c r="AE168" s="680"/>
      <c r="AF168" s="681"/>
      <c r="AG168" s="674"/>
      <c r="AH168" s="680"/>
      <c r="AI168" s="681"/>
      <c r="AJ168" s="674"/>
      <c r="AK168" s="680"/>
      <c r="AL168" s="681"/>
    </row>
    <row r="169" spans="1:38" x14ac:dyDescent="0.55000000000000004">
      <c r="A169" s="706"/>
      <c r="B169" s="682">
        <v>63166</v>
      </c>
      <c r="C169" s="684"/>
      <c r="D169" s="685"/>
      <c r="E169" s="695"/>
      <c r="F169" s="674">
        <v>1</v>
      </c>
      <c r="G169" s="675" t="s">
        <v>3561</v>
      </c>
      <c r="H169" s="676" t="s">
        <v>1571</v>
      </c>
      <c r="I169" s="674">
        <v>2</v>
      </c>
      <c r="J169" s="675" t="s">
        <v>1634</v>
      </c>
      <c r="K169" s="677" t="s">
        <v>1574</v>
      </c>
      <c r="L169" s="674">
        <v>3</v>
      </c>
      <c r="M169" s="678" t="s">
        <v>1502</v>
      </c>
      <c r="N169" s="679" t="s">
        <v>1575</v>
      </c>
      <c r="O169" s="674">
        <v>4</v>
      </c>
      <c r="P169" s="678" t="s">
        <v>1498</v>
      </c>
      <c r="Q169" s="677" t="s">
        <v>2878</v>
      </c>
      <c r="R169" s="674">
        <v>5</v>
      </c>
      <c r="S169" s="696" t="s">
        <v>1503</v>
      </c>
      <c r="T169" s="697" t="s">
        <v>1584</v>
      </c>
      <c r="U169" s="674"/>
      <c r="V169" s="680"/>
      <c r="W169" s="681"/>
      <c r="X169" s="674"/>
      <c r="Y169" s="680"/>
      <c r="Z169" s="681"/>
      <c r="AA169" s="674"/>
      <c r="AB169" s="680"/>
      <c r="AC169" s="681"/>
      <c r="AD169" s="674"/>
      <c r="AE169" s="680"/>
      <c r="AF169" s="681"/>
      <c r="AG169" s="674"/>
      <c r="AH169" s="680"/>
      <c r="AI169" s="681"/>
      <c r="AJ169" s="674"/>
      <c r="AK169" s="680"/>
      <c r="AL169" s="681"/>
    </row>
    <row r="170" spans="1:38" x14ac:dyDescent="0.55000000000000004">
      <c r="A170" s="706">
        <v>44014</v>
      </c>
      <c r="B170" s="682">
        <v>63167</v>
      </c>
      <c r="C170" s="1180" t="s">
        <v>3931</v>
      </c>
      <c r="D170" s="685" t="s">
        <v>1452</v>
      </c>
      <c r="E170" s="709"/>
      <c r="F170" s="674">
        <v>1</v>
      </c>
      <c r="G170" s="675" t="s">
        <v>3933</v>
      </c>
      <c r="H170" s="676" t="s">
        <v>1571</v>
      </c>
      <c r="I170" s="674">
        <v>2</v>
      </c>
      <c r="J170" s="675" t="s">
        <v>1511</v>
      </c>
      <c r="K170" s="677" t="s">
        <v>1575</v>
      </c>
      <c r="L170" s="674">
        <v>3</v>
      </c>
      <c r="M170" s="678" t="s">
        <v>1503</v>
      </c>
      <c r="N170" s="679" t="s">
        <v>1585</v>
      </c>
      <c r="O170" s="674"/>
      <c r="P170" s="680"/>
      <c r="Q170" s="681"/>
      <c r="R170" s="674"/>
      <c r="S170" s="680"/>
      <c r="T170" s="681"/>
      <c r="U170" s="674"/>
      <c r="V170" s="680"/>
      <c r="W170" s="681"/>
      <c r="X170" s="674"/>
      <c r="Y170" s="680"/>
      <c r="Z170" s="681"/>
      <c r="AA170" s="674"/>
      <c r="AB170" s="680"/>
      <c r="AC170" s="681"/>
      <c r="AD170" s="674"/>
      <c r="AE170" s="680"/>
      <c r="AF170" s="681"/>
      <c r="AG170" s="674"/>
      <c r="AH170" s="680"/>
      <c r="AI170" s="681"/>
      <c r="AJ170" s="674"/>
      <c r="AK170" s="680"/>
      <c r="AL170" s="681"/>
    </row>
    <row r="171" spans="1:38" x14ac:dyDescent="0.55000000000000004">
      <c r="A171" s="706">
        <v>44014</v>
      </c>
      <c r="B171" s="682">
        <v>63168</v>
      </c>
      <c r="C171" s="684">
        <v>20066605</v>
      </c>
      <c r="D171" s="685" t="s">
        <v>3978</v>
      </c>
      <c r="E171" s="695"/>
      <c r="F171" s="674">
        <v>1</v>
      </c>
      <c r="G171" s="675" t="s">
        <v>890</v>
      </c>
      <c r="H171" s="676" t="s">
        <v>1571</v>
      </c>
      <c r="I171" s="674">
        <v>2</v>
      </c>
      <c r="J171" s="675" t="s">
        <v>1634</v>
      </c>
      <c r="K171" s="677" t="s">
        <v>1586</v>
      </c>
      <c r="L171" s="674">
        <v>3</v>
      </c>
      <c r="M171" s="678" t="s">
        <v>1507</v>
      </c>
      <c r="N171" s="679" t="s">
        <v>1575</v>
      </c>
      <c r="O171" s="674">
        <v>4</v>
      </c>
      <c r="P171" s="678" t="s">
        <v>1498</v>
      </c>
      <c r="Q171" s="677" t="s">
        <v>2064</v>
      </c>
      <c r="R171" s="674"/>
      <c r="S171" s="680"/>
      <c r="T171" s="681"/>
      <c r="U171" s="674"/>
      <c r="V171" s="680"/>
      <c r="W171" s="681"/>
      <c r="X171" s="674"/>
      <c r="Y171" s="680"/>
      <c r="Z171" s="681"/>
      <c r="AA171" s="674"/>
      <c r="AB171" s="680"/>
      <c r="AC171" s="681"/>
      <c r="AD171" s="674"/>
      <c r="AE171" s="680"/>
      <c r="AF171" s="681"/>
      <c r="AG171" s="674"/>
      <c r="AH171" s="680"/>
      <c r="AI171" s="681"/>
      <c r="AJ171" s="674"/>
      <c r="AK171" s="680"/>
      <c r="AL171" s="681"/>
    </row>
    <row r="172" spans="1:38" x14ac:dyDescent="0.55000000000000004">
      <c r="A172" s="706">
        <v>44014</v>
      </c>
      <c r="B172" s="682">
        <v>63169</v>
      </c>
      <c r="C172" s="684">
        <v>20066606</v>
      </c>
      <c r="D172" s="685" t="s">
        <v>3978</v>
      </c>
      <c r="E172" s="695"/>
      <c r="F172" s="674">
        <v>1</v>
      </c>
      <c r="G172" s="675" t="s">
        <v>3929</v>
      </c>
      <c r="H172" s="676" t="s">
        <v>1571</v>
      </c>
      <c r="I172" s="674">
        <v>2</v>
      </c>
      <c r="J172" s="675" t="s">
        <v>1634</v>
      </c>
      <c r="K172" s="677" t="s">
        <v>1574</v>
      </c>
      <c r="L172" s="674">
        <v>3</v>
      </c>
      <c r="M172" s="678" t="s">
        <v>1502</v>
      </c>
      <c r="N172" s="679" t="s">
        <v>1575</v>
      </c>
      <c r="O172" s="674">
        <v>4</v>
      </c>
      <c r="P172" s="678" t="s">
        <v>1498</v>
      </c>
      <c r="Q172" s="677" t="s">
        <v>2878</v>
      </c>
      <c r="R172" s="674">
        <v>5</v>
      </c>
      <c r="S172" s="696" t="s">
        <v>1503</v>
      </c>
      <c r="T172" s="697" t="s">
        <v>1584</v>
      </c>
      <c r="U172" s="674"/>
      <c r="V172" s="680"/>
      <c r="W172" s="681"/>
      <c r="X172" s="674"/>
      <c r="Y172" s="680"/>
      <c r="Z172" s="681"/>
      <c r="AA172" s="674"/>
      <c r="AB172" s="680"/>
      <c r="AC172" s="681"/>
      <c r="AD172" s="674"/>
      <c r="AE172" s="680"/>
      <c r="AF172" s="681"/>
      <c r="AG172" s="674"/>
      <c r="AH172" s="680"/>
      <c r="AI172" s="681"/>
      <c r="AJ172" s="674"/>
      <c r="AK172" s="680"/>
      <c r="AL172" s="681"/>
    </row>
    <row r="173" spans="1:38" x14ac:dyDescent="0.55000000000000004">
      <c r="A173" s="706">
        <v>44014</v>
      </c>
      <c r="B173" s="682">
        <v>63170</v>
      </c>
      <c r="C173" s="684">
        <v>20026490</v>
      </c>
      <c r="D173" s="685" t="s">
        <v>1490</v>
      </c>
      <c r="E173" s="695"/>
      <c r="F173" s="674">
        <v>1</v>
      </c>
      <c r="G173" s="675" t="s">
        <v>4045</v>
      </c>
      <c r="H173" s="676" t="s">
        <v>1571</v>
      </c>
      <c r="I173" s="674">
        <v>2</v>
      </c>
      <c r="J173" s="675" t="s">
        <v>1511</v>
      </c>
      <c r="K173" s="677" t="s">
        <v>1575</v>
      </c>
      <c r="L173" s="674">
        <v>3</v>
      </c>
      <c r="M173" s="678" t="s">
        <v>1507</v>
      </c>
      <c r="N173" s="679" t="s">
        <v>1575</v>
      </c>
      <c r="O173" s="674">
        <v>4</v>
      </c>
      <c r="P173" s="678" t="s">
        <v>1503</v>
      </c>
      <c r="Q173" s="677" t="s">
        <v>1801</v>
      </c>
      <c r="R173" s="674"/>
      <c r="S173" s="680"/>
      <c r="T173" s="681"/>
      <c r="U173" s="674"/>
      <c r="V173" s="680"/>
      <c r="W173" s="681"/>
      <c r="X173" s="674"/>
      <c r="Y173" s="680"/>
      <c r="Z173" s="681"/>
      <c r="AA173" s="674"/>
      <c r="AB173" s="680"/>
      <c r="AC173" s="681"/>
      <c r="AD173" s="674"/>
      <c r="AE173" s="680"/>
      <c r="AF173" s="681"/>
      <c r="AG173" s="674"/>
      <c r="AH173" s="680"/>
      <c r="AI173" s="681"/>
      <c r="AJ173" s="674"/>
      <c r="AK173" s="680"/>
      <c r="AL173" s="681"/>
    </row>
    <row r="174" spans="1:38" x14ac:dyDescent="0.55000000000000004">
      <c r="A174" s="707">
        <v>44020</v>
      </c>
      <c r="B174" s="692">
        <v>63171</v>
      </c>
      <c r="C174" s="672">
        <v>20056563</v>
      </c>
      <c r="D174" s="673" t="s">
        <v>3743</v>
      </c>
      <c r="E174" s="725"/>
      <c r="F174" s="674">
        <v>1</v>
      </c>
      <c r="G174" s="675" t="s">
        <v>812</v>
      </c>
      <c r="H174" s="676" t="s">
        <v>1571</v>
      </c>
      <c r="I174" s="674">
        <v>2</v>
      </c>
      <c r="J174" s="675" t="s">
        <v>1634</v>
      </c>
      <c r="K174" s="677" t="s">
        <v>1574</v>
      </c>
      <c r="L174" s="674">
        <v>3</v>
      </c>
      <c r="M174" s="678" t="s">
        <v>1502</v>
      </c>
      <c r="N174" s="679" t="s">
        <v>1575</v>
      </c>
      <c r="O174" s="674">
        <v>4</v>
      </c>
      <c r="P174" s="678" t="s">
        <v>1498</v>
      </c>
      <c r="Q174" s="677" t="s">
        <v>1678</v>
      </c>
      <c r="R174" s="674">
        <v>5</v>
      </c>
      <c r="S174" s="696" t="s">
        <v>1503</v>
      </c>
      <c r="T174" s="697" t="s">
        <v>1584</v>
      </c>
      <c r="U174" s="674"/>
      <c r="V174" s="680"/>
      <c r="W174" s="681"/>
      <c r="X174" s="674"/>
      <c r="Y174" s="680"/>
      <c r="Z174" s="681"/>
      <c r="AA174" s="674"/>
      <c r="AB174" s="680"/>
      <c r="AC174" s="681"/>
      <c r="AD174" s="674"/>
      <c r="AE174" s="680"/>
      <c r="AF174" s="681"/>
      <c r="AG174" s="674"/>
      <c r="AH174" s="680"/>
      <c r="AI174" s="681"/>
      <c r="AJ174" s="674"/>
      <c r="AK174" s="680"/>
      <c r="AL174" s="681"/>
    </row>
    <row r="175" spans="1:38" x14ac:dyDescent="0.55000000000000004">
      <c r="A175" s="706"/>
      <c r="B175" s="682">
        <v>63172</v>
      </c>
      <c r="C175" s="684"/>
      <c r="D175" s="685"/>
      <c r="E175" s="695"/>
      <c r="F175" s="674">
        <v>1</v>
      </c>
      <c r="G175" s="675" t="s">
        <v>880</v>
      </c>
      <c r="H175" s="676" t="s">
        <v>1571</v>
      </c>
      <c r="I175" s="674">
        <v>2</v>
      </c>
      <c r="J175" s="675" t="s">
        <v>1503</v>
      </c>
      <c r="K175" s="677" t="s">
        <v>1584</v>
      </c>
      <c r="L175" s="674"/>
      <c r="M175" s="680"/>
      <c r="N175" s="1181"/>
      <c r="O175" s="674"/>
      <c r="P175" s="680"/>
      <c r="Q175" s="681"/>
      <c r="R175" s="674"/>
      <c r="S175" s="680"/>
      <c r="T175" s="681"/>
      <c r="U175" s="674"/>
      <c r="V175" s="680"/>
      <c r="W175" s="681"/>
      <c r="X175" s="674"/>
      <c r="Y175" s="680"/>
      <c r="Z175" s="681"/>
      <c r="AA175" s="674"/>
      <c r="AB175" s="680"/>
      <c r="AC175" s="681"/>
      <c r="AD175" s="674"/>
      <c r="AE175" s="680"/>
      <c r="AF175" s="681"/>
      <c r="AG175" s="674"/>
      <c r="AH175" s="680"/>
      <c r="AI175" s="681"/>
      <c r="AJ175" s="674"/>
      <c r="AK175" s="680"/>
      <c r="AL175" s="681"/>
    </row>
    <row r="176" spans="1:38" x14ac:dyDescent="0.55000000000000004">
      <c r="A176" s="707">
        <v>44021</v>
      </c>
      <c r="B176" s="692">
        <v>63173</v>
      </c>
      <c r="C176" s="672">
        <v>20066599</v>
      </c>
      <c r="D176" s="673" t="s">
        <v>3976</v>
      </c>
      <c r="E176" s="725"/>
      <c r="F176" s="674">
        <v>1</v>
      </c>
      <c r="G176" s="675" t="s">
        <v>3545</v>
      </c>
      <c r="H176" s="676" t="s">
        <v>1571</v>
      </c>
      <c r="I176" s="674">
        <v>2</v>
      </c>
      <c r="J176" s="675" t="s">
        <v>3900</v>
      </c>
      <c r="K176" s="677" t="s">
        <v>1571</v>
      </c>
      <c r="L176" s="674">
        <v>3</v>
      </c>
      <c r="M176" s="678" t="s">
        <v>1634</v>
      </c>
      <c r="N176" s="679" t="s">
        <v>1574</v>
      </c>
      <c r="O176" s="674">
        <v>4</v>
      </c>
      <c r="P176" s="678" t="s">
        <v>4044</v>
      </c>
      <c r="Q176" s="677" t="s">
        <v>1575</v>
      </c>
      <c r="R176" s="674">
        <v>5</v>
      </c>
      <c r="S176" s="696" t="s">
        <v>1507</v>
      </c>
      <c r="T176" s="697" t="s">
        <v>1575</v>
      </c>
      <c r="U176" s="674">
        <v>6</v>
      </c>
      <c r="V176" s="696" t="s">
        <v>1498</v>
      </c>
      <c r="W176" s="697" t="s">
        <v>1637</v>
      </c>
      <c r="X176" s="674">
        <v>7</v>
      </c>
      <c r="Y176" s="696" t="s">
        <v>1503</v>
      </c>
      <c r="Z176" s="697" t="s">
        <v>1801</v>
      </c>
      <c r="AA176" s="674"/>
      <c r="AB176" s="680"/>
      <c r="AC176" s="681"/>
      <c r="AD176" s="674"/>
      <c r="AE176" s="680"/>
      <c r="AF176" s="681"/>
      <c r="AG176" s="674"/>
      <c r="AH176" s="680"/>
      <c r="AI176" s="681"/>
      <c r="AJ176" s="674"/>
      <c r="AK176" s="680"/>
      <c r="AL176" s="681"/>
    </row>
    <row r="177" spans="1:38" x14ac:dyDescent="0.55000000000000004">
      <c r="A177" s="706"/>
      <c r="B177" s="682">
        <v>63174</v>
      </c>
      <c r="C177" s="684"/>
      <c r="D177" s="685"/>
      <c r="E177" s="695"/>
      <c r="F177" s="674">
        <v>1</v>
      </c>
      <c r="G177" s="675" t="s">
        <v>3899</v>
      </c>
      <c r="H177" s="676" t="s">
        <v>1571</v>
      </c>
      <c r="I177" s="674">
        <v>2</v>
      </c>
      <c r="J177" s="675" t="s">
        <v>1634</v>
      </c>
      <c r="K177" s="677" t="s">
        <v>1574</v>
      </c>
      <c r="L177" s="674">
        <v>3</v>
      </c>
      <c r="M177" s="678" t="s">
        <v>1502</v>
      </c>
      <c r="N177" s="679" t="s">
        <v>1575</v>
      </c>
      <c r="O177" s="674">
        <v>4</v>
      </c>
      <c r="P177" s="678" t="s">
        <v>1503</v>
      </c>
      <c r="Q177" s="677" t="s">
        <v>1584</v>
      </c>
      <c r="R177" s="674"/>
      <c r="S177" s="680"/>
      <c r="T177" s="681"/>
      <c r="U177" s="674"/>
      <c r="V177" s="680"/>
      <c r="W177" s="681"/>
      <c r="X177" s="674"/>
      <c r="Y177" s="680"/>
      <c r="Z177" s="681"/>
      <c r="AA177" s="674"/>
      <c r="AB177" s="680"/>
      <c r="AC177" s="681"/>
      <c r="AD177" s="674"/>
      <c r="AE177" s="680"/>
      <c r="AF177" s="681"/>
      <c r="AG177" s="674"/>
      <c r="AH177" s="680"/>
      <c r="AI177" s="681"/>
      <c r="AJ177" s="674"/>
      <c r="AK177" s="680"/>
      <c r="AL177" s="681"/>
    </row>
    <row r="178" spans="1:38" x14ac:dyDescent="0.55000000000000004">
      <c r="A178" s="706">
        <v>44021</v>
      </c>
      <c r="B178" s="682">
        <v>63175</v>
      </c>
      <c r="C178" s="684">
        <v>20066609</v>
      </c>
      <c r="D178" s="685" t="s">
        <v>3746</v>
      </c>
      <c r="E178" s="695"/>
      <c r="F178" s="674">
        <v>1</v>
      </c>
      <c r="G178" s="675" t="s">
        <v>3572</v>
      </c>
      <c r="H178" s="676" t="s">
        <v>1571</v>
      </c>
      <c r="I178" s="674">
        <v>2</v>
      </c>
      <c r="J178" s="675" t="s">
        <v>1503</v>
      </c>
      <c r="K178" s="677" t="s">
        <v>1632</v>
      </c>
      <c r="L178" s="674"/>
      <c r="M178" s="680"/>
      <c r="N178" s="1181"/>
      <c r="O178" s="674"/>
      <c r="P178" s="680"/>
      <c r="Q178" s="681"/>
      <c r="R178" s="674"/>
      <c r="S178" s="680"/>
      <c r="T178" s="681"/>
      <c r="U178" s="674"/>
      <c r="V178" s="680"/>
      <c r="W178" s="681"/>
      <c r="X178" s="674"/>
      <c r="Y178" s="680"/>
      <c r="Z178" s="681"/>
      <c r="AA178" s="674"/>
      <c r="AB178" s="680"/>
      <c r="AC178" s="681"/>
      <c r="AD178" s="674"/>
      <c r="AE178" s="680"/>
      <c r="AF178" s="681"/>
      <c r="AG178" s="674"/>
      <c r="AH178" s="680"/>
      <c r="AI178" s="681"/>
      <c r="AJ178" s="674"/>
      <c r="AK178" s="680"/>
      <c r="AL178" s="681"/>
    </row>
    <row r="179" spans="1:38" x14ac:dyDescent="0.55000000000000004">
      <c r="A179" s="707">
        <v>44021</v>
      </c>
      <c r="B179" s="692">
        <v>63176</v>
      </c>
      <c r="C179" s="672">
        <v>20066610</v>
      </c>
      <c r="D179" s="673" t="s">
        <v>3979</v>
      </c>
      <c r="E179" s="725"/>
      <c r="F179" s="674">
        <v>1</v>
      </c>
      <c r="G179" s="675" t="s">
        <v>652</v>
      </c>
      <c r="H179" s="676" t="s">
        <v>1579</v>
      </c>
      <c r="I179" s="674">
        <v>2</v>
      </c>
      <c r="J179" s="675" t="s">
        <v>1634</v>
      </c>
      <c r="K179" s="677" t="s">
        <v>1633</v>
      </c>
      <c r="L179" s="674">
        <v>3</v>
      </c>
      <c r="M179" s="678" t="s">
        <v>1502</v>
      </c>
      <c r="N179" s="679" t="s">
        <v>1583</v>
      </c>
      <c r="O179" s="674">
        <v>4</v>
      </c>
      <c r="P179" s="678" t="s">
        <v>1498</v>
      </c>
      <c r="Q179" s="677" t="s">
        <v>1785</v>
      </c>
      <c r="R179" s="674">
        <v>5</v>
      </c>
      <c r="S179" s="696" t="s">
        <v>1503</v>
      </c>
      <c r="T179" s="697" t="s">
        <v>1597</v>
      </c>
      <c r="U179" s="674"/>
      <c r="V179" s="680"/>
      <c r="W179" s="681"/>
      <c r="X179" s="674"/>
      <c r="Y179" s="680"/>
      <c r="Z179" s="681"/>
      <c r="AA179" s="674"/>
      <c r="AB179" s="680"/>
      <c r="AC179" s="681"/>
      <c r="AD179" s="674"/>
      <c r="AE179" s="680"/>
      <c r="AF179" s="681"/>
      <c r="AG179" s="674"/>
      <c r="AH179" s="680"/>
      <c r="AI179" s="681"/>
      <c r="AJ179" s="674"/>
      <c r="AK179" s="680"/>
      <c r="AL179" s="681"/>
    </row>
    <row r="180" spans="1:38" x14ac:dyDescent="0.55000000000000004">
      <c r="A180" s="706"/>
      <c r="B180" s="682">
        <v>63177</v>
      </c>
      <c r="C180" s="684"/>
      <c r="D180" s="685"/>
      <c r="E180" s="695"/>
      <c r="F180" s="674">
        <v>1</v>
      </c>
      <c r="G180" s="675" t="s">
        <v>652</v>
      </c>
      <c r="H180" s="676" t="s">
        <v>1579</v>
      </c>
      <c r="I180" s="674">
        <v>2</v>
      </c>
      <c r="J180" s="675" t="s">
        <v>1634</v>
      </c>
      <c r="K180" s="677" t="s">
        <v>1633</v>
      </c>
      <c r="L180" s="674">
        <v>3</v>
      </c>
      <c r="M180" s="678" t="s">
        <v>1502</v>
      </c>
      <c r="N180" s="679" t="s">
        <v>1583</v>
      </c>
      <c r="O180" s="674">
        <v>4</v>
      </c>
      <c r="P180" s="678" t="s">
        <v>1498</v>
      </c>
      <c r="Q180" s="677" t="s">
        <v>1785</v>
      </c>
      <c r="R180" s="674">
        <v>5</v>
      </c>
      <c r="S180" s="696" t="s">
        <v>1503</v>
      </c>
      <c r="T180" s="697" t="s">
        <v>1597</v>
      </c>
      <c r="U180" s="674"/>
      <c r="V180" s="680"/>
      <c r="W180" s="681"/>
      <c r="X180" s="674"/>
      <c r="Y180" s="680"/>
      <c r="Z180" s="681"/>
      <c r="AA180" s="674"/>
      <c r="AB180" s="680"/>
      <c r="AC180" s="681"/>
      <c r="AD180" s="674"/>
      <c r="AE180" s="680"/>
      <c r="AF180" s="681"/>
      <c r="AG180" s="674"/>
      <c r="AH180" s="680"/>
      <c r="AI180" s="681"/>
      <c r="AJ180" s="674"/>
      <c r="AK180" s="680"/>
      <c r="AL180" s="681"/>
    </row>
    <row r="181" spans="1:38" x14ac:dyDescent="0.55000000000000004">
      <c r="A181" s="707">
        <v>44021</v>
      </c>
      <c r="B181" s="692">
        <v>63178</v>
      </c>
      <c r="C181" s="672">
        <v>20056578</v>
      </c>
      <c r="D181" s="673" t="s">
        <v>3980</v>
      </c>
      <c r="E181" s="725"/>
      <c r="F181" s="674">
        <v>1</v>
      </c>
      <c r="G181" s="675" t="s">
        <v>779</v>
      </c>
      <c r="H181" s="676" t="s">
        <v>1571</v>
      </c>
      <c r="I181" s="674">
        <v>2</v>
      </c>
      <c r="J181" s="675" t="s">
        <v>1634</v>
      </c>
      <c r="K181" s="677" t="s">
        <v>1583</v>
      </c>
      <c r="L181" s="674">
        <v>3</v>
      </c>
      <c r="M181" s="678" t="s">
        <v>1502</v>
      </c>
      <c r="N181" s="679" t="s">
        <v>1575</v>
      </c>
      <c r="O181" s="674">
        <v>4</v>
      </c>
      <c r="P181" s="678" t="s">
        <v>1498</v>
      </c>
      <c r="Q181" s="677" t="s">
        <v>2067</v>
      </c>
      <c r="R181" s="674">
        <v>5</v>
      </c>
      <c r="S181" s="696" t="s">
        <v>2453</v>
      </c>
      <c r="T181" s="697" t="s">
        <v>1574</v>
      </c>
      <c r="U181" s="674">
        <v>6</v>
      </c>
      <c r="V181" s="696" t="s">
        <v>1515</v>
      </c>
      <c r="W181" s="697" t="s">
        <v>1586</v>
      </c>
      <c r="X181" s="674">
        <v>7</v>
      </c>
      <c r="Y181" s="696" t="s">
        <v>1503</v>
      </c>
      <c r="Z181" s="697" t="s">
        <v>1801</v>
      </c>
      <c r="AA181" s="674"/>
      <c r="AB181" s="680"/>
      <c r="AC181" s="681"/>
      <c r="AD181" s="674"/>
      <c r="AE181" s="680"/>
      <c r="AF181" s="681"/>
      <c r="AG181" s="674"/>
      <c r="AH181" s="680"/>
      <c r="AI181" s="681"/>
      <c r="AJ181" s="674"/>
      <c r="AK181" s="680"/>
      <c r="AL181" s="681"/>
    </row>
    <row r="182" spans="1:38" x14ac:dyDescent="0.55000000000000004">
      <c r="A182" s="706"/>
      <c r="B182" s="682">
        <v>63179</v>
      </c>
      <c r="C182" s="684"/>
      <c r="D182" s="685"/>
      <c r="E182" s="695"/>
      <c r="F182" s="674">
        <v>1</v>
      </c>
      <c r="G182" s="675" t="s">
        <v>779</v>
      </c>
      <c r="H182" s="676" t="s">
        <v>1571</v>
      </c>
      <c r="I182" s="674">
        <v>2</v>
      </c>
      <c r="J182" s="675" t="s">
        <v>1634</v>
      </c>
      <c r="K182" s="677" t="s">
        <v>1583</v>
      </c>
      <c r="L182" s="674">
        <v>3</v>
      </c>
      <c r="M182" s="678" t="s">
        <v>1502</v>
      </c>
      <c r="N182" s="679" t="s">
        <v>1575</v>
      </c>
      <c r="O182" s="674">
        <v>4</v>
      </c>
      <c r="P182" s="678" t="s">
        <v>1498</v>
      </c>
      <c r="Q182" s="677" t="s">
        <v>2067</v>
      </c>
      <c r="R182" s="674">
        <v>5</v>
      </c>
      <c r="S182" s="696" t="s">
        <v>2453</v>
      </c>
      <c r="T182" s="697" t="s">
        <v>1574</v>
      </c>
      <c r="U182" s="674">
        <v>6</v>
      </c>
      <c r="V182" s="696" t="s">
        <v>1515</v>
      </c>
      <c r="W182" s="697" t="s">
        <v>1586</v>
      </c>
      <c r="X182" s="674">
        <v>7</v>
      </c>
      <c r="Y182" s="696" t="s">
        <v>1503</v>
      </c>
      <c r="Z182" s="697" t="s">
        <v>1801</v>
      </c>
      <c r="AA182" s="674"/>
      <c r="AB182" s="680"/>
      <c r="AC182" s="681"/>
      <c r="AD182" s="674"/>
      <c r="AE182" s="680"/>
      <c r="AF182" s="681"/>
      <c r="AG182" s="674"/>
      <c r="AH182" s="680"/>
      <c r="AI182" s="681"/>
      <c r="AJ182" s="674"/>
      <c r="AK182" s="680"/>
      <c r="AL182" s="681"/>
    </row>
    <row r="183" spans="1:38" x14ac:dyDescent="0.55000000000000004">
      <c r="A183" s="706">
        <v>44022</v>
      </c>
      <c r="B183" s="682">
        <v>63180</v>
      </c>
      <c r="C183" s="684">
        <v>20066586</v>
      </c>
      <c r="D183" s="685" t="s">
        <v>1738</v>
      </c>
      <c r="E183" s="695"/>
      <c r="F183" s="674">
        <v>1</v>
      </c>
      <c r="G183" s="675" t="s">
        <v>3890</v>
      </c>
      <c r="H183" s="676" t="s">
        <v>1571</v>
      </c>
      <c r="I183" s="674">
        <v>2</v>
      </c>
      <c r="J183" s="675" t="s">
        <v>1511</v>
      </c>
      <c r="K183" s="677" t="s">
        <v>1583</v>
      </c>
      <c r="L183" s="674">
        <v>3</v>
      </c>
      <c r="M183" s="678" t="s">
        <v>1502</v>
      </c>
      <c r="N183" s="679" t="s">
        <v>1575</v>
      </c>
      <c r="O183" s="674">
        <v>4</v>
      </c>
      <c r="P183" s="678" t="s">
        <v>1498</v>
      </c>
      <c r="Q183" s="677" t="s">
        <v>1798</v>
      </c>
      <c r="R183" s="674">
        <v>5</v>
      </c>
      <c r="S183" s="696" t="s">
        <v>1503</v>
      </c>
      <c r="T183" s="697" t="s">
        <v>1801</v>
      </c>
      <c r="U183" s="674"/>
      <c r="V183" s="680"/>
      <c r="W183" s="681"/>
      <c r="X183" s="674"/>
      <c r="Y183" s="680"/>
      <c r="Z183" s="681"/>
      <c r="AA183" s="674"/>
      <c r="AB183" s="680"/>
      <c r="AC183" s="681"/>
      <c r="AD183" s="674"/>
      <c r="AE183" s="680"/>
      <c r="AF183" s="681"/>
      <c r="AG183" s="674"/>
      <c r="AH183" s="680"/>
      <c r="AI183" s="681"/>
      <c r="AJ183" s="674"/>
      <c r="AK183" s="680"/>
      <c r="AL183" s="681"/>
    </row>
    <row r="184" spans="1:38" x14ac:dyDescent="0.55000000000000004">
      <c r="A184" s="706">
        <v>44032</v>
      </c>
      <c r="B184" s="682">
        <v>63181</v>
      </c>
      <c r="C184" s="684">
        <v>20056577</v>
      </c>
      <c r="D184" s="685" t="s">
        <v>3975</v>
      </c>
      <c r="E184" s="685"/>
      <c r="F184" s="674">
        <v>1</v>
      </c>
      <c r="G184" s="675" t="s">
        <v>1963</v>
      </c>
      <c r="H184" s="676" t="s">
        <v>1571</v>
      </c>
      <c r="I184" s="674">
        <v>2</v>
      </c>
      <c r="J184" s="675" t="s">
        <v>3862</v>
      </c>
      <c r="K184" s="677" t="s">
        <v>1571</v>
      </c>
      <c r="L184" s="674">
        <v>3</v>
      </c>
      <c r="M184" s="678" t="s">
        <v>1511</v>
      </c>
      <c r="N184" s="679" t="s">
        <v>1578</v>
      </c>
      <c r="O184" s="674">
        <v>4</v>
      </c>
      <c r="P184" s="678" t="s">
        <v>1502</v>
      </c>
      <c r="Q184" s="677" t="s">
        <v>1583</v>
      </c>
      <c r="R184" s="674">
        <v>5</v>
      </c>
      <c r="S184" s="696" t="s">
        <v>1498</v>
      </c>
      <c r="T184" s="697" t="s">
        <v>2062</v>
      </c>
      <c r="U184" s="674">
        <v>6</v>
      </c>
      <c r="V184" s="696" t="s">
        <v>1503</v>
      </c>
      <c r="W184" s="697" t="s">
        <v>1585</v>
      </c>
      <c r="X184" s="674"/>
      <c r="Y184" s="680"/>
      <c r="Z184" s="681"/>
      <c r="AA184" s="674"/>
      <c r="AB184" s="680"/>
      <c r="AC184" s="681"/>
      <c r="AD184" s="674"/>
      <c r="AE184" s="680"/>
      <c r="AF184" s="681"/>
      <c r="AG184" s="674"/>
      <c r="AH184" s="680"/>
      <c r="AI184" s="681"/>
      <c r="AJ184" s="674"/>
      <c r="AK184" s="680"/>
      <c r="AL184" s="681"/>
    </row>
    <row r="185" spans="1:38" x14ac:dyDescent="0.55000000000000004">
      <c r="A185" s="706">
        <v>44035</v>
      </c>
      <c r="B185" s="682">
        <v>63182</v>
      </c>
      <c r="C185" s="684">
        <v>19126454</v>
      </c>
      <c r="D185" s="685" t="s">
        <v>204</v>
      </c>
      <c r="E185" s="695"/>
      <c r="F185" s="674">
        <v>1</v>
      </c>
      <c r="G185" s="675" t="s">
        <v>3251</v>
      </c>
      <c r="H185" s="676" t="s">
        <v>1571</v>
      </c>
      <c r="I185" s="674">
        <v>2</v>
      </c>
      <c r="J185" s="675" t="s">
        <v>1634</v>
      </c>
      <c r="K185" s="677" t="s">
        <v>1575</v>
      </c>
      <c r="L185" s="674">
        <v>3</v>
      </c>
      <c r="M185" s="678" t="s">
        <v>1631</v>
      </c>
      <c r="N185" s="679" t="s">
        <v>1575</v>
      </c>
      <c r="O185" s="674">
        <v>4</v>
      </c>
      <c r="P185" s="678" t="s">
        <v>4062</v>
      </c>
      <c r="Q185" s="677" t="s">
        <v>1586</v>
      </c>
      <c r="R185" s="674">
        <v>5</v>
      </c>
      <c r="S185" s="696" t="s">
        <v>1636</v>
      </c>
      <c r="T185" s="697" t="s">
        <v>1575</v>
      </c>
      <c r="U185" s="674">
        <v>6</v>
      </c>
      <c r="V185" s="696" t="s">
        <v>1503</v>
      </c>
      <c r="W185" s="697" t="s">
        <v>1584</v>
      </c>
      <c r="X185" s="674">
        <v>7</v>
      </c>
      <c r="Y185" s="696" t="s">
        <v>2330</v>
      </c>
      <c r="Z185" s="697" t="s">
        <v>1931</v>
      </c>
      <c r="AA185" s="674"/>
      <c r="AB185" s="680"/>
      <c r="AC185" s="681"/>
      <c r="AD185" s="674"/>
      <c r="AE185" s="680"/>
      <c r="AF185" s="681"/>
      <c r="AG185" s="674"/>
      <c r="AH185" s="680"/>
      <c r="AI185" s="681"/>
      <c r="AJ185" s="674"/>
      <c r="AK185" s="680"/>
      <c r="AL185" s="681"/>
    </row>
    <row r="186" spans="1:38" x14ac:dyDescent="0.55000000000000004">
      <c r="A186" s="706">
        <v>44035</v>
      </c>
      <c r="B186" s="682">
        <v>63183</v>
      </c>
      <c r="C186" s="684">
        <v>20076613</v>
      </c>
      <c r="D186" s="685" t="s">
        <v>1490</v>
      </c>
      <c r="E186" s="695"/>
      <c r="F186" s="674">
        <v>1</v>
      </c>
      <c r="G186" s="675" t="s">
        <v>4061</v>
      </c>
      <c r="H186" s="676" t="s">
        <v>1571</v>
      </c>
      <c r="I186" s="674">
        <v>2</v>
      </c>
      <c r="J186" s="675" t="s">
        <v>1511</v>
      </c>
      <c r="K186" s="677" t="s">
        <v>1574</v>
      </c>
      <c r="L186" s="674">
        <v>3</v>
      </c>
      <c r="M186" s="678" t="s">
        <v>1502</v>
      </c>
      <c r="N186" s="679" t="s">
        <v>1575</v>
      </c>
      <c r="O186" s="674">
        <v>4</v>
      </c>
      <c r="P186" s="678" t="s">
        <v>1503</v>
      </c>
      <c r="Q186" s="677" t="s">
        <v>1584</v>
      </c>
      <c r="R186" s="674"/>
      <c r="S186" s="680"/>
      <c r="T186" s="681"/>
      <c r="U186" s="674"/>
      <c r="V186" s="680"/>
      <c r="W186" s="681"/>
      <c r="X186" s="674"/>
      <c r="Y186" s="680"/>
      <c r="Z186" s="681"/>
      <c r="AA186" s="674"/>
      <c r="AB186" s="680"/>
      <c r="AC186" s="681"/>
      <c r="AD186" s="674"/>
      <c r="AE186" s="680"/>
      <c r="AF186" s="681"/>
      <c r="AG186" s="674"/>
      <c r="AH186" s="680"/>
      <c r="AI186" s="681"/>
      <c r="AJ186" s="674"/>
      <c r="AK186" s="680"/>
      <c r="AL186" s="681"/>
    </row>
    <row r="187" spans="1:38" x14ac:dyDescent="0.55000000000000004">
      <c r="A187" s="707">
        <v>44042</v>
      </c>
      <c r="B187" s="698">
        <v>63184</v>
      </c>
      <c r="C187" s="672">
        <v>20076621</v>
      </c>
      <c r="D187" s="673" t="s">
        <v>2872</v>
      </c>
      <c r="E187" s="693"/>
      <c r="F187" s="674">
        <v>1</v>
      </c>
      <c r="G187" s="675" t="s">
        <v>1606</v>
      </c>
      <c r="H187" s="676" t="s">
        <v>1581</v>
      </c>
      <c r="I187" s="674"/>
      <c r="J187" s="690"/>
      <c r="K187" s="681"/>
      <c r="L187" s="674"/>
      <c r="M187" s="680"/>
      <c r="N187" s="1181"/>
      <c r="O187" s="674"/>
      <c r="P187" s="680"/>
      <c r="Q187" s="681"/>
      <c r="R187" s="674"/>
      <c r="S187" s="680"/>
      <c r="T187" s="681"/>
      <c r="U187" s="674"/>
      <c r="V187" s="680"/>
      <c r="W187" s="681"/>
      <c r="X187" s="674"/>
      <c r="Y187" s="680"/>
      <c r="Z187" s="681"/>
      <c r="AA187" s="674"/>
      <c r="AB187" s="680"/>
      <c r="AC187" s="681"/>
      <c r="AD187" s="674"/>
      <c r="AE187" s="680"/>
      <c r="AF187" s="681"/>
      <c r="AG187" s="674"/>
      <c r="AH187" s="680"/>
      <c r="AI187" s="681"/>
      <c r="AJ187" s="674"/>
      <c r="AK187" s="680"/>
      <c r="AL187" s="681"/>
    </row>
    <row r="188" spans="1:38" x14ac:dyDescent="0.55000000000000004">
      <c r="A188" s="707"/>
      <c r="B188" s="856">
        <v>63185</v>
      </c>
      <c r="C188" s="700"/>
      <c r="D188" s="701"/>
      <c r="E188" s="704"/>
      <c r="F188" s="674">
        <v>1</v>
      </c>
      <c r="G188" s="675" t="s">
        <v>1606</v>
      </c>
      <c r="H188" s="676" t="s">
        <v>1797</v>
      </c>
      <c r="I188" s="674"/>
      <c r="J188" s="690"/>
      <c r="K188" s="681"/>
      <c r="L188" s="674"/>
      <c r="M188" s="680"/>
      <c r="N188" s="1181"/>
      <c r="O188" s="674"/>
      <c r="P188" s="680"/>
      <c r="Q188" s="681"/>
      <c r="R188" s="674"/>
      <c r="S188" s="680"/>
      <c r="T188" s="681"/>
      <c r="U188" s="674"/>
      <c r="V188" s="680"/>
      <c r="W188" s="681"/>
      <c r="X188" s="674"/>
      <c r="Y188" s="680"/>
      <c r="Z188" s="681"/>
      <c r="AA188" s="674"/>
      <c r="AB188" s="680"/>
      <c r="AC188" s="681"/>
      <c r="AD188" s="674"/>
      <c r="AE188" s="680"/>
      <c r="AF188" s="681"/>
      <c r="AG188" s="674"/>
      <c r="AH188" s="680"/>
      <c r="AI188" s="681"/>
      <c r="AJ188" s="674"/>
      <c r="AK188" s="680"/>
      <c r="AL188" s="681"/>
    </row>
    <row r="189" spans="1:38" x14ac:dyDescent="0.55000000000000004">
      <c r="A189" s="706"/>
      <c r="B189" s="683">
        <v>63186</v>
      </c>
      <c r="C189" s="684"/>
      <c r="D189" s="685"/>
      <c r="E189" s="685"/>
      <c r="F189" s="674">
        <v>1</v>
      </c>
      <c r="G189" s="675" t="s">
        <v>1606</v>
      </c>
      <c r="H189" s="676" t="s">
        <v>1797</v>
      </c>
      <c r="I189" s="674"/>
      <c r="J189" s="690"/>
      <c r="K189" s="681"/>
      <c r="L189" s="674"/>
      <c r="M189" s="680"/>
      <c r="N189" s="1181"/>
      <c r="O189" s="674"/>
      <c r="P189" s="680"/>
      <c r="Q189" s="681"/>
      <c r="R189" s="674"/>
      <c r="S189" s="680"/>
      <c r="T189" s="681"/>
      <c r="U189" s="674"/>
      <c r="V189" s="680"/>
      <c r="W189" s="681"/>
      <c r="X189" s="674"/>
      <c r="Y189" s="680"/>
      <c r="Z189" s="681"/>
      <c r="AA189" s="674"/>
      <c r="AB189" s="680"/>
      <c r="AC189" s="681"/>
      <c r="AD189" s="674"/>
      <c r="AE189" s="680"/>
      <c r="AF189" s="681"/>
      <c r="AG189" s="674"/>
      <c r="AH189" s="680"/>
      <c r="AI189" s="681"/>
      <c r="AJ189" s="674"/>
      <c r="AK189" s="680"/>
      <c r="AL189" s="681"/>
    </row>
    <row r="190" spans="1:38" x14ac:dyDescent="0.55000000000000004">
      <c r="A190" s="706">
        <v>44046</v>
      </c>
      <c r="B190" s="682">
        <v>63187</v>
      </c>
      <c r="C190" s="684">
        <v>20076629</v>
      </c>
      <c r="D190" s="685" t="s">
        <v>4148</v>
      </c>
      <c r="E190" s="685"/>
      <c r="F190" s="674">
        <v>1</v>
      </c>
      <c r="G190" s="675" t="s">
        <v>650</v>
      </c>
      <c r="H190" s="676" t="s">
        <v>1797</v>
      </c>
      <c r="I190" s="674">
        <v>2</v>
      </c>
      <c r="J190" s="675" t="s">
        <v>661</v>
      </c>
      <c r="K190" s="677" t="s">
        <v>1797</v>
      </c>
      <c r="L190" s="674">
        <v>3</v>
      </c>
      <c r="M190" s="678" t="s">
        <v>1511</v>
      </c>
      <c r="N190" s="679" t="s">
        <v>1633</v>
      </c>
      <c r="O190" s="674">
        <v>4</v>
      </c>
      <c r="P190" s="678" t="s">
        <v>1507</v>
      </c>
      <c r="Q190" s="677" t="s">
        <v>3092</v>
      </c>
      <c r="R190" s="674">
        <v>5</v>
      </c>
      <c r="S190" s="696" t="s">
        <v>1498</v>
      </c>
      <c r="T190" s="697" t="s">
        <v>2446</v>
      </c>
      <c r="U190" s="674"/>
      <c r="V190" s="680"/>
      <c r="W190" s="681"/>
      <c r="X190" s="674"/>
      <c r="Y190" s="680"/>
      <c r="Z190" s="681"/>
      <c r="AA190" s="674"/>
      <c r="AB190" s="680"/>
      <c r="AC190" s="681"/>
      <c r="AD190" s="674"/>
      <c r="AE190" s="680"/>
      <c r="AF190" s="681"/>
      <c r="AG190" s="674"/>
      <c r="AH190" s="680"/>
      <c r="AI190" s="681"/>
      <c r="AJ190" s="674"/>
      <c r="AK190" s="680"/>
      <c r="AL190" s="681"/>
    </row>
    <row r="191" spans="1:38" x14ac:dyDescent="0.55000000000000004">
      <c r="A191" s="670">
        <v>44049</v>
      </c>
      <c r="B191" s="698">
        <v>63188</v>
      </c>
      <c r="C191" s="672">
        <v>20076621</v>
      </c>
      <c r="D191" s="673" t="s">
        <v>2872</v>
      </c>
      <c r="E191" s="725"/>
      <c r="F191" s="674">
        <v>1</v>
      </c>
      <c r="G191" s="675" t="s">
        <v>1606</v>
      </c>
      <c r="H191" s="676" t="s">
        <v>1581</v>
      </c>
      <c r="I191" s="674"/>
      <c r="J191" s="690"/>
      <c r="K191" s="681"/>
      <c r="L191" s="674"/>
      <c r="M191" s="680"/>
      <c r="N191" s="1181"/>
      <c r="O191" s="674"/>
      <c r="P191" s="680"/>
      <c r="Q191" s="681"/>
      <c r="R191" s="674"/>
      <c r="S191" s="680"/>
      <c r="T191" s="681"/>
      <c r="U191" s="674"/>
      <c r="V191" s="680"/>
      <c r="W191" s="681"/>
      <c r="X191" s="674"/>
      <c r="Y191" s="680"/>
      <c r="Z191" s="681"/>
      <c r="AA191" s="674"/>
      <c r="AB191" s="680"/>
      <c r="AC191" s="681"/>
      <c r="AD191" s="674"/>
      <c r="AE191" s="680"/>
      <c r="AF191" s="681"/>
      <c r="AG191" s="674"/>
      <c r="AH191" s="680"/>
      <c r="AI191" s="681"/>
      <c r="AJ191" s="674"/>
      <c r="AK191" s="680"/>
      <c r="AL191" s="681"/>
    </row>
    <row r="192" spans="1:38" x14ac:dyDescent="0.55000000000000004">
      <c r="A192" s="706"/>
      <c r="B192" s="683">
        <v>63189</v>
      </c>
      <c r="C192" s="684"/>
      <c r="D192" s="685"/>
      <c r="E192" s="695"/>
      <c r="F192" s="674">
        <v>1</v>
      </c>
      <c r="G192" s="675" t="s">
        <v>1606</v>
      </c>
      <c r="H192" s="676" t="s">
        <v>1581</v>
      </c>
      <c r="I192" s="674"/>
      <c r="J192" s="690"/>
      <c r="K192" s="681"/>
      <c r="L192" s="674"/>
      <c r="M192" s="680"/>
      <c r="N192" s="1181"/>
      <c r="O192" s="674"/>
      <c r="P192" s="680"/>
      <c r="Q192" s="681"/>
      <c r="R192" s="674"/>
      <c r="S192" s="680"/>
      <c r="T192" s="681"/>
      <c r="U192" s="674"/>
      <c r="V192" s="680"/>
      <c r="W192" s="681"/>
      <c r="X192" s="674"/>
      <c r="Y192" s="680"/>
      <c r="Z192" s="681"/>
      <c r="AA192" s="674"/>
      <c r="AB192" s="680"/>
      <c r="AC192" s="681"/>
      <c r="AD192" s="674"/>
      <c r="AE192" s="680"/>
      <c r="AF192" s="681"/>
      <c r="AG192" s="674"/>
      <c r="AH192" s="680"/>
      <c r="AI192" s="681"/>
      <c r="AJ192" s="674"/>
      <c r="AK192" s="680"/>
      <c r="AL192" s="681"/>
    </row>
    <row r="193" spans="1:38" x14ac:dyDescent="0.55000000000000004">
      <c r="A193" s="706">
        <v>44050</v>
      </c>
      <c r="B193" s="682">
        <v>63190</v>
      </c>
      <c r="C193" s="745"/>
      <c r="D193" s="685" t="s">
        <v>2670</v>
      </c>
      <c r="E193" s="695"/>
      <c r="F193" s="674">
        <v>1</v>
      </c>
      <c r="G193" s="675" t="s">
        <v>4149</v>
      </c>
      <c r="H193" s="676" t="s">
        <v>4150</v>
      </c>
      <c r="I193" s="674"/>
      <c r="J193" s="690"/>
      <c r="K193" s="681"/>
      <c r="L193" s="674"/>
      <c r="M193" s="680"/>
      <c r="N193" s="1181"/>
      <c r="O193" s="674"/>
      <c r="P193" s="680"/>
      <c r="Q193" s="681"/>
      <c r="R193" s="674"/>
      <c r="S193" s="680"/>
      <c r="T193" s="681"/>
      <c r="U193" s="674"/>
      <c r="V193" s="680"/>
      <c r="W193" s="681"/>
      <c r="X193" s="674"/>
      <c r="Y193" s="680"/>
      <c r="Z193" s="681"/>
      <c r="AA193" s="674"/>
      <c r="AB193" s="680"/>
      <c r="AC193" s="681"/>
      <c r="AD193" s="674"/>
      <c r="AE193" s="680"/>
      <c r="AF193" s="681"/>
      <c r="AG193" s="674"/>
      <c r="AH193" s="680"/>
      <c r="AI193" s="681"/>
      <c r="AJ193" s="674"/>
      <c r="AK193" s="680"/>
      <c r="AL193" s="681"/>
    </row>
    <row r="194" spans="1:38" x14ac:dyDescent="0.55000000000000004">
      <c r="A194" s="706">
        <v>44050</v>
      </c>
      <c r="B194" s="682">
        <v>63191</v>
      </c>
      <c r="C194" s="684">
        <v>20066587</v>
      </c>
      <c r="D194" s="685" t="s">
        <v>1490</v>
      </c>
      <c r="E194" s="695"/>
      <c r="F194" s="674">
        <v>1</v>
      </c>
      <c r="G194" s="675" t="s">
        <v>3892</v>
      </c>
      <c r="H194" s="676" t="s">
        <v>4151</v>
      </c>
      <c r="I194" s="674">
        <v>2</v>
      </c>
      <c r="J194" s="675" t="s">
        <v>1511</v>
      </c>
      <c r="K194" s="677" t="s">
        <v>1583</v>
      </c>
      <c r="L194" s="674">
        <v>3</v>
      </c>
      <c r="M194" s="678" t="s">
        <v>1502</v>
      </c>
      <c r="N194" s="679" t="s">
        <v>1583</v>
      </c>
      <c r="O194" s="674">
        <v>4</v>
      </c>
      <c r="P194" s="678" t="s">
        <v>1503</v>
      </c>
      <c r="Q194" s="677" t="s">
        <v>1632</v>
      </c>
      <c r="R194" s="674"/>
      <c r="S194" s="680"/>
      <c r="T194" s="681"/>
      <c r="U194" s="674"/>
      <c r="V194" s="680"/>
      <c r="W194" s="681"/>
      <c r="X194" s="674"/>
      <c r="Y194" s="680"/>
      <c r="Z194" s="681"/>
      <c r="AA194" s="674"/>
      <c r="AB194" s="680"/>
      <c r="AC194" s="681"/>
      <c r="AD194" s="674"/>
      <c r="AE194" s="680"/>
      <c r="AF194" s="681"/>
      <c r="AG194" s="674"/>
      <c r="AH194" s="680"/>
      <c r="AI194" s="681"/>
      <c r="AJ194" s="674"/>
      <c r="AK194" s="680"/>
      <c r="AL194" s="681"/>
    </row>
    <row r="195" spans="1:38" x14ac:dyDescent="0.55000000000000004">
      <c r="A195" s="706">
        <v>44053</v>
      </c>
      <c r="B195" s="682">
        <v>63192</v>
      </c>
      <c r="C195" s="684">
        <v>20076627</v>
      </c>
      <c r="D195" s="685" t="s">
        <v>1490</v>
      </c>
      <c r="E195" s="695"/>
      <c r="F195" s="674">
        <v>1</v>
      </c>
      <c r="G195" s="675" t="s">
        <v>4075</v>
      </c>
      <c r="H195" s="676" t="s">
        <v>1571</v>
      </c>
      <c r="I195" s="674">
        <v>2</v>
      </c>
      <c r="J195" s="675" t="s">
        <v>1511</v>
      </c>
      <c r="K195" s="677" t="s">
        <v>1574</v>
      </c>
      <c r="L195" s="674">
        <v>3</v>
      </c>
      <c r="M195" s="678" t="s">
        <v>1502</v>
      </c>
      <c r="N195" s="679" t="s">
        <v>1575</v>
      </c>
      <c r="O195" s="674">
        <v>4</v>
      </c>
      <c r="P195" s="678" t="s">
        <v>1498</v>
      </c>
      <c r="Q195" s="677" t="s">
        <v>1783</v>
      </c>
      <c r="R195" s="674">
        <v>5</v>
      </c>
      <c r="S195" s="696" t="s">
        <v>1503</v>
      </c>
      <c r="T195" s="697" t="s">
        <v>1584</v>
      </c>
      <c r="U195" s="674"/>
      <c r="V195" s="680"/>
      <c r="W195" s="681"/>
      <c r="X195" s="674"/>
      <c r="Y195" s="680"/>
      <c r="Z195" s="681"/>
      <c r="AA195" s="674"/>
      <c r="AB195" s="680"/>
      <c r="AC195" s="681"/>
      <c r="AD195" s="674"/>
      <c r="AE195" s="680"/>
      <c r="AF195" s="681"/>
      <c r="AG195" s="674"/>
      <c r="AH195" s="680"/>
      <c r="AI195" s="681"/>
      <c r="AJ195" s="674"/>
      <c r="AK195" s="680"/>
      <c r="AL195" s="681"/>
    </row>
    <row r="196" spans="1:38" x14ac:dyDescent="0.55000000000000004">
      <c r="A196" s="706">
        <v>44053</v>
      </c>
      <c r="B196" s="682">
        <v>63193</v>
      </c>
      <c r="C196" s="684">
        <v>20086636</v>
      </c>
      <c r="D196" s="685" t="s">
        <v>1349</v>
      </c>
      <c r="E196" s="695"/>
      <c r="F196" s="674">
        <v>1</v>
      </c>
      <c r="G196" s="675" t="s">
        <v>4153</v>
      </c>
      <c r="H196" s="676" t="s">
        <v>4152</v>
      </c>
      <c r="I196" s="674">
        <v>2</v>
      </c>
      <c r="J196" s="675" t="s">
        <v>4154</v>
      </c>
      <c r="K196" s="677" t="s">
        <v>4155</v>
      </c>
      <c r="L196" s="674">
        <v>3</v>
      </c>
      <c r="M196" s="678" t="s">
        <v>4156</v>
      </c>
      <c r="N196" s="679" t="s">
        <v>2464</v>
      </c>
      <c r="O196" s="674">
        <v>4</v>
      </c>
      <c r="P196" s="678" t="s">
        <v>1967</v>
      </c>
      <c r="Q196" s="677" t="s">
        <v>4157</v>
      </c>
      <c r="R196" s="674"/>
      <c r="S196" s="680"/>
      <c r="T196" s="681"/>
      <c r="U196" s="674"/>
      <c r="V196" s="680"/>
      <c r="W196" s="681"/>
      <c r="X196" s="674"/>
      <c r="Y196" s="680"/>
      <c r="Z196" s="681"/>
      <c r="AA196" s="674"/>
      <c r="AB196" s="680"/>
      <c r="AC196" s="681"/>
      <c r="AD196" s="674"/>
      <c r="AE196" s="680"/>
      <c r="AF196" s="681"/>
      <c r="AG196" s="674"/>
      <c r="AH196" s="680"/>
      <c r="AI196" s="681"/>
      <c r="AJ196" s="674"/>
      <c r="AK196" s="680"/>
      <c r="AL196" s="681"/>
    </row>
    <row r="197" spans="1:38" x14ac:dyDescent="0.55000000000000004">
      <c r="A197" s="707">
        <v>44056</v>
      </c>
      <c r="B197" s="692">
        <v>63194</v>
      </c>
      <c r="C197" s="672">
        <v>20076621</v>
      </c>
      <c r="D197" s="673" t="s">
        <v>2872</v>
      </c>
      <c r="E197" s="725"/>
      <c r="F197" s="674">
        <v>1</v>
      </c>
      <c r="G197" s="675" t="s">
        <v>1606</v>
      </c>
      <c r="H197" s="676" t="s">
        <v>1797</v>
      </c>
      <c r="I197" s="674"/>
      <c r="J197" s="690"/>
      <c r="K197" s="681"/>
      <c r="L197" s="674"/>
      <c r="M197" s="680"/>
      <c r="N197" s="1181"/>
      <c r="O197" s="674"/>
      <c r="P197" s="680"/>
      <c r="Q197" s="681"/>
      <c r="R197" s="674"/>
      <c r="S197" s="680"/>
      <c r="T197" s="681"/>
      <c r="U197" s="674"/>
      <c r="V197" s="680"/>
      <c r="W197" s="681"/>
      <c r="X197" s="674"/>
      <c r="Y197" s="680"/>
      <c r="Z197" s="681"/>
      <c r="AA197" s="674"/>
      <c r="AB197" s="680"/>
      <c r="AC197" s="681"/>
      <c r="AD197" s="674"/>
      <c r="AE197" s="680"/>
      <c r="AF197" s="681"/>
      <c r="AG197" s="674"/>
      <c r="AH197" s="680"/>
      <c r="AI197" s="681"/>
      <c r="AJ197" s="674"/>
      <c r="AK197" s="680"/>
      <c r="AL197" s="681"/>
    </row>
    <row r="198" spans="1:38" x14ac:dyDescent="0.55000000000000004">
      <c r="A198" s="682"/>
      <c r="B198" s="682">
        <v>63195</v>
      </c>
      <c r="C198" s="684"/>
      <c r="D198" s="685"/>
      <c r="E198" s="695"/>
      <c r="F198" s="674">
        <v>1</v>
      </c>
      <c r="G198" s="675" t="s">
        <v>1606</v>
      </c>
      <c r="H198" s="676" t="s">
        <v>1797</v>
      </c>
      <c r="I198" s="674"/>
      <c r="J198" s="690"/>
      <c r="K198" s="681"/>
      <c r="L198" s="674"/>
      <c r="M198" s="680"/>
      <c r="N198" s="681"/>
      <c r="O198" s="674"/>
      <c r="P198" s="680"/>
      <c r="Q198" s="681"/>
      <c r="R198" s="674"/>
      <c r="S198" s="680"/>
      <c r="T198" s="681"/>
      <c r="U198" s="674"/>
      <c r="V198" s="680"/>
      <c r="W198" s="681"/>
      <c r="X198" s="674"/>
      <c r="Y198" s="680"/>
      <c r="Z198" s="681"/>
      <c r="AA198" s="674"/>
      <c r="AB198" s="680"/>
      <c r="AC198" s="681"/>
      <c r="AD198" s="674"/>
      <c r="AE198" s="680"/>
      <c r="AF198" s="681"/>
      <c r="AG198" s="674"/>
      <c r="AH198" s="680"/>
      <c r="AI198" s="681"/>
      <c r="AJ198" s="674"/>
      <c r="AK198" s="680"/>
      <c r="AL198" s="681"/>
    </row>
    <row r="199" spans="1:38" x14ac:dyDescent="0.55000000000000004">
      <c r="A199" s="706">
        <v>44056</v>
      </c>
      <c r="B199" s="682">
        <v>63196</v>
      </c>
      <c r="C199" s="684">
        <v>20086634</v>
      </c>
      <c r="D199" s="685" t="s">
        <v>3976</v>
      </c>
      <c r="E199" s="695"/>
      <c r="F199" s="674">
        <v>1</v>
      </c>
      <c r="G199" s="675" t="s">
        <v>826</v>
      </c>
      <c r="H199" s="676" t="s">
        <v>1579</v>
      </c>
      <c r="I199" s="674"/>
      <c r="J199" s="690"/>
      <c r="K199" s="681"/>
      <c r="L199" s="674"/>
      <c r="M199" s="680"/>
      <c r="N199" s="1181"/>
      <c r="O199" s="674"/>
      <c r="P199" s="680"/>
      <c r="Q199" s="681"/>
      <c r="R199" s="674"/>
      <c r="S199" s="680"/>
      <c r="T199" s="681"/>
      <c r="U199" s="674"/>
      <c r="V199" s="680"/>
      <c r="W199" s="681"/>
      <c r="X199" s="674"/>
      <c r="Y199" s="680"/>
      <c r="Z199" s="681"/>
      <c r="AA199" s="674"/>
      <c r="AB199" s="680"/>
      <c r="AC199" s="681"/>
      <c r="AD199" s="674"/>
      <c r="AE199" s="680"/>
      <c r="AF199" s="681"/>
      <c r="AG199" s="674"/>
      <c r="AH199" s="680"/>
      <c r="AI199" s="681"/>
      <c r="AJ199" s="674"/>
      <c r="AK199" s="680"/>
      <c r="AL199" s="681"/>
    </row>
    <row r="200" spans="1:38" x14ac:dyDescent="0.55000000000000004">
      <c r="A200" s="706">
        <v>44056</v>
      </c>
      <c r="B200" s="682">
        <v>63197</v>
      </c>
      <c r="C200" s="684">
        <v>20086635</v>
      </c>
      <c r="D200" s="685" t="s">
        <v>3976</v>
      </c>
      <c r="E200" s="695"/>
      <c r="F200" s="674">
        <v>1</v>
      </c>
      <c r="G200" s="675" t="s">
        <v>826</v>
      </c>
      <c r="H200" s="676" t="s">
        <v>1581</v>
      </c>
      <c r="I200" s="674"/>
      <c r="J200" s="690"/>
      <c r="K200" s="681"/>
      <c r="L200" s="674"/>
      <c r="M200" s="680"/>
      <c r="N200" s="681"/>
      <c r="O200" s="674"/>
      <c r="P200" s="680"/>
      <c r="Q200" s="681"/>
      <c r="R200" s="674"/>
      <c r="S200" s="680"/>
      <c r="T200" s="681"/>
      <c r="U200" s="674"/>
      <c r="V200" s="680"/>
      <c r="W200" s="681"/>
      <c r="X200" s="674"/>
      <c r="Y200" s="680"/>
      <c r="Z200" s="681"/>
      <c r="AA200" s="674"/>
      <c r="AB200" s="680"/>
      <c r="AC200" s="681"/>
      <c r="AD200" s="674"/>
      <c r="AE200" s="680"/>
      <c r="AF200" s="681"/>
      <c r="AG200" s="674"/>
      <c r="AH200" s="680"/>
      <c r="AI200" s="681"/>
      <c r="AJ200" s="674"/>
      <c r="AK200" s="680"/>
      <c r="AL200" s="681"/>
    </row>
    <row r="201" spans="1:38" x14ac:dyDescent="0.55000000000000004">
      <c r="A201" s="706">
        <v>44057</v>
      </c>
      <c r="B201" s="682">
        <v>63198</v>
      </c>
      <c r="C201" s="684">
        <v>20066610</v>
      </c>
      <c r="D201" s="685" t="s">
        <v>4164</v>
      </c>
      <c r="E201" s="695"/>
      <c r="F201" s="674">
        <v>1</v>
      </c>
      <c r="G201" s="675" t="s">
        <v>651</v>
      </c>
      <c r="H201" s="676" t="s">
        <v>1581</v>
      </c>
      <c r="I201" s="674">
        <v>2</v>
      </c>
      <c r="J201" s="675" t="s">
        <v>1503</v>
      </c>
      <c r="K201" s="677" t="s">
        <v>4180</v>
      </c>
      <c r="L201" s="674"/>
      <c r="M201" s="680"/>
      <c r="N201" s="1181"/>
      <c r="O201" s="674"/>
      <c r="P201" s="680"/>
      <c r="Q201" s="681"/>
      <c r="R201" s="674"/>
      <c r="S201" s="680"/>
      <c r="T201" s="681"/>
      <c r="U201" s="674"/>
      <c r="V201" s="680"/>
      <c r="W201" s="681"/>
      <c r="X201" s="674"/>
      <c r="Y201" s="680"/>
      <c r="Z201" s="681"/>
      <c r="AA201" s="674"/>
      <c r="AB201" s="680"/>
      <c r="AC201" s="681"/>
      <c r="AD201" s="674"/>
      <c r="AE201" s="680"/>
      <c r="AF201" s="681"/>
      <c r="AG201" s="674"/>
      <c r="AH201" s="680"/>
      <c r="AI201" s="681"/>
      <c r="AJ201" s="674"/>
      <c r="AK201" s="680"/>
      <c r="AL201" s="681"/>
    </row>
    <row r="202" spans="1:38" x14ac:dyDescent="0.55000000000000004">
      <c r="A202" s="707">
        <v>44062</v>
      </c>
      <c r="B202" s="692">
        <v>63199</v>
      </c>
      <c r="C202" s="672">
        <v>20066607</v>
      </c>
      <c r="D202" s="673" t="s">
        <v>4165</v>
      </c>
      <c r="E202" s="725"/>
      <c r="F202" s="674">
        <v>1</v>
      </c>
      <c r="G202" s="675" t="s">
        <v>3682</v>
      </c>
      <c r="H202" s="676" t="s">
        <v>1571</v>
      </c>
      <c r="I202" s="674">
        <v>2</v>
      </c>
      <c r="J202" s="675" t="s">
        <v>4181</v>
      </c>
      <c r="K202" s="677"/>
      <c r="L202" s="674">
        <v>3</v>
      </c>
      <c r="M202" s="678"/>
      <c r="N202" s="677"/>
      <c r="O202" s="674">
        <v>4</v>
      </c>
      <c r="P202" s="678"/>
      <c r="Q202" s="677"/>
      <c r="R202" s="674">
        <v>5</v>
      </c>
      <c r="S202" s="696"/>
      <c r="T202" s="697"/>
      <c r="U202" s="674">
        <v>6</v>
      </c>
      <c r="V202" s="696"/>
      <c r="W202" s="697"/>
      <c r="X202" s="674">
        <v>7</v>
      </c>
      <c r="Y202" s="696"/>
      <c r="Z202" s="697"/>
      <c r="AA202" s="674">
        <v>8</v>
      </c>
      <c r="AB202" s="696"/>
      <c r="AC202" s="697"/>
      <c r="AD202" s="674">
        <v>9</v>
      </c>
      <c r="AE202" s="696"/>
      <c r="AF202" s="697"/>
      <c r="AG202" s="674">
        <v>10</v>
      </c>
      <c r="AH202" s="696"/>
      <c r="AI202" s="697"/>
      <c r="AJ202" s="674">
        <v>11</v>
      </c>
      <c r="AK202" s="696"/>
      <c r="AL202" s="697"/>
    </row>
    <row r="203" spans="1:38" x14ac:dyDescent="0.55000000000000004">
      <c r="A203" s="706"/>
      <c r="B203" s="682">
        <v>63200</v>
      </c>
      <c r="C203" s="684"/>
      <c r="D203" s="685"/>
      <c r="E203" s="695"/>
      <c r="F203" s="674">
        <v>1</v>
      </c>
      <c r="G203" s="675"/>
      <c r="H203" s="676"/>
      <c r="I203" s="674">
        <v>2</v>
      </c>
      <c r="J203" s="675"/>
      <c r="K203" s="677"/>
      <c r="L203" s="674">
        <v>3</v>
      </c>
      <c r="M203" s="678"/>
      <c r="N203" s="679"/>
      <c r="O203" s="674">
        <v>4</v>
      </c>
      <c r="P203" s="678"/>
      <c r="Q203" s="677"/>
      <c r="R203" s="674">
        <v>5</v>
      </c>
      <c r="S203" s="696"/>
      <c r="T203" s="697"/>
      <c r="U203" s="674">
        <v>6</v>
      </c>
      <c r="V203" s="696"/>
      <c r="W203" s="697"/>
      <c r="X203" s="674">
        <v>7</v>
      </c>
      <c r="Y203" s="696"/>
      <c r="Z203" s="697"/>
      <c r="AA203" s="674">
        <v>8</v>
      </c>
      <c r="AB203" s="696"/>
      <c r="AC203" s="697"/>
      <c r="AD203" s="674">
        <v>9</v>
      </c>
      <c r="AE203" s="696"/>
      <c r="AF203" s="697"/>
      <c r="AG203" s="674">
        <v>10</v>
      </c>
      <c r="AH203" s="696"/>
      <c r="AI203" s="697"/>
      <c r="AJ203" s="674">
        <v>11</v>
      </c>
      <c r="AK203" s="696"/>
      <c r="AL203" s="697"/>
    </row>
    <row r="204" spans="1:38" x14ac:dyDescent="0.55000000000000004">
      <c r="A204" s="706">
        <v>44062</v>
      </c>
      <c r="B204" s="682">
        <v>63201</v>
      </c>
      <c r="C204" s="684">
        <v>20086640</v>
      </c>
      <c r="D204" s="685" t="s">
        <v>4166</v>
      </c>
      <c r="E204" s="695"/>
      <c r="F204" s="674">
        <v>1</v>
      </c>
      <c r="G204" s="675"/>
      <c r="H204" s="676"/>
      <c r="I204" s="674">
        <v>2</v>
      </c>
      <c r="J204" s="675"/>
      <c r="K204" s="677"/>
      <c r="L204" s="674">
        <v>3</v>
      </c>
      <c r="M204" s="678"/>
      <c r="N204" s="677"/>
      <c r="O204" s="674">
        <v>4</v>
      </c>
      <c r="P204" s="678"/>
      <c r="Q204" s="677"/>
      <c r="R204" s="674">
        <v>5</v>
      </c>
      <c r="S204" s="696"/>
      <c r="T204" s="697"/>
      <c r="U204" s="674">
        <v>6</v>
      </c>
      <c r="V204" s="696"/>
      <c r="W204" s="697"/>
      <c r="X204" s="674">
        <v>7</v>
      </c>
      <c r="Y204" s="696"/>
      <c r="Z204" s="697"/>
      <c r="AA204" s="674">
        <v>8</v>
      </c>
      <c r="AB204" s="696"/>
      <c r="AC204" s="697"/>
      <c r="AD204" s="674">
        <v>9</v>
      </c>
      <c r="AE204" s="696"/>
      <c r="AF204" s="697"/>
      <c r="AG204" s="674">
        <v>10</v>
      </c>
      <c r="AH204" s="696"/>
      <c r="AI204" s="697"/>
      <c r="AJ204" s="674">
        <v>11</v>
      </c>
      <c r="AK204" s="696"/>
      <c r="AL204" s="697"/>
    </row>
    <row r="205" spans="1:38" x14ac:dyDescent="0.55000000000000004">
      <c r="A205" s="706">
        <v>44063</v>
      </c>
      <c r="B205" s="682">
        <v>63202</v>
      </c>
      <c r="C205" s="684">
        <v>20086634</v>
      </c>
      <c r="D205" s="685" t="s">
        <v>3976</v>
      </c>
      <c r="E205" s="695"/>
      <c r="F205" s="674">
        <v>1</v>
      </c>
      <c r="G205" s="675"/>
      <c r="H205" s="676"/>
      <c r="I205" s="674">
        <v>2</v>
      </c>
      <c r="J205" s="675"/>
      <c r="K205" s="677"/>
      <c r="L205" s="674">
        <v>3</v>
      </c>
      <c r="M205" s="678"/>
      <c r="N205" s="679"/>
      <c r="O205" s="674">
        <v>4</v>
      </c>
      <c r="P205" s="678"/>
      <c r="Q205" s="677"/>
      <c r="R205" s="674">
        <v>5</v>
      </c>
      <c r="S205" s="696"/>
      <c r="T205" s="697"/>
      <c r="U205" s="674">
        <v>6</v>
      </c>
      <c r="V205" s="696"/>
      <c r="W205" s="697"/>
      <c r="X205" s="674">
        <v>7</v>
      </c>
      <c r="Y205" s="696"/>
      <c r="Z205" s="697"/>
      <c r="AA205" s="674">
        <v>8</v>
      </c>
      <c r="AB205" s="696"/>
      <c r="AC205" s="697"/>
      <c r="AD205" s="674">
        <v>9</v>
      </c>
      <c r="AE205" s="696"/>
      <c r="AF205" s="697"/>
      <c r="AG205" s="674">
        <v>10</v>
      </c>
      <c r="AH205" s="696"/>
      <c r="AI205" s="697"/>
      <c r="AJ205" s="674">
        <v>11</v>
      </c>
      <c r="AK205" s="696"/>
      <c r="AL205" s="697"/>
    </row>
    <row r="206" spans="1:38" x14ac:dyDescent="0.55000000000000004">
      <c r="A206" s="670">
        <v>44063</v>
      </c>
      <c r="B206" s="692">
        <v>63203</v>
      </c>
      <c r="C206" s="672">
        <v>20086635</v>
      </c>
      <c r="D206" s="673" t="s">
        <v>3976</v>
      </c>
      <c r="E206" s="725"/>
      <c r="F206" s="674">
        <v>1</v>
      </c>
      <c r="G206" s="675"/>
      <c r="H206" s="676"/>
      <c r="I206" s="674">
        <v>2</v>
      </c>
      <c r="J206" s="675"/>
      <c r="K206" s="677"/>
      <c r="L206" s="674">
        <v>3</v>
      </c>
      <c r="M206" s="678"/>
      <c r="N206" s="677"/>
      <c r="O206" s="674">
        <v>4</v>
      </c>
      <c r="P206" s="678"/>
      <c r="Q206" s="677"/>
      <c r="R206" s="674">
        <v>5</v>
      </c>
      <c r="S206" s="696"/>
      <c r="T206" s="697"/>
      <c r="U206" s="674">
        <v>6</v>
      </c>
      <c r="V206" s="696"/>
      <c r="W206" s="697"/>
      <c r="X206" s="674">
        <v>7</v>
      </c>
      <c r="Y206" s="696"/>
      <c r="Z206" s="697"/>
      <c r="AA206" s="674">
        <v>8</v>
      </c>
      <c r="AB206" s="696"/>
      <c r="AC206" s="697"/>
      <c r="AD206" s="674">
        <v>9</v>
      </c>
      <c r="AE206" s="696"/>
      <c r="AF206" s="697"/>
      <c r="AG206" s="674">
        <v>10</v>
      </c>
      <c r="AH206" s="696"/>
      <c r="AI206" s="697"/>
      <c r="AJ206" s="674">
        <v>11</v>
      </c>
      <c r="AK206" s="696"/>
      <c r="AL206" s="697"/>
    </row>
    <row r="207" spans="1:38" x14ac:dyDescent="0.55000000000000004">
      <c r="A207" s="706"/>
      <c r="B207" s="682">
        <v>63204</v>
      </c>
      <c r="C207" s="684"/>
      <c r="D207" s="685"/>
      <c r="E207" s="695"/>
      <c r="F207" s="674">
        <v>1</v>
      </c>
      <c r="G207" s="675"/>
      <c r="H207" s="676"/>
      <c r="I207" s="674">
        <v>2</v>
      </c>
      <c r="J207" s="675"/>
      <c r="K207" s="677"/>
      <c r="L207" s="674">
        <v>3</v>
      </c>
      <c r="M207" s="678"/>
      <c r="N207" s="679"/>
      <c r="O207" s="674">
        <v>4</v>
      </c>
      <c r="P207" s="678"/>
      <c r="Q207" s="677"/>
      <c r="R207" s="674">
        <v>5</v>
      </c>
      <c r="S207" s="696"/>
      <c r="T207" s="697"/>
      <c r="U207" s="674">
        <v>6</v>
      </c>
      <c r="V207" s="696"/>
      <c r="W207" s="697"/>
      <c r="X207" s="674">
        <v>7</v>
      </c>
      <c r="Y207" s="696"/>
      <c r="Z207" s="697"/>
      <c r="AA207" s="674">
        <v>8</v>
      </c>
      <c r="AB207" s="696"/>
      <c r="AC207" s="697"/>
      <c r="AD207" s="674">
        <v>9</v>
      </c>
      <c r="AE207" s="696"/>
      <c r="AF207" s="697"/>
      <c r="AG207" s="674">
        <v>10</v>
      </c>
      <c r="AH207" s="696"/>
      <c r="AI207" s="697"/>
      <c r="AJ207" s="674">
        <v>11</v>
      </c>
      <c r="AK207" s="696"/>
      <c r="AL207" s="697"/>
    </row>
    <row r="208" spans="1:38" x14ac:dyDescent="0.55000000000000004">
      <c r="A208" s="706">
        <v>44067</v>
      </c>
      <c r="B208" s="682">
        <v>63205</v>
      </c>
      <c r="C208" s="684">
        <v>20076617</v>
      </c>
      <c r="D208" s="685" t="s">
        <v>4260</v>
      </c>
      <c r="E208" s="695"/>
      <c r="F208" s="674">
        <v>1</v>
      </c>
      <c r="G208" s="675"/>
      <c r="H208" s="676"/>
      <c r="I208" s="674">
        <v>2</v>
      </c>
      <c r="J208" s="675"/>
      <c r="K208" s="677"/>
      <c r="L208" s="674">
        <v>3</v>
      </c>
      <c r="M208" s="678"/>
      <c r="N208" s="677"/>
      <c r="O208" s="674">
        <v>4</v>
      </c>
      <c r="P208" s="678"/>
      <c r="Q208" s="677"/>
      <c r="R208" s="674">
        <v>5</v>
      </c>
      <c r="S208" s="696"/>
      <c r="T208" s="697"/>
      <c r="U208" s="674">
        <v>6</v>
      </c>
      <c r="V208" s="696"/>
      <c r="W208" s="697"/>
      <c r="X208" s="674">
        <v>7</v>
      </c>
      <c r="Y208" s="696"/>
      <c r="Z208" s="697"/>
      <c r="AA208" s="674">
        <v>8</v>
      </c>
      <c r="AB208" s="696"/>
      <c r="AC208" s="697"/>
      <c r="AD208" s="674">
        <v>9</v>
      </c>
      <c r="AE208" s="696"/>
      <c r="AF208" s="697"/>
      <c r="AG208" s="674">
        <v>10</v>
      </c>
      <c r="AH208" s="696"/>
      <c r="AI208" s="697"/>
      <c r="AJ208" s="674">
        <v>11</v>
      </c>
      <c r="AK208" s="696"/>
      <c r="AL208" s="697"/>
    </row>
    <row r="209" spans="1:38" x14ac:dyDescent="0.55000000000000004">
      <c r="A209" s="707">
        <v>44068</v>
      </c>
      <c r="B209" s="698">
        <v>63206</v>
      </c>
      <c r="C209" s="700">
        <v>19026136</v>
      </c>
      <c r="D209" s="693" t="s">
        <v>1625</v>
      </c>
      <c r="E209" s="701"/>
      <c r="F209" s="674">
        <v>1</v>
      </c>
      <c r="G209" s="675"/>
      <c r="H209" s="676"/>
      <c r="I209" s="674">
        <v>2</v>
      </c>
      <c r="J209" s="675"/>
      <c r="K209" s="677"/>
      <c r="L209" s="674">
        <v>3</v>
      </c>
      <c r="M209" s="678"/>
      <c r="N209" s="679"/>
      <c r="O209" s="674">
        <v>4</v>
      </c>
      <c r="P209" s="678"/>
      <c r="Q209" s="677"/>
      <c r="R209" s="674">
        <v>5</v>
      </c>
      <c r="S209" s="696"/>
      <c r="T209" s="697"/>
      <c r="U209" s="674">
        <v>6</v>
      </c>
      <c r="V209" s="696"/>
      <c r="W209" s="697"/>
      <c r="X209" s="674">
        <v>7</v>
      </c>
      <c r="Y209" s="696"/>
      <c r="Z209" s="697"/>
      <c r="AA209" s="674">
        <v>8</v>
      </c>
      <c r="AB209" s="696"/>
      <c r="AC209" s="697"/>
      <c r="AD209" s="674">
        <v>9</v>
      </c>
      <c r="AE209" s="696"/>
      <c r="AF209" s="697"/>
      <c r="AG209" s="674">
        <v>10</v>
      </c>
      <c r="AH209" s="696"/>
      <c r="AI209" s="697"/>
      <c r="AJ209" s="674">
        <v>11</v>
      </c>
      <c r="AK209" s="696"/>
      <c r="AL209" s="697"/>
    </row>
    <row r="210" spans="1:38" x14ac:dyDescent="0.55000000000000004">
      <c r="A210" s="698"/>
      <c r="B210" s="856">
        <v>63207</v>
      </c>
      <c r="C210" s="700"/>
      <c r="D210" s="704"/>
      <c r="E210" s="704"/>
      <c r="F210" s="674">
        <v>1</v>
      </c>
      <c r="G210" s="675"/>
      <c r="H210" s="676"/>
      <c r="I210" s="674">
        <v>2</v>
      </c>
      <c r="J210" s="675"/>
      <c r="K210" s="677"/>
      <c r="L210" s="674">
        <v>3</v>
      </c>
      <c r="M210" s="678"/>
      <c r="N210" s="677"/>
      <c r="O210" s="674">
        <v>4</v>
      </c>
      <c r="P210" s="678"/>
      <c r="Q210" s="677"/>
      <c r="R210" s="674">
        <v>5</v>
      </c>
      <c r="S210" s="696"/>
      <c r="T210" s="697"/>
      <c r="U210" s="674">
        <v>6</v>
      </c>
      <c r="V210" s="696"/>
      <c r="W210" s="697"/>
      <c r="X210" s="674">
        <v>7</v>
      </c>
      <c r="Y210" s="696"/>
      <c r="Z210" s="697"/>
      <c r="AA210" s="674">
        <v>8</v>
      </c>
      <c r="AB210" s="696"/>
      <c r="AC210" s="697"/>
      <c r="AD210" s="674">
        <v>9</v>
      </c>
      <c r="AE210" s="696"/>
      <c r="AF210" s="697"/>
      <c r="AG210" s="674">
        <v>10</v>
      </c>
      <c r="AH210" s="696"/>
      <c r="AI210" s="697"/>
      <c r="AJ210" s="674">
        <v>11</v>
      </c>
      <c r="AK210" s="696"/>
      <c r="AL210" s="697"/>
    </row>
    <row r="211" spans="1:38" x14ac:dyDescent="0.55000000000000004">
      <c r="A211" s="707"/>
      <c r="B211" s="856">
        <v>63208</v>
      </c>
      <c r="C211" s="700"/>
      <c r="D211" s="701"/>
      <c r="E211" s="701"/>
      <c r="F211" s="674">
        <v>1</v>
      </c>
      <c r="G211" s="675"/>
      <c r="H211" s="676"/>
      <c r="I211" s="674">
        <v>2</v>
      </c>
      <c r="J211" s="675"/>
      <c r="K211" s="677"/>
      <c r="L211" s="674">
        <v>3</v>
      </c>
      <c r="M211" s="678"/>
      <c r="N211" s="679"/>
      <c r="O211" s="674">
        <v>4</v>
      </c>
      <c r="P211" s="678"/>
      <c r="Q211" s="677"/>
      <c r="R211" s="674">
        <v>5</v>
      </c>
      <c r="S211" s="696"/>
      <c r="T211" s="697"/>
      <c r="U211" s="674">
        <v>6</v>
      </c>
      <c r="V211" s="696"/>
      <c r="W211" s="697"/>
      <c r="X211" s="674">
        <v>7</v>
      </c>
      <c r="Y211" s="696"/>
      <c r="Z211" s="697"/>
      <c r="AA211" s="674">
        <v>8</v>
      </c>
      <c r="AB211" s="696"/>
      <c r="AC211" s="697"/>
      <c r="AD211" s="674">
        <v>9</v>
      </c>
      <c r="AE211" s="696"/>
      <c r="AF211" s="697"/>
      <c r="AG211" s="674">
        <v>10</v>
      </c>
      <c r="AH211" s="696"/>
      <c r="AI211" s="697"/>
      <c r="AJ211" s="674">
        <v>11</v>
      </c>
      <c r="AK211" s="696"/>
      <c r="AL211" s="697"/>
    </row>
    <row r="212" spans="1:38" x14ac:dyDescent="0.55000000000000004">
      <c r="A212" s="706"/>
      <c r="B212" s="683">
        <v>63209</v>
      </c>
      <c r="C212" s="684"/>
      <c r="D212" s="705"/>
      <c r="E212" s="705"/>
      <c r="F212" s="674">
        <v>1</v>
      </c>
      <c r="G212" s="675"/>
      <c r="H212" s="676"/>
      <c r="I212" s="674">
        <v>2</v>
      </c>
      <c r="J212" s="675"/>
      <c r="K212" s="677"/>
      <c r="L212" s="674">
        <v>3</v>
      </c>
      <c r="M212" s="678"/>
      <c r="N212" s="679"/>
      <c r="O212" s="674">
        <v>4</v>
      </c>
      <c r="P212" s="678"/>
      <c r="Q212" s="677"/>
      <c r="R212" s="674">
        <v>5</v>
      </c>
      <c r="S212" s="696"/>
      <c r="T212" s="697"/>
      <c r="U212" s="674">
        <v>6</v>
      </c>
      <c r="V212" s="696"/>
      <c r="W212" s="697"/>
      <c r="X212" s="674">
        <v>7</v>
      </c>
      <c r="Y212" s="696"/>
      <c r="Z212" s="697"/>
      <c r="AA212" s="674">
        <v>8</v>
      </c>
      <c r="AB212" s="696"/>
      <c r="AC212" s="697"/>
      <c r="AD212" s="674">
        <v>9</v>
      </c>
      <c r="AE212" s="696"/>
      <c r="AF212" s="697"/>
      <c r="AG212" s="674">
        <v>10</v>
      </c>
      <c r="AH212" s="696"/>
      <c r="AI212" s="697"/>
      <c r="AJ212" s="674">
        <v>11</v>
      </c>
      <c r="AK212" s="696"/>
      <c r="AL212" s="697"/>
    </row>
    <row r="213" spans="1:38" x14ac:dyDescent="0.55000000000000004">
      <c r="A213" s="707">
        <v>44070</v>
      </c>
      <c r="B213" s="698">
        <v>63210</v>
      </c>
      <c r="C213" s="672">
        <v>20076615</v>
      </c>
      <c r="D213" s="673" t="s">
        <v>4261</v>
      </c>
      <c r="E213" s="693"/>
      <c r="F213" s="674">
        <v>1</v>
      </c>
      <c r="G213" s="675"/>
      <c r="H213" s="676"/>
      <c r="I213" s="674">
        <v>2</v>
      </c>
      <c r="J213" s="675"/>
      <c r="K213" s="677"/>
      <c r="L213" s="674">
        <v>3</v>
      </c>
      <c r="M213" s="678"/>
      <c r="N213" s="677"/>
      <c r="O213" s="674">
        <v>4</v>
      </c>
      <c r="P213" s="678"/>
      <c r="Q213" s="677"/>
      <c r="R213" s="674">
        <v>5</v>
      </c>
      <c r="S213" s="696"/>
      <c r="T213" s="697"/>
      <c r="U213" s="674">
        <v>6</v>
      </c>
      <c r="V213" s="696"/>
      <c r="W213" s="697"/>
      <c r="X213" s="674">
        <v>7</v>
      </c>
      <c r="Y213" s="696"/>
      <c r="Z213" s="697"/>
      <c r="AA213" s="674">
        <v>8</v>
      </c>
      <c r="AB213" s="696"/>
      <c r="AC213" s="697"/>
      <c r="AD213" s="674">
        <v>9</v>
      </c>
      <c r="AE213" s="696"/>
      <c r="AF213" s="697"/>
      <c r="AG213" s="674">
        <v>10</v>
      </c>
      <c r="AH213" s="696"/>
      <c r="AI213" s="697"/>
      <c r="AJ213" s="674">
        <v>11</v>
      </c>
      <c r="AK213" s="696"/>
      <c r="AL213" s="697"/>
    </row>
    <row r="214" spans="1:38" x14ac:dyDescent="0.55000000000000004">
      <c r="A214" s="707"/>
      <c r="B214" s="856">
        <v>63211</v>
      </c>
      <c r="C214" s="700"/>
      <c r="D214" s="701"/>
      <c r="E214" s="704"/>
      <c r="F214" s="674">
        <v>1</v>
      </c>
      <c r="G214" s="675"/>
      <c r="H214" s="676"/>
      <c r="I214" s="674">
        <v>2</v>
      </c>
      <c r="J214" s="675"/>
      <c r="K214" s="677"/>
      <c r="L214" s="674">
        <v>3</v>
      </c>
      <c r="M214" s="678"/>
      <c r="N214" s="679"/>
      <c r="O214" s="674">
        <v>4</v>
      </c>
      <c r="P214" s="678"/>
      <c r="Q214" s="677"/>
      <c r="R214" s="674">
        <v>5</v>
      </c>
      <c r="S214" s="696"/>
      <c r="T214" s="697"/>
      <c r="U214" s="674">
        <v>6</v>
      </c>
      <c r="V214" s="696"/>
      <c r="W214" s="697"/>
      <c r="X214" s="674">
        <v>7</v>
      </c>
      <c r="Y214" s="696"/>
      <c r="Z214" s="697"/>
      <c r="AA214" s="674">
        <v>8</v>
      </c>
      <c r="AB214" s="696"/>
      <c r="AC214" s="697"/>
      <c r="AD214" s="674">
        <v>9</v>
      </c>
      <c r="AE214" s="696"/>
      <c r="AF214" s="697"/>
      <c r="AG214" s="674">
        <v>10</v>
      </c>
      <c r="AH214" s="696"/>
      <c r="AI214" s="697"/>
      <c r="AJ214" s="674">
        <v>11</v>
      </c>
      <c r="AK214" s="696"/>
      <c r="AL214" s="697"/>
    </row>
    <row r="215" spans="1:38" x14ac:dyDescent="0.55000000000000004">
      <c r="A215" s="682"/>
      <c r="B215" s="683">
        <v>63212</v>
      </c>
      <c r="C215" s="684"/>
      <c r="D215" s="685"/>
      <c r="E215" s="685"/>
      <c r="F215" s="674">
        <v>1</v>
      </c>
      <c r="G215" s="675"/>
      <c r="H215" s="676"/>
      <c r="I215" s="674">
        <v>2</v>
      </c>
      <c r="J215" s="675"/>
      <c r="K215" s="677"/>
      <c r="L215" s="674">
        <v>3</v>
      </c>
      <c r="M215" s="678"/>
      <c r="N215" s="677"/>
      <c r="O215" s="674">
        <v>4</v>
      </c>
      <c r="P215" s="678"/>
      <c r="Q215" s="677"/>
      <c r="R215" s="674">
        <v>5</v>
      </c>
      <c r="S215" s="696"/>
      <c r="T215" s="697"/>
      <c r="U215" s="674">
        <v>6</v>
      </c>
      <c r="V215" s="696"/>
      <c r="W215" s="697"/>
      <c r="X215" s="674">
        <v>7</v>
      </c>
      <c r="Y215" s="696"/>
      <c r="Z215" s="697"/>
      <c r="AA215" s="674">
        <v>8</v>
      </c>
      <c r="AB215" s="696"/>
      <c r="AC215" s="697"/>
      <c r="AD215" s="674">
        <v>9</v>
      </c>
      <c r="AE215" s="696"/>
      <c r="AF215" s="697"/>
      <c r="AG215" s="674">
        <v>10</v>
      </c>
      <c r="AH215" s="696"/>
      <c r="AI215" s="697"/>
      <c r="AJ215" s="674">
        <v>11</v>
      </c>
      <c r="AK215" s="696"/>
      <c r="AL215" s="697"/>
    </row>
    <row r="216" spans="1:38" x14ac:dyDescent="0.55000000000000004">
      <c r="A216" s="706">
        <v>44070</v>
      </c>
      <c r="B216" s="682">
        <v>63213</v>
      </c>
      <c r="C216" s="684">
        <v>20086650</v>
      </c>
      <c r="D216" s="685" t="s">
        <v>3586</v>
      </c>
      <c r="E216" s="685"/>
      <c r="F216" s="674">
        <v>1</v>
      </c>
      <c r="G216" s="675" t="s">
        <v>650</v>
      </c>
      <c r="H216" s="676" t="s">
        <v>1571</v>
      </c>
      <c r="I216" s="674">
        <v>2</v>
      </c>
      <c r="J216" s="675" t="s">
        <v>4197</v>
      </c>
      <c r="K216" s="677" t="s">
        <v>1571</v>
      </c>
      <c r="L216" s="674">
        <v>3</v>
      </c>
      <c r="M216" s="678" t="s">
        <v>1634</v>
      </c>
      <c r="N216" s="679" t="s">
        <v>1586</v>
      </c>
      <c r="O216" s="674">
        <v>4</v>
      </c>
      <c r="P216" s="678" t="s">
        <v>1507</v>
      </c>
      <c r="Q216" s="677" t="s">
        <v>1575</v>
      </c>
      <c r="R216" s="674">
        <v>5</v>
      </c>
      <c r="S216" s="696" t="s">
        <v>1498</v>
      </c>
      <c r="T216" s="697" t="s">
        <v>3100</v>
      </c>
      <c r="U216" s="674"/>
      <c r="V216" s="680"/>
      <c r="W216" s="681"/>
      <c r="X216" s="674"/>
      <c r="Y216" s="680"/>
      <c r="Z216" s="681"/>
      <c r="AA216" s="674"/>
      <c r="AB216" s="680"/>
      <c r="AC216" s="681"/>
      <c r="AD216" s="674"/>
      <c r="AE216" s="680"/>
      <c r="AF216" s="681"/>
      <c r="AG216" s="674"/>
      <c r="AH216" s="680"/>
      <c r="AI216" s="681"/>
      <c r="AJ216" s="674"/>
      <c r="AK216" s="680"/>
      <c r="AL216" s="681"/>
    </row>
    <row r="217" spans="1:38" x14ac:dyDescent="0.55000000000000004">
      <c r="A217" s="706">
        <v>44070</v>
      </c>
      <c r="B217" s="682">
        <v>63214</v>
      </c>
      <c r="C217" s="745"/>
      <c r="D217" s="685" t="s">
        <v>3741</v>
      </c>
      <c r="E217" s="685" t="s">
        <v>3585</v>
      </c>
      <c r="F217" s="674">
        <v>1</v>
      </c>
      <c r="G217" s="675"/>
      <c r="H217" s="676"/>
      <c r="I217" s="674">
        <v>2</v>
      </c>
      <c r="J217" s="675"/>
      <c r="K217" s="677"/>
      <c r="L217" s="674">
        <v>3</v>
      </c>
      <c r="M217" s="678"/>
      <c r="N217" s="679"/>
      <c r="O217" s="674">
        <v>4</v>
      </c>
      <c r="P217" s="678"/>
      <c r="Q217" s="677"/>
      <c r="R217" s="674">
        <v>5</v>
      </c>
      <c r="S217" s="696"/>
      <c r="T217" s="697"/>
      <c r="U217" s="674">
        <v>6</v>
      </c>
      <c r="V217" s="696"/>
      <c r="W217" s="697"/>
      <c r="X217" s="674">
        <v>7</v>
      </c>
      <c r="Y217" s="696"/>
      <c r="Z217" s="697"/>
      <c r="AA217" s="674">
        <v>8</v>
      </c>
      <c r="AB217" s="696"/>
      <c r="AC217" s="697"/>
      <c r="AD217" s="674">
        <v>9</v>
      </c>
      <c r="AE217" s="696"/>
      <c r="AF217" s="697"/>
      <c r="AG217" s="674">
        <v>10</v>
      </c>
      <c r="AH217" s="696"/>
      <c r="AI217" s="697"/>
      <c r="AJ217" s="674">
        <v>11</v>
      </c>
      <c r="AK217" s="696"/>
      <c r="AL217" s="697"/>
    </row>
    <row r="218" spans="1:38" x14ac:dyDescent="0.55000000000000004">
      <c r="A218" s="706">
        <v>44070</v>
      </c>
      <c r="B218" s="682">
        <v>63215</v>
      </c>
      <c r="C218" s="684">
        <v>20086647</v>
      </c>
      <c r="D218" s="685" t="s">
        <v>1490</v>
      </c>
      <c r="E218" s="685"/>
      <c r="F218" s="674">
        <v>1</v>
      </c>
      <c r="G218" s="675"/>
      <c r="H218" s="676"/>
      <c r="I218" s="674">
        <v>2</v>
      </c>
      <c r="J218" s="675"/>
      <c r="K218" s="677"/>
      <c r="L218" s="674">
        <v>3</v>
      </c>
      <c r="M218" s="678"/>
      <c r="N218" s="677"/>
      <c r="O218" s="674">
        <v>4</v>
      </c>
      <c r="P218" s="678"/>
      <c r="Q218" s="677"/>
      <c r="R218" s="674">
        <v>5</v>
      </c>
      <c r="S218" s="696"/>
      <c r="T218" s="697"/>
      <c r="U218" s="674">
        <v>6</v>
      </c>
      <c r="V218" s="696"/>
      <c r="W218" s="697"/>
      <c r="X218" s="674">
        <v>7</v>
      </c>
      <c r="Y218" s="696"/>
      <c r="Z218" s="697"/>
      <c r="AA218" s="674">
        <v>8</v>
      </c>
      <c r="AB218" s="696"/>
      <c r="AC218" s="697"/>
      <c r="AD218" s="674">
        <v>9</v>
      </c>
      <c r="AE218" s="696"/>
      <c r="AF218" s="697"/>
      <c r="AG218" s="674">
        <v>10</v>
      </c>
      <c r="AH218" s="696"/>
      <c r="AI218" s="697"/>
      <c r="AJ218" s="674">
        <v>11</v>
      </c>
      <c r="AK218" s="696"/>
      <c r="AL218" s="697"/>
    </row>
    <row r="219" spans="1:38" x14ac:dyDescent="0.55000000000000004">
      <c r="A219" s="706">
        <v>44076</v>
      </c>
      <c r="B219" s="682">
        <v>63216</v>
      </c>
      <c r="C219" s="684">
        <v>20076616</v>
      </c>
      <c r="D219" s="685" t="s">
        <v>4262</v>
      </c>
      <c r="E219" s="685"/>
      <c r="F219" s="674">
        <v>1</v>
      </c>
      <c r="G219" s="675" t="s">
        <v>654</v>
      </c>
      <c r="H219" s="676" t="s">
        <v>1571</v>
      </c>
      <c r="I219" s="674">
        <v>2</v>
      </c>
      <c r="J219" s="675" t="s">
        <v>1634</v>
      </c>
      <c r="K219" s="677" t="s">
        <v>1578</v>
      </c>
      <c r="L219" s="674">
        <v>3</v>
      </c>
      <c r="M219" s="678" t="s">
        <v>1502</v>
      </c>
      <c r="N219" s="679" t="s">
        <v>1575</v>
      </c>
      <c r="O219" s="674">
        <v>4</v>
      </c>
      <c r="P219" s="678" t="s">
        <v>1498</v>
      </c>
      <c r="Q219" s="677" t="s">
        <v>4271</v>
      </c>
      <c r="R219" s="674">
        <v>5</v>
      </c>
      <c r="S219" s="696" t="s">
        <v>1503</v>
      </c>
      <c r="T219" s="697" t="s">
        <v>1632</v>
      </c>
      <c r="U219" s="674"/>
      <c r="V219" s="680"/>
      <c r="W219" s="681"/>
      <c r="X219" s="674"/>
      <c r="Y219" s="680"/>
      <c r="Z219" s="681"/>
      <c r="AA219" s="674"/>
      <c r="AB219" s="680"/>
      <c r="AC219" s="681"/>
      <c r="AD219" s="674"/>
      <c r="AE219" s="680"/>
      <c r="AF219" s="681"/>
      <c r="AG219" s="674"/>
      <c r="AH219" s="680"/>
      <c r="AI219" s="681"/>
      <c r="AJ219" s="674"/>
      <c r="AK219" s="680"/>
      <c r="AL219" s="681"/>
    </row>
    <row r="220" spans="1:38" x14ac:dyDescent="0.55000000000000004">
      <c r="A220" s="706">
        <v>44082</v>
      </c>
      <c r="B220" s="682">
        <v>63217</v>
      </c>
      <c r="C220" s="684">
        <v>20086644</v>
      </c>
      <c r="D220" s="685" t="s">
        <v>4167</v>
      </c>
      <c r="E220" s="685"/>
      <c r="F220" s="674">
        <v>1</v>
      </c>
      <c r="G220" s="675" t="s">
        <v>4169</v>
      </c>
      <c r="H220" s="676" t="s">
        <v>1571</v>
      </c>
      <c r="I220" s="674">
        <v>2</v>
      </c>
      <c r="J220" s="675" t="s">
        <v>1634</v>
      </c>
      <c r="K220" s="677" t="s">
        <v>1574</v>
      </c>
      <c r="L220" s="674">
        <v>3</v>
      </c>
      <c r="M220" s="678" t="s">
        <v>1502</v>
      </c>
      <c r="N220" s="677" t="s">
        <v>1575</v>
      </c>
      <c r="O220" s="674">
        <v>4</v>
      </c>
      <c r="P220" s="678" t="s">
        <v>2328</v>
      </c>
      <c r="Q220" s="677" t="s">
        <v>3517</v>
      </c>
      <c r="R220" s="674">
        <v>5</v>
      </c>
      <c r="S220" s="696" t="s">
        <v>1636</v>
      </c>
      <c r="T220" s="697" t="s">
        <v>1583</v>
      </c>
      <c r="U220" s="674">
        <v>6</v>
      </c>
      <c r="V220" s="696" t="s">
        <v>1503</v>
      </c>
      <c r="W220" s="697" t="s">
        <v>1801</v>
      </c>
      <c r="X220" s="674"/>
      <c r="Y220" s="680"/>
      <c r="Z220" s="681"/>
      <c r="AA220" s="674"/>
      <c r="AB220" s="680"/>
      <c r="AC220" s="681"/>
      <c r="AD220" s="674"/>
      <c r="AE220" s="680"/>
      <c r="AF220" s="681"/>
      <c r="AG220" s="674"/>
      <c r="AH220" s="680"/>
      <c r="AI220" s="681"/>
      <c r="AJ220" s="674"/>
      <c r="AK220" s="680"/>
      <c r="AL220" s="681"/>
    </row>
    <row r="221" spans="1:38" x14ac:dyDescent="0.55000000000000004">
      <c r="A221" s="706">
        <v>44082</v>
      </c>
      <c r="B221" s="682">
        <v>63218</v>
      </c>
      <c r="C221" s="684">
        <v>20096661</v>
      </c>
      <c r="D221" s="685" t="s">
        <v>4165</v>
      </c>
      <c r="E221" s="685"/>
      <c r="F221" s="674">
        <v>1</v>
      </c>
      <c r="G221" s="675" t="s">
        <v>713</v>
      </c>
      <c r="H221" s="676" t="s">
        <v>1571</v>
      </c>
      <c r="I221" s="674">
        <v>2</v>
      </c>
      <c r="J221" s="675" t="s">
        <v>1503</v>
      </c>
      <c r="K221" s="677" t="s">
        <v>1584</v>
      </c>
      <c r="L221" s="674"/>
      <c r="M221" s="680"/>
      <c r="N221" s="1181"/>
      <c r="O221" s="674"/>
      <c r="P221" s="680"/>
      <c r="Q221" s="681"/>
      <c r="R221" s="674"/>
      <c r="S221" s="680"/>
      <c r="T221" s="681"/>
      <c r="U221" s="674"/>
      <c r="V221" s="680"/>
      <c r="W221" s="681"/>
      <c r="X221" s="674"/>
      <c r="Y221" s="680"/>
      <c r="Z221" s="681"/>
      <c r="AA221" s="674"/>
      <c r="AB221" s="680"/>
      <c r="AC221" s="681"/>
      <c r="AD221" s="674"/>
      <c r="AE221" s="680"/>
      <c r="AF221" s="681"/>
      <c r="AG221" s="674"/>
      <c r="AH221" s="680"/>
      <c r="AI221" s="681"/>
      <c r="AJ221" s="674"/>
      <c r="AK221" s="680"/>
      <c r="AL221" s="681"/>
    </row>
    <row r="222" spans="1:38" x14ac:dyDescent="0.55000000000000004">
      <c r="A222" s="706">
        <v>44084</v>
      </c>
      <c r="B222" s="682">
        <v>63219</v>
      </c>
      <c r="C222" s="745"/>
      <c r="D222" s="685" t="s">
        <v>4263</v>
      </c>
      <c r="E222" s="685" t="s">
        <v>3970</v>
      </c>
      <c r="F222" s="674">
        <v>1</v>
      </c>
      <c r="G222" s="675" t="s">
        <v>772</v>
      </c>
      <c r="H222" s="676" t="s">
        <v>1579</v>
      </c>
      <c r="I222" s="674"/>
      <c r="J222" s="690"/>
      <c r="K222" s="681"/>
      <c r="L222" s="674"/>
      <c r="M222" s="680"/>
      <c r="N222" s="1181"/>
      <c r="O222" s="674"/>
      <c r="P222" s="680"/>
      <c r="Q222" s="681"/>
      <c r="R222" s="674"/>
      <c r="S222" s="680"/>
      <c r="T222" s="681"/>
      <c r="U222" s="674"/>
      <c r="V222" s="680"/>
      <c r="W222" s="681"/>
      <c r="X222" s="674"/>
      <c r="Y222" s="680"/>
      <c r="Z222" s="681"/>
      <c r="AA222" s="674"/>
      <c r="AB222" s="680"/>
      <c r="AC222" s="681"/>
      <c r="AD222" s="674"/>
      <c r="AE222" s="680"/>
      <c r="AF222" s="681"/>
      <c r="AG222" s="674"/>
      <c r="AH222" s="680"/>
      <c r="AI222" s="681"/>
      <c r="AJ222" s="674"/>
      <c r="AK222" s="680"/>
      <c r="AL222" s="681"/>
    </row>
    <row r="223" spans="1:38" x14ac:dyDescent="0.55000000000000004">
      <c r="A223" s="706">
        <v>44089</v>
      </c>
      <c r="B223" s="682">
        <v>63220</v>
      </c>
      <c r="C223" s="684">
        <v>20096664</v>
      </c>
      <c r="D223" s="685" t="s">
        <v>4264</v>
      </c>
      <c r="E223" s="695"/>
      <c r="F223" s="674">
        <v>1</v>
      </c>
      <c r="G223" s="675" t="s">
        <v>2958</v>
      </c>
      <c r="H223" s="676" t="s">
        <v>1571</v>
      </c>
      <c r="I223" s="674">
        <v>2</v>
      </c>
      <c r="J223" s="675" t="s">
        <v>1216</v>
      </c>
      <c r="K223" s="677" t="s">
        <v>1571</v>
      </c>
      <c r="L223" s="674">
        <v>3</v>
      </c>
      <c r="M223" s="678" t="s">
        <v>1634</v>
      </c>
      <c r="N223" s="677" t="s">
        <v>1575</v>
      </c>
      <c r="O223" s="674">
        <v>4</v>
      </c>
      <c r="P223" s="678" t="s">
        <v>1502</v>
      </c>
      <c r="Q223" s="677" t="s">
        <v>1575</v>
      </c>
      <c r="R223" s="674">
        <v>5</v>
      </c>
      <c r="S223" s="696" t="s">
        <v>1498</v>
      </c>
      <c r="T223" s="697" t="s">
        <v>1595</v>
      </c>
      <c r="U223" s="674">
        <v>6</v>
      </c>
      <c r="V223" s="696" t="s">
        <v>1503</v>
      </c>
      <c r="W223" s="697" t="s">
        <v>1584</v>
      </c>
      <c r="X223" s="674"/>
      <c r="Y223" s="680"/>
      <c r="Z223" s="681"/>
      <c r="AA223" s="674"/>
      <c r="AB223" s="680"/>
      <c r="AC223" s="681"/>
      <c r="AD223" s="674"/>
      <c r="AE223" s="680"/>
      <c r="AF223" s="681"/>
      <c r="AG223" s="674"/>
      <c r="AH223" s="680"/>
      <c r="AI223" s="681"/>
      <c r="AJ223" s="674"/>
      <c r="AK223" s="680"/>
      <c r="AL223" s="681"/>
    </row>
    <row r="224" spans="1:38" x14ac:dyDescent="0.55000000000000004">
      <c r="A224" s="706">
        <v>44090</v>
      </c>
      <c r="B224" s="682">
        <v>63221</v>
      </c>
      <c r="C224" s="745" t="s">
        <v>4265</v>
      </c>
      <c r="D224" s="685" t="s">
        <v>3527</v>
      </c>
      <c r="E224" s="685" t="s">
        <v>3776</v>
      </c>
      <c r="F224" s="674">
        <v>1</v>
      </c>
      <c r="G224" s="675" t="s">
        <v>1606</v>
      </c>
      <c r="H224" s="676" t="s">
        <v>1571</v>
      </c>
      <c r="I224" s="674"/>
      <c r="J224" s="690"/>
      <c r="K224" s="681"/>
      <c r="L224" s="674"/>
      <c r="M224" s="680"/>
      <c r="N224" s="1181"/>
      <c r="O224" s="674"/>
      <c r="P224" s="680"/>
      <c r="Q224" s="681"/>
      <c r="R224" s="674"/>
      <c r="S224" s="680"/>
      <c r="T224" s="681"/>
      <c r="U224" s="674"/>
      <c r="V224" s="680"/>
      <c r="W224" s="681"/>
      <c r="X224" s="674"/>
      <c r="Y224" s="680"/>
      <c r="Z224" s="681"/>
      <c r="AA224" s="674"/>
      <c r="AB224" s="680"/>
      <c r="AC224" s="681"/>
      <c r="AD224" s="674"/>
      <c r="AE224" s="680"/>
      <c r="AF224" s="681"/>
      <c r="AG224" s="674"/>
      <c r="AH224" s="680"/>
      <c r="AI224" s="681"/>
      <c r="AJ224" s="674"/>
      <c r="AK224" s="680"/>
      <c r="AL224" s="681"/>
    </row>
    <row r="225" spans="1:38" x14ac:dyDescent="0.55000000000000004">
      <c r="A225" s="706">
        <v>44095</v>
      </c>
      <c r="B225" s="682">
        <v>63222</v>
      </c>
      <c r="C225" s="684">
        <v>19106402</v>
      </c>
      <c r="D225" s="685" t="s">
        <v>1490</v>
      </c>
      <c r="E225" s="685"/>
      <c r="F225" s="674">
        <v>1</v>
      </c>
      <c r="G225" s="675" t="s">
        <v>2970</v>
      </c>
      <c r="H225" s="676" t="s">
        <v>1579</v>
      </c>
      <c r="I225" s="674">
        <v>2</v>
      </c>
      <c r="J225" s="675" t="s">
        <v>1511</v>
      </c>
      <c r="K225" s="677" t="s">
        <v>1633</v>
      </c>
      <c r="L225" s="674">
        <v>3</v>
      </c>
      <c r="M225" s="678" t="s">
        <v>1502</v>
      </c>
      <c r="N225" s="677" t="s">
        <v>1583</v>
      </c>
      <c r="O225" s="674">
        <v>4</v>
      </c>
      <c r="P225" s="678" t="s">
        <v>1498</v>
      </c>
      <c r="Q225" s="677" t="s">
        <v>4363</v>
      </c>
      <c r="R225" s="674">
        <v>5</v>
      </c>
      <c r="S225" s="696" t="s">
        <v>1503</v>
      </c>
      <c r="T225" s="697" t="s">
        <v>1632</v>
      </c>
      <c r="U225" s="674"/>
      <c r="V225" s="680"/>
      <c r="W225" s="681"/>
      <c r="X225" s="674"/>
      <c r="Y225" s="680"/>
      <c r="Z225" s="681"/>
      <c r="AA225" s="674"/>
      <c r="AB225" s="680"/>
      <c r="AC225" s="681"/>
      <c r="AD225" s="674"/>
      <c r="AE225" s="680"/>
      <c r="AF225" s="681"/>
      <c r="AG225" s="674"/>
      <c r="AH225" s="680"/>
      <c r="AI225" s="681"/>
      <c r="AJ225" s="674"/>
      <c r="AK225" s="680"/>
      <c r="AL225" s="681"/>
    </row>
    <row r="226" spans="1:38" x14ac:dyDescent="0.55000000000000004">
      <c r="A226" s="706">
        <v>44098</v>
      </c>
      <c r="B226" s="682">
        <v>63223</v>
      </c>
      <c r="C226" s="684">
        <v>20086658</v>
      </c>
      <c r="D226" s="685" t="s">
        <v>1624</v>
      </c>
      <c r="E226" s="685"/>
      <c r="F226" s="674">
        <v>1</v>
      </c>
      <c r="G226" s="675" t="s">
        <v>4209</v>
      </c>
      <c r="H226" s="676" t="s">
        <v>1571</v>
      </c>
      <c r="I226" s="674">
        <v>2</v>
      </c>
      <c r="J226" s="675" t="s">
        <v>1511</v>
      </c>
      <c r="K226" s="677" t="s">
        <v>1574</v>
      </c>
      <c r="L226" s="674">
        <v>3</v>
      </c>
      <c r="M226" s="678" t="s">
        <v>1502</v>
      </c>
      <c r="N226" s="679" t="s">
        <v>1575</v>
      </c>
      <c r="O226" s="674">
        <v>4</v>
      </c>
      <c r="P226" s="678" t="s">
        <v>1498</v>
      </c>
      <c r="Q226" s="677" t="s">
        <v>1939</v>
      </c>
      <c r="R226" s="674">
        <v>5</v>
      </c>
      <c r="S226" s="696" t="s">
        <v>1503</v>
      </c>
      <c r="T226" s="697" t="s">
        <v>1801</v>
      </c>
      <c r="U226" s="674"/>
      <c r="V226" s="680"/>
      <c r="W226" s="681"/>
      <c r="X226" s="674"/>
      <c r="Y226" s="680"/>
      <c r="Z226" s="681"/>
      <c r="AA226" s="674"/>
      <c r="AB226" s="680"/>
      <c r="AC226" s="681"/>
      <c r="AD226" s="674"/>
      <c r="AE226" s="680"/>
      <c r="AF226" s="681"/>
      <c r="AG226" s="674"/>
      <c r="AH226" s="680"/>
      <c r="AI226" s="681"/>
      <c r="AJ226" s="674"/>
      <c r="AK226" s="680"/>
      <c r="AL226" s="681"/>
    </row>
    <row r="227" spans="1:38" x14ac:dyDescent="0.55000000000000004">
      <c r="A227" s="706">
        <v>44098</v>
      </c>
      <c r="B227" s="682">
        <v>63224</v>
      </c>
      <c r="C227" s="684">
        <v>20096674</v>
      </c>
      <c r="D227" s="685" t="s">
        <v>1624</v>
      </c>
      <c r="E227" s="695"/>
      <c r="F227" s="674">
        <v>1</v>
      </c>
      <c r="G227" s="675" t="s">
        <v>4259</v>
      </c>
      <c r="H227" s="676" t="s">
        <v>1571</v>
      </c>
      <c r="I227" s="674">
        <v>2</v>
      </c>
      <c r="J227" s="675" t="s">
        <v>1511</v>
      </c>
      <c r="K227" s="677" t="s">
        <v>1575</v>
      </c>
      <c r="L227" s="674">
        <v>3</v>
      </c>
      <c r="M227" s="678" t="s">
        <v>1503</v>
      </c>
      <c r="N227" s="679" t="s">
        <v>1584</v>
      </c>
      <c r="O227" s="674"/>
      <c r="P227" s="680"/>
      <c r="Q227" s="681"/>
      <c r="R227" s="674"/>
      <c r="S227" s="680"/>
      <c r="T227" s="681"/>
      <c r="U227" s="674"/>
      <c r="V227" s="680"/>
      <c r="W227" s="681"/>
      <c r="X227" s="674"/>
      <c r="Y227" s="680"/>
      <c r="Z227" s="681"/>
      <c r="AA227" s="674"/>
      <c r="AB227" s="680"/>
      <c r="AC227" s="681"/>
      <c r="AD227" s="674"/>
      <c r="AE227" s="680"/>
      <c r="AF227" s="681"/>
      <c r="AG227" s="674"/>
      <c r="AH227" s="680"/>
      <c r="AI227" s="681"/>
      <c r="AJ227" s="674"/>
      <c r="AK227" s="680"/>
      <c r="AL227" s="681"/>
    </row>
    <row r="228" spans="1:38" x14ac:dyDescent="0.55000000000000004">
      <c r="A228" s="706">
        <v>44098</v>
      </c>
      <c r="B228" s="682">
        <v>63225</v>
      </c>
      <c r="C228" s="684">
        <v>20096675</v>
      </c>
      <c r="D228" s="685" t="s">
        <v>4266</v>
      </c>
      <c r="E228" s="695"/>
      <c r="F228" s="674">
        <v>1</v>
      </c>
      <c r="G228" s="675" t="s">
        <v>784</v>
      </c>
      <c r="H228" s="676" t="s">
        <v>1571</v>
      </c>
      <c r="I228" s="674">
        <v>2</v>
      </c>
      <c r="J228" s="675" t="s">
        <v>1634</v>
      </c>
      <c r="K228" s="677" t="s">
        <v>1575</v>
      </c>
      <c r="L228" s="674">
        <v>3</v>
      </c>
      <c r="M228" s="678" t="s">
        <v>1507</v>
      </c>
      <c r="N228" s="677" t="s">
        <v>1575</v>
      </c>
      <c r="O228" s="674">
        <v>4</v>
      </c>
      <c r="P228" s="678" t="s">
        <v>1498</v>
      </c>
      <c r="Q228" s="677" t="s">
        <v>2446</v>
      </c>
      <c r="R228" s="674"/>
      <c r="S228" s="680"/>
      <c r="T228" s="681"/>
      <c r="U228" s="674"/>
      <c r="V228" s="680"/>
      <c r="W228" s="681"/>
      <c r="X228" s="674"/>
      <c r="Y228" s="680"/>
      <c r="Z228" s="681"/>
      <c r="AA228" s="674"/>
      <c r="AB228" s="680"/>
      <c r="AC228" s="681"/>
      <c r="AD228" s="674"/>
      <c r="AE228" s="680"/>
      <c r="AF228" s="681"/>
      <c r="AG228" s="674"/>
      <c r="AH228" s="680"/>
      <c r="AI228" s="681"/>
      <c r="AJ228" s="674"/>
      <c r="AK228" s="680"/>
      <c r="AL228" s="681"/>
    </row>
    <row r="229" spans="1:38" x14ac:dyDescent="0.55000000000000004">
      <c r="A229" s="706">
        <v>44099</v>
      </c>
      <c r="B229" s="682">
        <v>63226</v>
      </c>
      <c r="C229" s="684">
        <v>20096662</v>
      </c>
      <c r="D229" s="685" t="s">
        <v>1926</v>
      </c>
      <c r="E229" s="695"/>
      <c r="F229" s="674">
        <v>1</v>
      </c>
      <c r="G229" s="675" t="s">
        <v>3933</v>
      </c>
      <c r="H229" s="676" t="s">
        <v>1571</v>
      </c>
      <c r="I229" s="674">
        <v>2</v>
      </c>
      <c r="J229" s="675" t="s">
        <v>1511</v>
      </c>
      <c r="K229" s="677" t="s">
        <v>1575</v>
      </c>
      <c r="L229" s="674">
        <v>3</v>
      </c>
      <c r="M229" s="678" t="s">
        <v>1503</v>
      </c>
      <c r="N229" s="679" t="s">
        <v>1597</v>
      </c>
      <c r="O229" s="674"/>
      <c r="P229" s="680"/>
      <c r="Q229" s="681"/>
      <c r="R229" s="674"/>
      <c r="S229" s="680"/>
      <c r="T229" s="681"/>
      <c r="U229" s="674"/>
      <c r="V229" s="680"/>
      <c r="W229" s="681"/>
      <c r="X229" s="674"/>
      <c r="Y229" s="680"/>
      <c r="Z229" s="681"/>
      <c r="AA229" s="674"/>
      <c r="AB229" s="680"/>
      <c r="AC229" s="681"/>
      <c r="AD229" s="674"/>
      <c r="AE229" s="680"/>
      <c r="AF229" s="681"/>
      <c r="AG229" s="674"/>
      <c r="AH229" s="680"/>
      <c r="AI229" s="681"/>
      <c r="AJ229" s="674"/>
      <c r="AK229" s="680"/>
      <c r="AL229" s="681"/>
    </row>
    <row r="230" spans="1:38" x14ac:dyDescent="0.55000000000000004">
      <c r="A230" s="706">
        <v>44099</v>
      </c>
      <c r="B230" s="682">
        <v>63227</v>
      </c>
      <c r="C230" s="745"/>
      <c r="D230" s="685" t="s">
        <v>4267</v>
      </c>
      <c r="E230" s="695" t="s">
        <v>4268</v>
      </c>
      <c r="F230" s="674">
        <v>1</v>
      </c>
      <c r="G230" s="675" t="s">
        <v>1776</v>
      </c>
      <c r="H230" s="676" t="s">
        <v>4364</v>
      </c>
      <c r="I230" s="674"/>
      <c r="J230" s="690"/>
      <c r="K230" s="681"/>
      <c r="L230" s="674"/>
      <c r="M230" s="680"/>
      <c r="N230" s="681"/>
      <c r="O230" s="674"/>
      <c r="P230" s="680"/>
      <c r="Q230" s="681"/>
      <c r="R230" s="674"/>
      <c r="S230" s="680"/>
      <c r="T230" s="681"/>
      <c r="U230" s="674"/>
      <c r="V230" s="680"/>
      <c r="W230" s="681"/>
      <c r="X230" s="674"/>
      <c r="Y230" s="680"/>
      <c r="Z230" s="681"/>
      <c r="AA230" s="674"/>
      <c r="AB230" s="680"/>
      <c r="AC230" s="681"/>
      <c r="AD230" s="674"/>
      <c r="AE230" s="680"/>
      <c r="AF230" s="681"/>
      <c r="AG230" s="674"/>
      <c r="AH230" s="680"/>
      <c r="AI230" s="681"/>
      <c r="AJ230" s="674"/>
      <c r="AK230" s="680"/>
      <c r="AL230" s="681"/>
    </row>
    <row r="231" spans="1:38" x14ac:dyDescent="0.55000000000000004">
      <c r="A231" s="706">
        <v>44103</v>
      </c>
      <c r="B231" s="682">
        <v>63228</v>
      </c>
      <c r="C231" s="684">
        <v>20096670</v>
      </c>
      <c r="D231" s="685" t="s">
        <v>4269</v>
      </c>
      <c r="E231" s="695"/>
      <c r="F231" s="674">
        <v>1</v>
      </c>
      <c r="G231" s="675" t="s">
        <v>4365</v>
      </c>
      <c r="H231" s="676" t="s">
        <v>1571</v>
      </c>
      <c r="I231" s="674">
        <v>2</v>
      </c>
      <c r="J231" s="675" t="s">
        <v>3164</v>
      </c>
      <c r="K231" s="677" t="s">
        <v>1571</v>
      </c>
      <c r="L231" s="674">
        <v>3</v>
      </c>
      <c r="M231" s="678" t="s">
        <v>1634</v>
      </c>
      <c r="N231" s="679" t="s">
        <v>1574</v>
      </c>
      <c r="O231" s="674">
        <v>4</v>
      </c>
      <c r="P231" s="678" t="s">
        <v>1502</v>
      </c>
      <c r="Q231" s="677" t="s">
        <v>1575</v>
      </c>
      <c r="R231" s="674">
        <v>5</v>
      </c>
      <c r="S231" s="696" t="s">
        <v>1498</v>
      </c>
      <c r="T231" s="697" t="s">
        <v>3401</v>
      </c>
      <c r="U231" s="674">
        <v>6</v>
      </c>
      <c r="V231" s="696" t="s">
        <v>3398</v>
      </c>
      <c r="W231" s="697" t="s">
        <v>1575</v>
      </c>
      <c r="X231" s="674">
        <v>7</v>
      </c>
      <c r="Y231" s="696" t="s">
        <v>1503</v>
      </c>
      <c r="Z231" s="697" t="s">
        <v>1597</v>
      </c>
      <c r="AA231" s="674"/>
      <c r="AB231" s="680"/>
      <c r="AC231" s="681"/>
      <c r="AD231" s="674"/>
      <c r="AE231" s="680"/>
      <c r="AF231" s="681"/>
      <c r="AG231" s="674"/>
      <c r="AH231" s="680"/>
      <c r="AI231" s="681"/>
      <c r="AJ231" s="674"/>
      <c r="AK231" s="680"/>
      <c r="AL231" s="681"/>
    </row>
    <row r="232" spans="1:38" x14ac:dyDescent="0.55000000000000004">
      <c r="A232" s="670">
        <v>44102</v>
      </c>
      <c r="B232" s="692">
        <v>63229</v>
      </c>
      <c r="C232" s="1779" t="s">
        <v>4253</v>
      </c>
      <c r="D232" s="673" t="s">
        <v>4270</v>
      </c>
      <c r="E232" s="725"/>
      <c r="F232" s="674">
        <v>1</v>
      </c>
      <c r="G232" s="675" t="s">
        <v>801</v>
      </c>
      <c r="H232" s="676" t="s">
        <v>1581</v>
      </c>
      <c r="I232" s="674">
        <v>2</v>
      </c>
      <c r="J232" s="675" t="s">
        <v>1634</v>
      </c>
      <c r="K232" s="677" t="s">
        <v>1583</v>
      </c>
      <c r="L232" s="674">
        <v>3</v>
      </c>
      <c r="M232" s="678" t="s">
        <v>1507</v>
      </c>
      <c r="N232" s="679" t="s">
        <v>1582</v>
      </c>
      <c r="O232" s="674">
        <v>4</v>
      </c>
      <c r="P232" s="678" t="s">
        <v>1498</v>
      </c>
      <c r="Q232" s="677" t="s">
        <v>1637</v>
      </c>
      <c r="R232" s="674"/>
      <c r="S232" s="680"/>
      <c r="T232" s="681"/>
      <c r="U232" s="674"/>
      <c r="V232" s="680"/>
      <c r="W232" s="681"/>
      <c r="X232" s="674"/>
      <c r="Y232" s="680"/>
      <c r="Z232" s="681"/>
      <c r="AA232" s="674"/>
      <c r="AB232" s="680"/>
      <c r="AC232" s="681"/>
      <c r="AD232" s="674"/>
      <c r="AE232" s="680"/>
      <c r="AF232" s="681"/>
      <c r="AG232" s="674"/>
      <c r="AH232" s="680"/>
      <c r="AI232" s="681"/>
      <c r="AJ232" s="674"/>
      <c r="AK232" s="680"/>
      <c r="AL232" s="681"/>
    </row>
    <row r="233" spans="1:38" x14ac:dyDescent="0.55000000000000004">
      <c r="A233" s="682"/>
      <c r="B233" s="682">
        <v>63230</v>
      </c>
      <c r="C233" s="684"/>
      <c r="D233" s="685"/>
      <c r="E233" s="695"/>
      <c r="F233" s="674">
        <v>1</v>
      </c>
      <c r="G233" s="675" t="s">
        <v>801</v>
      </c>
      <c r="H233" s="676" t="s">
        <v>1579</v>
      </c>
      <c r="I233" s="674">
        <v>2</v>
      </c>
      <c r="J233" s="675" t="s">
        <v>3781</v>
      </c>
      <c r="K233" s="677" t="s">
        <v>1579</v>
      </c>
      <c r="L233" s="674">
        <v>3</v>
      </c>
      <c r="M233" s="678" t="s">
        <v>1634</v>
      </c>
      <c r="N233" s="677" t="s">
        <v>1575</v>
      </c>
      <c r="O233" s="674">
        <v>4</v>
      </c>
      <c r="P233" s="678" t="s">
        <v>1507</v>
      </c>
      <c r="Q233" s="677" t="s">
        <v>1583</v>
      </c>
      <c r="R233" s="674">
        <v>5</v>
      </c>
      <c r="S233" s="696" t="s">
        <v>1498</v>
      </c>
      <c r="T233" s="697" t="s">
        <v>1595</v>
      </c>
      <c r="U233" s="674"/>
      <c r="V233" s="680"/>
      <c r="W233" s="681"/>
      <c r="X233" s="674"/>
      <c r="Y233" s="680"/>
      <c r="Z233" s="681"/>
      <c r="AA233" s="674"/>
      <c r="AB233" s="680"/>
      <c r="AC233" s="681"/>
      <c r="AD233" s="674"/>
      <c r="AE233" s="680"/>
      <c r="AF233" s="681"/>
      <c r="AG233" s="674"/>
      <c r="AH233" s="680"/>
      <c r="AI233" s="681"/>
      <c r="AJ233" s="674"/>
      <c r="AK233" s="680"/>
      <c r="AL233" s="681"/>
    </row>
    <row r="234" spans="1:38" x14ac:dyDescent="0.55000000000000004">
      <c r="A234" s="706">
        <v>44103</v>
      </c>
      <c r="B234" s="682">
        <v>63231</v>
      </c>
      <c r="C234" s="684">
        <v>200966777</v>
      </c>
      <c r="D234" s="685" t="s">
        <v>1624</v>
      </c>
      <c r="E234" s="695"/>
      <c r="F234" s="674">
        <v>1</v>
      </c>
      <c r="G234" s="675" t="s">
        <v>1951</v>
      </c>
      <c r="H234" s="676" t="s">
        <v>1579</v>
      </c>
      <c r="I234" s="674">
        <v>2</v>
      </c>
      <c r="J234" s="675" t="s">
        <v>3585</v>
      </c>
      <c r="K234" s="677" t="s">
        <v>1633</v>
      </c>
      <c r="L234" s="674">
        <v>3</v>
      </c>
      <c r="M234" s="678" t="s">
        <v>1507</v>
      </c>
      <c r="N234" s="679" t="s">
        <v>1583</v>
      </c>
      <c r="O234" s="674">
        <v>4</v>
      </c>
      <c r="P234" s="678" t="s">
        <v>1498</v>
      </c>
      <c r="Q234" s="677" t="s">
        <v>3095</v>
      </c>
      <c r="R234" s="674"/>
      <c r="S234" s="680"/>
      <c r="T234" s="681"/>
      <c r="U234" s="674"/>
      <c r="V234" s="680"/>
      <c r="W234" s="681"/>
      <c r="X234" s="674"/>
      <c r="Y234" s="680"/>
      <c r="Z234" s="681"/>
      <c r="AA234" s="674"/>
      <c r="AB234" s="680"/>
      <c r="AC234" s="681"/>
      <c r="AD234" s="674"/>
      <c r="AE234" s="680"/>
      <c r="AF234" s="681"/>
      <c r="AG234" s="674"/>
      <c r="AH234" s="680"/>
      <c r="AI234" s="681"/>
      <c r="AJ234" s="674"/>
      <c r="AK234" s="680"/>
      <c r="AL234" s="681"/>
    </row>
    <row r="235" spans="1:38" x14ac:dyDescent="0.55000000000000004">
      <c r="A235" s="706">
        <v>44103</v>
      </c>
      <c r="B235" s="682">
        <v>63232</v>
      </c>
      <c r="C235" s="684">
        <v>20096678</v>
      </c>
      <c r="D235" s="685" t="s">
        <v>3740</v>
      </c>
      <c r="E235" s="695"/>
      <c r="F235" s="674">
        <v>1</v>
      </c>
      <c r="G235" s="675" t="s">
        <v>4243</v>
      </c>
      <c r="H235" s="676" t="s">
        <v>1571</v>
      </c>
      <c r="I235" s="674">
        <v>2</v>
      </c>
      <c r="J235" s="675" t="s">
        <v>1511</v>
      </c>
      <c r="K235" s="677" t="s">
        <v>1574</v>
      </c>
      <c r="L235" s="674">
        <v>3</v>
      </c>
      <c r="M235" s="678" t="s">
        <v>1507</v>
      </c>
      <c r="N235" s="679" t="s">
        <v>1575</v>
      </c>
      <c r="O235" s="674">
        <v>4</v>
      </c>
      <c r="P235" s="678" t="s">
        <v>1498</v>
      </c>
      <c r="Q235" s="677" t="s">
        <v>1795</v>
      </c>
      <c r="R235" s="674">
        <v>5</v>
      </c>
      <c r="S235" s="696" t="s">
        <v>2452</v>
      </c>
      <c r="T235" s="697" t="s">
        <v>1586</v>
      </c>
      <c r="U235" s="674"/>
      <c r="V235" s="680"/>
      <c r="W235" s="681"/>
      <c r="X235" s="674"/>
      <c r="Y235" s="680"/>
      <c r="Z235" s="681"/>
      <c r="AA235" s="674"/>
      <c r="AB235" s="680"/>
      <c r="AC235" s="681"/>
      <c r="AD235" s="674"/>
      <c r="AE235" s="680"/>
      <c r="AF235" s="681"/>
      <c r="AG235" s="674"/>
      <c r="AH235" s="680"/>
      <c r="AI235" s="681"/>
      <c r="AJ235" s="674"/>
      <c r="AK235" s="680"/>
      <c r="AL235" s="681"/>
    </row>
    <row r="236" spans="1:38" x14ac:dyDescent="0.55000000000000004">
      <c r="A236" s="706">
        <v>44105</v>
      </c>
      <c r="B236" s="682">
        <v>63233</v>
      </c>
      <c r="C236" s="684">
        <v>20096676</v>
      </c>
      <c r="D236" s="685" t="s">
        <v>4264</v>
      </c>
      <c r="E236" s="695"/>
      <c r="F236" s="674">
        <v>1</v>
      </c>
      <c r="G236" s="675" t="s">
        <v>883</v>
      </c>
      <c r="H236" s="676" t="s">
        <v>1579</v>
      </c>
      <c r="I236" s="674"/>
      <c r="J236" s="690"/>
      <c r="K236" s="681"/>
      <c r="L236" s="674"/>
      <c r="M236" s="680"/>
      <c r="N236" s="1181"/>
      <c r="O236" s="674"/>
      <c r="P236" s="680"/>
      <c r="Q236" s="681"/>
      <c r="R236" s="674"/>
      <c r="S236" s="680"/>
      <c r="T236" s="681"/>
      <c r="U236" s="674"/>
      <c r="V236" s="680"/>
      <c r="W236" s="681"/>
      <c r="X236" s="674"/>
      <c r="Y236" s="680"/>
      <c r="Z236" s="681"/>
      <c r="AA236" s="674"/>
      <c r="AB236" s="680"/>
      <c r="AC236" s="681"/>
      <c r="AD236" s="674"/>
      <c r="AE236" s="680"/>
      <c r="AF236" s="681"/>
      <c r="AG236" s="674"/>
      <c r="AH236" s="680"/>
      <c r="AI236" s="681"/>
      <c r="AJ236" s="674"/>
      <c r="AK236" s="680"/>
      <c r="AL236" s="681"/>
    </row>
    <row r="237" spans="1:38" x14ac:dyDescent="0.55000000000000004">
      <c r="A237" s="706">
        <v>44106</v>
      </c>
      <c r="B237" s="682">
        <v>63234</v>
      </c>
      <c r="C237" s="684">
        <v>20086652</v>
      </c>
      <c r="D237" s="685" t="s">
        <v>3975</v>
      </c>
      <c r="E237" s="695"/>
      <c r="F237" s="674">
        <v>1</v>
      </c>
      <c r="G237" s="675" t="s">
        <v>4192</v>
      </c>
      <c r="H237" s="676" t="s">
        <v>1571</v>
      </c>
      <c r="I237" s="674">
        <v>2</v>
      </c>
      <c r="J237" s="675" t="s">
        <v>1511</v>
      </c>
      <c r="K237" s="677" t="s">
        <v>1574</v>
      </c>
      <c r="L237" s="674">
        <v>3</v>
      </c>
      <c r="M237" s="678" t="s">
        <v>1502</v>
      </c>
      <c r="N237" s="677" t="s">
        <v>1575</v>
      </c>
      <c r="O237" s="674">
        <v>4</v>
      </c>
      <c r="P237" s="678" t="s">
        <v>1498</v>
      </c>
      <c r="Q237" s="677" t="s">
        <v>2338</v>
      </c>
      <c r="R237" s="674">
        <v>5</v>
      </c>
      <c r="S237" s="696" t="s">
        <v>1503</v>
      </c>
      <c r="T237" s="697" t="s">
        <v>1801</v>
      </c>
      <c r="U237" s="674"/>
      <c r="V237" s="680"/>
      <c r="W237" s="681"/>
      <c r="X237" s="674"/>
      <c r="Y237" s="680"/>
      <c r="Z237" s="681"/>
      <c r="AA237" s="674"/>
      <c r="AB237" s="680"/>
      <c r="AC237" s="681"/>
      <c r="AD237" s="674"/>
      <c r="AE237" s="680"/>
      <c r="AF237" s="681"/>
      <c r="AG237" s="674"/>
      <c r="AH237" s="680"/>
      <c r="AI237" s="681"/>
      <c r="AJ237" s="674"/>
      <c r="AK237" s="680"/>
      <c r="AL237" s="681"/>
    </row>
    <row r="238" spans="1:38" x14ac:dyDescent="0.55000000000000004">
      <c r="A238" s="706">
        <v>44109</v>
      </c>
      <c r="B238" s="682">
        <v>63235</v>
      </c>
      <c r="C238" s="745"/>
      <c r="D238" s="685" t="s">
        <v>4357</v>
      </c>
      <c r="E238" s="685" t="s">
        <v>4358</v>
      </c>
      <c r="F238" s="674">
        <v>1</v>
      </c>
      <c r="G238" s="675" t="s">
        <v>1788</v>
      </c>
      <c r="H238" s="676" t="s">
        <v>4368</v>
      </c>
      <c r="I238" s="674">
        <v>2</v>
      </c>
      <c r="J238" s="675" t="s">
        <v>4369</v>
      </c>
      <c r="K238" s="677" t="s">
        <v>4370</v>
      </c>
      <c r="L238" s="674"/>
      <c r="M238" s="680"/>
      <c r="N238" s="1181"/>
      <c r="O238" s="674"/>
      <c r="P238" s="680"/>
      <c r="Q238" s="681"/>
      <c r="R238" s="674"/>
      <c r="S238" s="680"/>
      <c r="T238" s="681"/>
      <c r="U238" s="674"/>
      <c r="V238" s="680"/>
      <c r="W238" s="681"/>
      <c r="X238" s="674"/>
      <c r="Y238" s="680"/>
      <c r="Z238" s="681"/>
      <c r="AA238" s="674"/>
      <c r="AB238" s="680"/>
      <c r="AC238" s="681"/>
      <c r="AD238" s="674"/>
      <c r="AE238" s="680"/>
      <c r="AF238" s="681"/>
      <c r="AG238" s="674"/>
      <c r="AH238" s="680"/>
      <c r="AI238" s="681"/>
      <c r="AJ238" s="674"/>
      <c r="AK238" s="680"/>
      <c r="AL238" s="681"/>
    </row>
    <row r="239" spans="1:38" x14ac:dyDescent="0.55000000000000004">
      <c r="A239" s="706">
        <v>44111</v>
      </c>
      <c r="B239" s="682">
        <v>63236</v>
      </c>
      <c r="C239" s="745"/>
      <c r="D239" s="685" t="s">
        <v>2670</v>
      </c>
      <c r="E239" s="685" t="s">
        <v>4359</v>
      </c>
      <c r="F239" s="674">
        <v>1</v>
      </c>
      <c r="G239" s="675" t="s">
        <v>1929</v>
      </c>
      <c r="H239" s="676" t="s">
        <v>4367</v>
      </c>
      <c r="I239" s="674"/>
      <c r="J239" s="690"/>
      <c r="K239" s="681"/>
      <c r="L239" s="674"/>
      <c r="M239" s="680"/>
      <c r="N239" s="1181"/>
      <c r="O239" s="674"/>
      <c r="P239" s="680"/>
      <c r="Q239" s="681"/>
      <c r="R239" s="674"/>
      <c r="S239" s="680"/>
      <c r="T239" s="681"/>
      <c r="U239" s="674"/>
      <c r="V239" s="680"/>
      <c r="W239" s="681"/>
      <c r="X239" s="674"/>
      <c r="Y239" s="680"/>
      <c r="Z239" s="681"/>
      <c r="AA239" s="674"/>
      <c r="AB239" s="680"/>
      <c r="AC239" s="681"/>
      <c r="AD239" s="674"/>
      <c r="AE239" s="680"/>
      <c r="AF239" s="681"/>
      <c r="AG239" s="674"/>
      <c r="AH239" s="680"/>
      <c r="AI239" s="681"/>
      <c r="AJ239" s="674"/>
      <c r="AK239" s="680"/>
      <c r="AL239" s="681"/>
    </row>
    <row r="240" spans="1:38" x14ac:dyDescent="0.55000000000000004">
      <c r="A240" s="706">
        <v>44112</v>
      </c>
      <c r="B240" s="682">
        <v>63237</v>
      </c>
      <c r="C240" s="684">
        <v>20096682</v>
      </c>
      <c r="D240" s="685" t="s">
        <v>1490</v>
      </c>
      <c r="E240" s="695"/>
      <c r="F240" s="674">
        <v>1</v>
      </c>
      <c r="G240" s="675" t="s">
        <v>4286</v>
      </c>
      <c r="H240" s="676" t="s">
        <v>1571</v>
      </c>
      <c r="I240" s="674">
        <v>2</v>
      </c>
      <c r="J240" s="675" t="s">
        <v>1511</v>
      </c>
      <c r="K240" s="677" t="s">
        <v>1574</v>
      </c>
      <c r="L240" s="674">
        <v>3</v>
      </c>
      <c r="M240" s="678" t="s">
        <v>1502</v>
      </c>
      <c r="N240" s="677" t="s">
        <v>1575</v>
      </c>
      <c r="O240" s="674">
        <v>4</v>
      </c>
      <c r="P240" s="678" t="s">
        <v>1498</v>
      </c>
      <c r="Q240" s="677" t="s">
        <v>2338</v>
      </c>
      <c r="R240" s="674">
        <v>5</v>
      </c>
      <c r="S240" s="696" t="s">
        <v>1503</v>
      </c>
      <c r="T240" s="697" t="s">
        <v>1801</v>
      </c>
      <c r="U240" s="674"/>
      <c r="V240" s="680"/>
      <c r="W240" s="681"/>
      <c r="X240" s="674"/>
      <c r="Y240" s="680"/>
      <c r="Z240" s="681"/>
      <c r="AA240" s="674"/>
      <c r="AB240" s="680"/>
      <c r="AC240" s="681"/>
      <c r="AD240" s="674"/>
      <c r="AE240" s="680"/>
      <c r="AF240" s="681"/>
      <c r="AG240" s="674"/>
      <c r="AH240" s="680"/>
      <c r="AI240" s="681"/>
      <c r="AJ240" s="674"/>
      <c r="AK240" s="680"/>
      <c r="AL240" s="681"/>
    </row>
    <row r="241" spans="1:38" x14ac:dyDescent="0.55000000000000004">
      <c r="A241" s="706">
        <v>44113</v>
      </c>
      <c r="B241" s="682">
        <v>63238</v>
      </c>
      <c r="C241" s="684">
        <v>20036520</v>
      </c>
      <c r="D241" s="685" t="s">
        <v>3840</v>
      </c>
      <c r="E241" s="695"/>
      <c r="F241" s="674">
        <v>1</v>
      </c>
      <c r="G241" s="675" t="s">
        <v>4366</v>
      </c>
      <c r="H241" s="676" t="s">
        <v>1571</v>
      </c>
      <c r="I241" s="674">
        <v>2</v>
      </c>
      <c r="J241" s="675" t="s">
        <v>3668</v>
      </c>
      <c r="K241" s="677" t="s">
        <v>1571</v>
      </c>
      <c r="L241" s="674">
        <v>3</v>
      </c>
      <c r="M241" s="678" t="s">
        <v>1634</v>
      </c>
      <c r="N241" s="679" t="s">
        <v>1578</v>
      </c>
      <c r="O241" s="674">
        <v>4</v>
      </c>
      <c r="P241" s="678" t="s">
        <v>1507</v>
      </c>
      <c r="Q241" s="677" t="s">
        <v>1583</v>
      </c>
      <c r="R241" s="674">
        <v>5</v>
      </c>
      <c r="S241" s="696" t="s">
        <v>1498</v>
      </c>
      <c r="T241" s="697" t="s">
        <v>3094</v>
      </c>
      <c r="U241" s="674">
        <v>6</v>
      </c>
      <c r="V241" s="696" t="s">
        <v>2453</v>
      </c>
      <c r="W241" s="697" t="s">
        <v>1575</v>
      </c>
      <c r="X241" s="674"/>
      <c r="Y241" s="680"/>
      <c r="Z241" s="681"/>
      <c r="AA241" s="674"/>
      <c r="AB241" s="680"/>
      <c r="AC241" s="681"/>
      <c r="AD241" s="674"/>
      <c r="AE241" s="680"/>
      <c r="AF241" s="681"/>
      <c r="AG241" s="674"/>
      <c r="AH241" s="680"/>
      <c r="AI241" s="681"/>
      <c r="AJ241" s="674"/>
      <c r="AK241" s="680"/>
      <c r="AL241" s="681"/>
    </row>
    <row r="242" spans="1:38" x14ac:dyDescent="0.55000000000000004">
      <c r="A242" s="706">
        <v>44116</v>
      </c>
      <c r="B242" s="682">
        <v>63239</v>
      </c>
      <c r="C242" s="745"/>
      <c r="D242" s="685" t="s">
        <v>4380</v>
      </c>
      <c r="E242" s="695" t="s">
        <v>3970</v>
      </c>
      <c r="F242" s="674">
        <v>1</v>
      </c>
      <c r="G242" s="675"/>
      <c r="H242" s="676"/>
      <c r="I242" s="674">
        <v>2</v>
      </c>
      <c r="J242" s="675"/>
      <c r="K242" s="677"/>
      <c r="L242" s="674">
        <v>3</v>
      </c>
      <c r="M242" s="678"/>
      <c r="N242" s="677"/>
      <c r="O242" s="674">
        <v>4</v>
      </c>
      <c r="P242" s="678"/>
      <c r="Q242" s="677"/>
      <c r="R242" s="674">
        <v>5</v>
      </c>
      <c r="S242" s="696"/>
      <c r="T242" s="697"/>
      <c r="U242" s="674">
        <v>6</v>
      </c>
      <c r="V242" s="696"/>
      <c r="W242" s="697"/>
      <c r="X242" s="674">
        <v>7</v>
      </c>
      <c r="Y242" s="696"/>
      <c r="Z242" s="697"/>
      <c r="AA242" s="674">
        <v>8</v>
      </c>
      <c r="AB242" s="696"/>
      <c r="AC242" s="697"/>
      <c r="AD242" s="674">
        <v>9</v>
      </c>
      <c r="AE242" s="696"/>
      <c r="AF242" s="697"/>
      <c r="AG242" s="674">
        <v>10</v>
      </c>
      <c r="AH242" s="696"/>
      <c r="AI242" s="697"/>
      <c r="AJ242" s="674">
        <v>11</v>
      </c>
      <c r="AK242" s="696"/>
      <c r="AL242" s="697"/>
    </row>
    <row r="243" spans="1:38" x14ac:dyDescent="0.55000000000000004">
      <c r="A243" s="706">
        <v>44116</v>
      </c>
      <c r="B243" s="682">
        <v>63240</v>
      </c>
      <c r="C243" s="684">
        <v>20086653</v>
      </c>
      <c r="D243" s="685" t="s">
        <v>3975</v>
      </c>
      <c r="E243" s="695"/>
      <c r="F243" s="674">
        <v>1</v>
      </c>
      <c r="G243" s="675"/>
      <c r="H243" s="676"/>
      <c r="I243" s="674">
        <v>2</v>
      </c>
      <c r="J243" s="675"/>
      <c r="K243" s="677"/>
      <c r="L243" s="674">
        <v>3</v>
      </c>
      <c r="M243" s="678"/>
      <c r="N243" s="679"/>
      <c r="O243" s="674">
        <v>4</v>
      </c>
      <c r="P243" s="678"/>
      <c r="Q243" s="677"/>
      <c r="R243" s="674">
        <v>5</v>
      </c>
      <c r="S243" s="696"/>
      <c r="T243" s="697"/>
      <c r="U243" s="674">
        <v>6</v>
      </c>
      <c r="V243" s="696"/>
      <c r="W243" s="697"/>
      <c r="X243" s="674">
        <v>7</v>
      </c>
      <c r="Y243" s="696"/>
      <c r="Z243" s="697"/>
      <c r="AA243" s="674">
        <v>8</v>
      </c>
      <c r="AB243" s="696"/>
      <c r="AC243" s="697"/>
      <c r="AD243" s="674">
        <v>9</v>
      </c>
      <c r="AE243" s="696"/>
      <c r="AF243" s="697"/>
      <c r="AG243" s="674">
        <v>10</v>
      </c>
      <c r="AH243" s="696"/>
      <c r="AI243" s="697"/>
      <c r="AJ243" s="674">
        <v>11</v>
      </c>
      <c r="AK243" s="696"/>
      <c r="AL243" s="697"/>
    </row>
    <row r="244" spans="1:38" x14ac:dyDescent="0.55000000000000004">
      <c r="A244" s="707">
        <v>44118</v>
      </c>
      <c r="B244" s="692">
        <v>63241</v>
      </c>
      <c r="C244" s="672">
        <v>20086655</v>
      </c>
      <c r="D244" s="673" t="s">
        <v>4381</v>
      </c>
      <c r="E244" s="725"/>
      <c r="F244" s="674">
        <v>1</v>
      </c>
      <c r="G244" s="675" t="s">
        <v>4186</v>
      </c>
      <c r="H244" s="676" t="s">
        <v>1571</v>
      </c>
      <c r="I244" s="674"/>
      <c r="J244" s="690"/>
      <c r="K244" s="681"/>
      <c r="L244" s="674"/>
      <c r="M244" s="680"/>
      <c r="N244" s="1181"/>
      <c r="O244" s="674"/>
      <c r="P244" s="680"/>
      <c r="Q244" s="681"/>
      <c r="R244" s="674"/>
      <c r="S244" s="680"/>
      <c r="T244" s="681"/>
      <c r="U244" s="674"/>
      <c r="V244" s="680"/>
      <c r="W244" s="681"/>
      <c r="X244" s="674"/>
      <c r="Y244" s="680"/>
      <c r="Z244" s="681"/>
      <c r="AA244" s="674"/>
      <c r="AB244" s="680"/>
      <c r="AC244" s="681"/>
      <c r="AD244" s="674"/>
      <c r="AE244" s="680"/>
      <c r="AF244" s="681"/>
      <c r="AG244" s="674"/>
      <c r="AH244" s="680"/>
      <c r="AI244" s="681"/>
      <c r="AJ244" s="674"/>
      <c r="AK244" s="680"/>
      <c r="AL244" s="681"/>
    </row>
    <row r="245" spans="1:38" x14ac:dyDescent="0.55000000000000004">
      <c r="A245" s="698"/>
      <c r="B245" s="699">
        <v>63242</v>
      </c>
      <c r="C245" s="700"/>
      <c r="D245" s="701"/>
      <c r="E245" s="726"/>
      <c r="F245" s="674">
        <v>1</v>
      </c>
      <c r="G245" s="675" t="s">
        <v>4186</v>
      </c>
      <c r="H245" s="676" t="s">
        <v>1571</v>
      </c>
      <c r="I245" s="674"/>
      <c r="J245" s="690"/>
      <c r="K245" s="681"/>
      <c r="L245" s="674"/>
      <c r="M245" s="680"/>
      <c r="N245" s="681"/>
      <c r="O245" s="674"/>
      <c r="P245" s="680"/>
      <c r="Q245" s="681"/>
      <c r="R245" s="674"/>
      <c r="S245" s="680"/>
      <c r="T245" s="681"/>
      <c r="U245" s="674"/>
      <c r="V245" s="680"/>
      <c r="W245" s="681"/>
      <c r="X245" s="674"/>
      <c r="Y245" s="680"/>
      <c r="Z245" s="681"/>
      <c r="AA245" s="674"/>
      <c r="AB245" s="680"/>
      <c r="AC245" s="681"/>
      <c r="AD245" s="674"/>
      <c r="AE245" s="680"/>
      <c r="AF245" s="681"/>
      <c r="AG245" s="674"/>
      <c r="AH245" s="680"/>
      <c r="AI245" s="681"/>
      <c r="AJ245" s="674"/>
      <c r="AK245" s="680"/>
      <c r="AL245" s="681"/>
    </row>
    <row r="246" spans="1:38" x14ac:dyDescent="0.55000000000000004">
      <c r="A246" s="707"/>
      <c r="B246" s="699">
        <v>63243</v>
      </c>
      <c r="C246" s="700"/>
      <c r="D246" s="701"/>
      <c r="E246" s="726"/>
      <c r="F246" s="674">
        <v>1</v>
      </c>
      <c r="G246" s="675" t="s">
        <v>4186</v>
      </c>
      <c r="H246" s="676" t="s">
        <v>1571</v>
      </c>
      <c r="I246" s="674"/>
      <c r="J246" s="690"/>
      <c r="K246" s="681"/>
      <c r="L246" s="674"/>
      <c r="M246" s="680"/>
      <c r="N246" s="1181"/>
      <c r="O246" s="674"/>
      <c r="P246" s="680"/>
      <c r="Q246" s="681"/>
      <c r="R246" s="674"/>
      <c r="S246" s="680"/>
      <c r="T246" s="681"/>
      <c r="U246" s="674"/>
      <c r="V246" s="680"/>
      <c r="W246" s="681"/>
      <c r="X246" s="674"/>
      <c r="Y246" s="680"/>
      <c r="Z246" s="681"/>
      <c r="AA246" s="674"/>
      <c r="AB246" s="680"/>
      <c r="AC246" s="681"/>
      <c r="AD246" s="674"/>
      <c r="AE246" s="680"/>
      <c r="AF246" s="681"/>
      <c r="AG246" s="674"/>
      <c r="AH246" s="680"/>
      <c r="AI246" s="681"/>
      <c r="AJ246" s="674"/>
      <c r="AK246" s="680"/>
      <c r="AL246" s="681"/>
    </row>
    <row r="247" spans="1:38" x14ac:dyDescent="0.55000000000000004">
      <c r="A247" s="707"/>
      <c r="B247" s="699">
        <v>63244</v>
      </c>
      <c r="C247" s="700"/>
      <c r="D247" s="701"/>
      <c r="E247" s="726"/>
      <c r="F247" s="674">
        <v>1</v>
      </c>
      <c r="G247" s="675" t="s">
        <v>4186</v>
      </c>
      <c r="H247" s="676" t="s">
        <v>1571</v>
      </c>
      <c r="I247" s="674"/>
      <c r="J247" s="690"/>
      <c r="K247" s="681"/>
      <c r="L247" s="674"/>
      <c r="M247" s="680"/>
      <c r="N247" s="1181"/>
      <c r="O247" s="674"/>
      <c r="P247" s="680"/>
      <c r="Q247" s="681"/>
      <c r="R247" s="674"/>
      <c r="S247" s="680"/>
      <c r="T247" s="681"/>
      <c r="U247" s="674"/>
      <c r="V247" s="680"/>
      <c r="W247" s="681"/>
      <c r="X247" s="674"/>
      <c r="Y247" s="680"/>
      <c r="Z247" s="681"/>
      <c r="AA247" s="674"/>
      <c r="AB247" s="680"/>
      <c r="AC247" s="681"/>
      <c r="AD247" s="674"/>
      <c r="AE247" s="680"/>
      <c r="AF247" s="681"/>
      <c r="AG247" s="674"/>
      <c r="AH247" s="680"/>
      <c r="AI247" s="681"/>
      <c r="AJ247" s="674"/>
      <c r="AK247" s="680"/>
      <c r="AL247" s="681"/>
    </row>
    <row r="248" spans="1:38" x14ac:dyDescent="0.55000000000000004">
      <c r="A248" s="706"/>
      <c r="B248" s="682">
        <v>63245</v>
      </c>
      <c r="C248" s="684"/>
      <c r="D248" s="685"/>
      <c r="E248" s="695"/>
      <c r="F248" s="674">
        <v>1</v>
      </c>
      <c r="G248" s="675" t="s">
        <v>1921</v>
      </c>
      <c r="H248" s="676" t="s">
        <v>1583</v>
      </c>
      <c r="I248" s="674"/>
      <c r="J248" s="690"/>
      <c r="K248" s="681"/>
      <c r="L248" s="674"/>
      <c r="M248" s="680"/>
      <c r="N248" s="1181"/>
      <c r="O248" s="674"/>
      <c r="P248" s="680"/>
      <c r="Q248" s="681"/>
      <c r="R248" s="674"/>
      <c r="S248" s="680"/>
      <c r="T248" s="681"/>
      <c r="U248" s="674"/>
      <c r="V248" s="680"/>
      <c r="W248" s="681"/>
      <c r="X248" s="674"/>
      <c r="Y248" s="680"/>
      <c r="Z248" s="681"/>
      <c r="AA248" s="674"/>
      <c r="AB248" s="680"/>
      <c r="AC248" s="681"/>
      <c r="AD248" s="674"/>
      <c r="AE248" s="680"/>
      <c r="AF248" s="681"/>
      <c r="AG248" s="674"/>
      <c r="AH248" s="680"/>
      <c r="AI248" s="681"/>
      <c r="AJ248" s="674"/>
      <c r="AK248" s="680"/>
      <c r="AL248" s="681"/>
    </row>
    <row r="249" spans="1:38" x14ac:dyDescent="0.55000000000000004">
      <c r="A249" s="707">
        <v>44118</v>
      </c>
      <c r="B249" s="692">
        <v>63246</v>
      </c>
      <c r="C249" s="672">
        <v>20096688</v>
      </c>
      <c r="D249" s="673" t="s">
        <v>4382</v>
      </c>
      <c r="E249" s="725"/>
      <c r="F249" s="674">
        <v>1</v>
      </c>
      <c r="G249" s="675" t="s">
        <v>4278</v>
      </c>
      <c r="H249" s="676" t="s">
        <v>1797</v>
      </c>
      <c r="I249" s="674">
        <v>2</v>
      </c>
      <c r="J249" s="675" t="s">
        <v>4279</v>
      </c>
      <c r="K249" s="677" t="s">
        <v>1571</v>
      </c>
      <c r="L249" s="674">
        <v>3</v>
      </c>
      <c r="M249" s="678" t="s">
        <v>1157</v>
      </c>
      <c r="N249" s="677" t="s">
        <v>1571</v>
      </c>
      <c r="O249" s="674">
        <v>4</v>
      </c>
      <c r="P249" s="678" t="s">
        <v>1634</v>
      </c>
      <c r="Q249" s="677" t="s">
        <v>1583</v>
      </c>
      <c r="R249" s="674"/>
      <c r="S249" s="680"/>
      <c r="T249" s="681"/>
      <c r="U249" s="674"/>
      <c r="V249" s="680"/>
      <c r="W249" s="681"/>
      <c r="X249" s="674"/>
      <c r="Y249" s="680"/>
      <c r="Z249" s="681"/>
      <c r="AA249" s="674"/>
      <c r="AB249" s="680"/>
      <c r="AC249" s="681"/>
      <c r="AD249" s="674"/>
      <c r="AE249" s="680"/>
      <c r="AF249" s="681"/>
      <c r="AG249" s="674"/>
      <c r="AH249" s="680"/>
      <c r="AI249" s="681"/>
      <c r="AJ249" s="674"/>
      <c r="AK249" s="680"/>
      <c r="AL249" s="681"/>
    </row>
    <row r="250" spans="1:38" x14ac:dyDescent="0.55000000000000004">
      <c r="A250" s="706"/>
      <c r="B250" s="682">
        <v>63247</v>
      </c>
      <c r="C250" s="684"/>
      <c r="D250" s="685"/>
      <c r="E250" s="695"/>
      <c r="F250" s="674">
        <v>1</v>
      </c>
      <c r="G250" s="675" t="s">
        <v>830</v>
      </c>
      <c r="H250" s="676" t="s">
        <v>1579</v>
      </c>
      <c r="I250" s="674">
        <v>2</v>
      </c>
      <c r="J250" s="675" t="s">
        <v>2887</v>
      </c>
      <c r="K250" s="677" t="s">
        <v>1571</v>
      </c>
      <c r="L250" s="674">
        <v>3</v>
      </c>
      <c r="M250" s="678" t="s">
        <v>1634</v>
      </c>
      <c r="N250" s="679" t="s">
        <v>1583</v>
      </c>
      <c r="O250" s="674">
        <v>4</v>
      </c>
      <c r="P250" s="678" t="s">
        <v>1507</v>
      </c>
      <c r="Q250" s="677" t="s">
        <v>1583</v>
      </c>
      <c r="R250" s="674">
        <v>5</v>
      </c>
      <c r="S250" s="696" t="s">
        <v>1502</v>
      </c>
      <c r="T250" s="697" t="s">
        <v>1575</v>
      </c>
      <c r="U250" s="674">
        <v>6</v>
      </c>
      <c r="V250" s="696" t="s">
        <v>1498</v>
      </c>
      <c r="W250" s="697" t="s">
        <v>2944</v>
      </c>
      <c r="X250" s="674">
        <v>7</v>
      </c>
      <c r="Y250" s="696" t="s">
        <v>3102</v>
      </c>
      <c r="Z250" s="697" t="s">
        <v>1575</v>
      </c>
      <c r="AA250" s="674">
        <v>8</v>
      </c>
      <c r="AB250" s="696" t="s">
        <v>1636</v>
      </c>
      <c r="AC250" s="697" t="s">
        <v>1586</v>
      </c>
      <c r="AD250" s="674"/>
      <c r="AE250" s="680"/>
      <c r="AF250" s="681"/>
      <c r="AG250" s="674"/>
      <c r="AH250" s="680"/>
      <c r="AI250" s="681"/>
      <c r="AJ250" s="674"/>
      <c r="AK250" s="680"/>
      <c r="AL250" s="681"/>
    </row>
    <row r="251" spans="1:38" x14ac:dyDescent="0.55000000000000004">
      <c r="A251" s="706">
        <v>44119</v>
      </c>
      <c r="B251" s="682">
        <v>63248</v>
      </c>
      <c r="C251" s="745"/>
      <c r="D251" s="685" t="s">
        <v>4384</v>
      </c>
      <c r="E251" s="695" t="s">
        <v>4383</v>
      </c>
      <c r="F251" s="674">
        <v>1</v>
      </c>
      <c r="G251" s="675" t="s">
        <v>1788</v>
      </c>
      <c r="H251" s="676" t="s">
        <v>4441</v>
      </c>
      <c r="I251" s="674"/>
      <c r="J251" s="690"/>
      <c r="K251" s="681"/>
      <c r="L251" s="674"/>
      <c r="M251" s="680"/>
      <c r="N251" s="1181"/>
      <c r="O251" s="674"/>
      <c r="P251" s="680"/>
      <c r="Q251" s="681"/>
      <c r="R251" s="674"/>
      <c r="S251" s="680"/>
      <c r="T251" s="681"/>
      <c r="U251" s="674"/>
      <c r="V251" s="680"/>
      <c r="W251" s="681"/>
      <c r="X251" s="674"/>
      <c r="Y251" s="680"/>
      <c r="Z251" s="681"/>
      <c r="AA251" s="674"/>
      <c r="AB251" s="680"/>
      <c r="AC251" s="681"/>
      <c r="AD251" s="674"/>
      <c r="AE251" s="680"/>
      <c r="AF251" s="681"/>
      <c r="AG251" s="674"/>
      <c r="AH251" s="680"/>
      <c r="AI251" s="681"/>
      <c r="AJ251" s="674"/>
      <c r="AK251" s="680"/>
      <c r="AL251" s="681"/>
    </row>
    <row r="252" spans="1:38" x14ac:dyDescent="0.55000000000000004">
      <c r="A252" s="706">
        <v>44119</v>
      </c>
      <c r="B252" s="682">
        <v>63249</v>
      </c>
      <c r="C252" s="684">
        <v>20096687</v>
      </c>
      <c r="D252" s="685" t="s">
        <v>4261</v>
      </c>
      <c r="E252" s="695"/>
      <c r="F252" s="674">
        <v>1</v>
      </c>
      <c r="G252" s="675" t="s">
        <v>4133</v>
      </c>
      <c r="H252" s="676" t="s">
        <v>1579</v>
      </c>
      <c r="I252" s="674">
        <v>2</v>
      </c>
      <c r="J252" s="675" t="s">
        <v>600</v>
      </c>
      <c r="K252" s="677" t="s">
        <v>1571</v>
      </c>
      <c r="L252" s="674">
        <v>3</v>
      </c>
      <c r="M252" s="678" t="s">
        <v>1634</v>
      </c>
      <c r="N252" s="677" t="s">
        <v>1583</v>
      </c>
      <c r="O252" s="674">
        <v>4</v>
      </c>
      <c r="P252" s="678" t="s">
        <v>1507</v>
      </c>
      <c r="Q252" s="677" t="s">
        <v>1583</v>
      </c>
      <c r="R252" s="674">
        <v>5</v>
      </c>
      <c r="S252" s="696" t="s">
        <v>1498</v>
      </c>
      <c r="T252" s="697" t="s">
        <v>1590</v>
      </c>
      <c r="U252" s="674"/>
      <c r="V252" s="680"/>
      <c r="W252" s="681"/>
      <c r="X252" s="674"/>
      <c r="Y252" s="680"/>
      <c r="Z252" s="681"/>
      <c r="AA252" s="674"/>
      <c r="AB252" s="680"/>
      <c r="AC252" s="681"/>
      <c r="AD252" s="674"/>
      <c r="AE252" s="680"/>
      <c r="AF252" s="681"/>
      <c r="AG252" s="674"/>
      <c r="AH252" s="680"/>
      <c r="AI252" s="681"/>
      <c r="AJ252" s="674"/>
      <c r="AK252" s="680"/>
      <c r="AL252" s="681"/>
    </row>
    <row r="253" spans="1:38" x14ac:dyDescent="0.55000000000000004">
      <c r="A253" s="670">
        <v>44125</v>
      </c>
      <c r="B253" s="692">
        <v>63250</v>
      </c>
      <c r="C253" s="672">
        <v>20096666</v>
      </c>
      <c r="D253" s="673" t="s">
        <v>3972</v>
      </c>
      <c r="E253" s="725"/>
      <c r="F253" s="674">
        <v>1</v>
      </c>
      <c r="G253" s="675" t="s">
        <v>4223</v>
      </c>
      <c r="H253" s="676" t="s">
        <v>1571</v>
      </c>
      <c r="I253" s="674">
        <v>2</v>
      </c>
      <c r="J253" s="675" t="s">
        <v>1503</v>
      </c>
      <c r="K253" s="677" t="s">
        <v>1584</v>
      </c>
      <c r="L253" s="674"/>
      <c r="M253" s="680"/>
      <c r="N253" s="1181"/>
      <c r="O253" s="674"/>
      <c r="P253" s="680"/>
      <c r="Q253" s="681"/>
      <c r="R253" s="674"/>
      <c r="S253" s="680"/>
      <c r="T253" s="681"/>
      <c r="U253" s="674"/>
      <c r="V253" s="680"/>
      <c r="W253" s="681"/>
      <c r="X253" s="674"/>
      <c r="Y253" s="680"/>
      <c r="Z253" s="681"/>
      <c r="AA253" s="674"/>
      <c r="AB253" s="680"/>
      <c r="AC253" s="681"/>
      <c r="AD253" s="674"/>
      <c r="AE253" s="680"/>
      <c r="AF253" s="681"/>
      <c r="AG253" s="674"/>
      <c r="AH253" s="680"/>
      <c r="AI253" s="681"/>
      <c r="AJ253" s="674"/>
      <c r="AK253" s="680"/>
      <c r="AL253" s="681"/>
    </row>
    <row r="254" spans="1:38" x14ac:dyDescent="0.55000000000000004">
      <c r="A254" s="707"/>
      <c r="B254" s="703">
        <v>63251</v>
      </c>
      <c r="C254" s="700"/>
      <c r="D254" s="701"/>
      <c r="E254" s="726"/>
      <c r="F254" s="674">
        <v>1</v>
      </c>
      <c r="G254" s="675" t="s">
        <v>814</v>
      </c>
      <c r="H254" s="676" t="s">
        <v>1571</v>
      </c>
      <c r="I254" s="674">
        <v>2</v>
      </c>
      <c r="J254" s="675" t="s">
        <v>1634</v>
      </c>
      <c r="K254" s="677" t="s">
        <v>1574</v>
      </c>
      <c r="L254" s="674">
        <v>3</v>
      </c>
      <c r="M254" s="678" t="s">
        <v>1502</v>
      </c>
      <c r="N254" s="679" t="s">
        <v>1575</v>
      </c>
      <c r="O254" s="674">
        <v>4</v>
      </c>
      <c r="P254" s="678" t="s">
        <v>1498</v>
      </c>
      <c r="Q254" s="677" t="s">
        <v>3403</v>
      </c>
      <c r="R254" s="674">
        <v>5</v>
      </c>
      <c r="S254" s="696" t="s">
        <v>1503</v>
      </c>
      <c r="T254" s="697" t="s">
        <v>1584</v>
      </c>
      <c r="U254" s="674"/>
      <c r="V254" s="680"/>
      <c r="W254" s="681"/>
      <c r="X254" s="674"/>
      <c r="Y254" s="680"/>
      <c r="Z254" s="681"/>
      <c r="AA254" s="674"/>
      <c r="AB254" s="680"/>
      <c r="AC254" s="681"/>
      <c r="AD254" s="674"/>
      <c r="AE254" s="680"/>
      <c r="AF254" s="681"/>
      <c r="AG254" s="674"/>
      <c r="AH254" s="680"/>
      <c r="AI254" s="681"/>
      <c r="AJ254" s="674"/>
      <c r="AK254" s="680"/>
      <c r="AL254" s="681"/>
    </row>
    <row r="255" spans="1:38" x14ac:dyDescent="0.55000000000000004">
      <c r="A255" s="706"/>
      <c r="B255" s="682">
        <v>63252</v>
      </c>
      <c r="C255" s="684"/>
      <c r="D255" s="685"/>
      <c r="E255" s="685"/>
      <c r="F255" s="674">
        <v>1</v>
      </c>
      <c r="G255" s="675" t="s">
        <v>814</v>
      </c>
      <c r="H255" s="676" t="s">
        <v>1571</v>
      </c>
      <c r="I255" s="674">
        <v>2</v>
      </c>
      <c r="J255" s="675" t="s">
        <v>1634</v>
      </c>
      <c r="K255" s="677" t="s">
        <v>1574</v>
      </c>
      <c r="L255" s="674">
        <v>3</v>
      </c>
      <c r="M255" s="678" t="s">
        <v>1502</v>
      </c>
      <c r="N255" s="679" t="s">
        <v>1575</v>
      </c>
      <c r="O255" s="674">
        <v>4</v>
      </c>
      <c r="P255" s="678" t="s">
        <v>1498</v>
      </c>
      <c r="Q255" s="677" t="s">
        <v>3403</v>
      </c>
      <c r="R255" s="674">
        <v>5</v>
      </c>
      <c r="S255" s="696" t="s">
        <v>1503</v>
      </c>
      <c r="T255" s="697" t="s">
        <v>1584</v>
      </c>
      <c r="U255" s="674"/>
      <c r="V255" s="680"/>
      <c r="W255" s="681"/>
      <c r="X255" s="674"/>
      <c r="Y255" s="680"/>
      <c r="Z255" s="681"/>
      <c r="AA255" s="674"/>
      <c r="AB255" s="680"/>
      <c r="AC255" s="681"/>
      <c r="AD255" s="674"/>
      <c r="AE255" s="680"/>
      <c r="AF255" s="681"/>
      <c r="AG255" s="674"/>
      <c r="AH255" s="680"/>
      <c r="AI255" s="681"/>
      <c r="AJ255" s="674"/>
      <c r="AK255" s="680"/>
      <c r="AL255" s="681"/>
    </row>
    <row r="256" spans="1:38" x14ac:dyDescent="0.55000000000000004">
      <c r="A256" s="706">
        <v>44126</v>
      </c>
      <c r="B256" s="682">
        <v>63253</v>
      </c>
      <c r="C256" s="684">
        <v>20106709</v>
      </c>
      <c r="D256" s="685" t="s">
        <v>2873</v>
      </c>
      <c r="E256" s="685"/>
      <c r="F256" s="674">
        <v>1</v>
      </c>
      <c r="G256" s="675" t="s">
        <v>4392</v>
      </c>
      <c r="H256" s="676" t="s">
        <v>1571</v>
      </c>
      <c r="I256" s="674">
        <v>2</v>
      </c>
      <c r="J256" s="675" t="s">
        <v>1634</v>
      </c>
      <c r="K256" s="677" t="s">
        <v>1575</v>
      </c>
      <c r="L256" s="674">
        <v>3</v>
      </c>
      <c r="M256" s="678" t="s">
        <v>1507</v>
      </c>
      <c r="N256" s="677" t="s">
        <v>1575</v>
      </c>
      <c r="O256" s="674">
        <v>4</v>
      </c>
      <c r="P256" s="678" t="s">
        <v>1498</v>
      </c>
      <c r="Q256" s="677" t="s">
        <v>2446</v>
      </c>
      <c r="R256" s="674"/>
      <c r="S256" s="680"/>
      <c r="T256" s="681"/>
      <c r="U256" s="674"/>
      <c r="V256" s="680"/>
      <c r="W256" s="681"/>
      <c r="X256" s="674"/>
      <c r="Y256" s="680"/>
      <c r="Z256" s="681"/>
      <c r="AA256" s="674"/>
      <c r="AB256" s="680"/>
      <c r="AC256" s="681"/>
      <c r="AD256" s="674"/>
      <c r="AE256" s="680"/>
      <c r="AF256" s="681"/>
      <c r="AG256" s="674"/>
      <c r="AH256" s="680"/>
      <c r="AI256" s="681"/>
      <c r="AJ256" s="674"/>
      <c r="AK256" s="680"/>
      <c r="AL256" s="681"/>
    </row>
    <row r="257" spans="1:38" x14ac:dyDescent="0.55000000000000004">
      <c r="A257" s="707">
        <v>44133</v>
      </c>
      <c r="B257" s="692">
        <v>63254</v>
      </c>
      <c r="C257" s="672">
        <v>20076628</v>
      </c>
      <c r="D257" s="673" t="s">
        <v>4434</v>
      </c>
      <c r="E257" s="1856"/>
      <c r="F257" s="674">
        <v>1</v>
      </c>
      <c r="G257" s="675" t="s">
        <v>4439</v>
      </c>
      <c r="H257" s="676" t="s">
        <v>1571</v>
      </c>
      <c r="I257" s="674">
        <v>2</v>
      </c>
      <c r="J257" s="675" t="s">
        <v>1631</v>
      </c>
      <c r="K257" s="677" t="s">
        <v>1583</v>
      </c>
      <c r="L257" s="674">
        <v>3</v>
      </c>
      <c r="M257" s="678" t="s">
        <v>1502</v>
      </c>
      <c r="N257" s="679" t="s">
        <v>1575</v>
      </c>
      <c r="O257" s="674">
        <v>4</v>
      </c>
      <c r="P257" s="678" t="s">
        <v>2327</v>
      </c>
      <c r="Q257" s="677" t="s">
        <v>1575</v>
      </c>
      <c r="R257" s="674">
        <v>5</v>
      </c>
      <c r="S257" s="696" t="s">
        <v>1514</v>
      </c>
      <c r="T257" s="697" t="s">
        <v>4440</v>
      </c>
      <c r="U257" s="674">
        <v>6</v>
      </c>
      <c r="V257" s="696" t="s">
        <v>1503</v>
      </c>
      <c r="W257" s="697" t="s">
        <v>1597</v>
      </c>
      <c r="X257" s="674"/>
      <c r="Y257" s="680"/>
      <c r="Z257" s="681"/>
      <c r="AA257" s="674"/>
      <c r="AB257" s="680"/>
      <c r="AC257" s="681"/>
      <c r="AD257" s="674"/>
      <c r="AE257" s="680"/>
      <c r="AF257" s="681"/>
      <c r="AG257" s="674"/>
      <c r="AH257" s="680"/>
      <c r="AI257" s="681"/>
      <c r="AJ257" s="674"/>
      <c r="AK257" s="680"/>
      <c r="AL257" s="681"/>
    </row>
    <row r="258" spans="1:38" x14ac:dyDescent="0.55000000000000004">
      <c r="A258" s="706"/>
      <c r="B258" s="682">
        <v>63255</v>
      </c>
      <c r="C258" s="684"/>
      <c r="D258" s="685"/>
      <c r="E258" s="709"/>
      <c r="F258" s="674">
        <v>1</v>
      </c>
      <c r="G258" s="675" t="s">
        <v>4438</v>
      </c>
      <c r="H258" s="676" t="s">
        <v>1571</v>
      </c>
      <c r="I258" s="674">
        <v>2</v>
      </c>
      <c r="J258" s="675" t="s">
        <v>1631</v>
      </c>
      <c r="K258" s="677" t="s">
        <v>1575</v>
      </c>
      <c r="L258" s="674">
        <v>3</v>
      </c>
      <c r="M258" s="678" t="s">
        <v>1502</v>
      </c>
      <c r="N258" s="679" t="s">
        <v>1575</v>
      </c>
      <c r="O258" s="674">
        <v>4</v>
      </c>
      <c r="P258" s="678" t="s">
        <v>1503</v>
      </c>
      <c r="Q258" s="677" t="s">
        <v>1597</v>
      </c>
      <c r="R258" s="674"/>
      <c r="S258" s="680"/>
      <c r="T258" s="681"/>
      <c r="U258" s="674"/>
      <c r="V258" s="680"/>
      <c r="W258" s="681"/>
      <c r="X258" s="674"/>
      <c r="Y258" s="680"/>
      <c r="Z258" s="681"/>
      <c r="AA258" s="674"/>
      <c r="AB258" s="680"/>
      <c r="AC258" s="681"/>
      <c r="AD258" s="674"/>
      <c r="AE258" s="680"/>
      <c r="AF258" s="681"/>
      <c r="AG258" s="674"/>
      <c r="AH258" s="680"/>
      <c r="AI258" s="681"/>
      <c r="AJ258" s="674"/>
      <c r="AK258" s="680"/>
      <c r="AL258" s="681"/>
    </row>
    <row r="259" spans="1:38" x14ac:dyDescent="0.55000000000000004">
      <c r="A259" s="707">
        <v>44133</v>
      </c>
      <c r="B259" s="692">
        <v>63256</v>
      </c>
      <c r="C259" s="672">
        <v>20096671</v>
      </c>
      <c r="D259" s="673" t="s">
        <v>3971</v>
      </c>
      <c r="E259" s="1856"/>
      <c r="F259" s="674">
        <v>1</v>
      </c>
      <c r="G259" s="675" t="s">
        <v>815</v>
      </c>
      <c r="H259" s="676" t="s">
        <v>1571</v>
      </c>
      <c r="I259" s="674">
        <v>2</v>
      </c>
      <c r="J259" s="675" t="s">
        <v>1503</v>
      </c>
      <c r="K259" s="677" t="s">
        <v>1632</v>
      </c>
      <c r="L259" s="674"/>
      <c r="M259" s="680"/>
      <c r="N259" s="1181"/>
      <c r="O259" s="674"/>
      <c r="P259" s="680"/>
      <c r="Q259" s="681"/>
      <c r="R259" s="674"/>
      <c r="S259" s="680"/>
      <c r="T259" s="681"/>
      <c r="U259" s="674"/>
      <c r="V259" s="680"/>
      <c r="W259" s="681"/>
      <c r="X259" s="674"/>
      <c r="Y259" s="680"/>
      <c r="Z259" s="681"/>
      <c r="AA259" s="674"/>
      <c r="AB259" s="680"/>
      <c r="AC259" s="681"/>
      <c r="AD259" s="674"/>
      <c r="AE259" s="680"/>
      <c r="AF259" s="681"/>
      <c r="AG259" s="674"/>
      <c r="AH259" s="680"/>
      <c r="AI259" s="681"/>
      <c r="AJ259" s="674"/>
      <c r="AK259" s="680"/>
      <c r="AL259" s="681"/>
    </row>
    <row r="260" spans="1:38" x14ac:dyDescent="0.55000000000000004">
      <c r="A260" s="682"/>
      <c r="B260" s="682">
        <v>63257</v>
      </c>
      <c r="C260" s="684"/>
      <c r="D260" s="685"/>
      <c r="E260" s="709"/>
      <c r="F260" s="674">
        <v>1</v>
      </c>
      <c r="G260" s="675" t="s">
        <v>815</v>
      </c>
      <c r="H260" s="676" t="s">
        <v>1571</v>
      </c>
      <c r="I260" s="674">
        <v>2</v>
      </c>
      <c r="J260" s="675" t="s">
        <v>1503</v>
      </c>
      <c r="K260" s="677" t="s">
        <v>1632</v>
      </c>
      <c r="L260" s="674"/>
      <c r="M260" s="680"/>
      <c r="N260" s="681"/>
      <c r="O260" s="674"/>
      <c r="P260" s="680"/>
      <c r="Q260" s="681"/>
      <c r="R260" s="674"/>
      <c r="S260" s="680"/>
      <c r="T260" s="681"/>
      <c r="U260" s="674"/>
      <c r="V260" s="680"/>
      <c r="W260" s="681"/>
      <c r="X260" s="674"/>
      <c r="Y260" s="680"/>
      <c r="Z260" s="681"/>
      <c r="AA260" s="674"/>
      <c r="AB260" s="680"/>
      <c r="AC260" s="681"/>
      <c r="AD260" s="674"/>
      <c r="AE260" s="680"/>
      <c r="AF260" s="681"/>
      <c r="AG260" s="674"/>
      <c r="AH260" s="680"/>
      <c r="AI260" s="681"/>
      <c r="AJ260" s="674"/>
      <c r="AK260" s="680"/>
      <c r="AL260" s="681"/>
    </row>
    <row r="261" spans="1:38" x14ac:dyDescent="0.55000000000000004">
      <c r="A261" s="706">
        <v>44133</v>
      </c>
      <c r="B261" s="682">
        <v>63258</v>
      </c>
      <c r="C261" s="745"/>
      <c r="D261" s="685" t="s">
        <v>4435</v>
      </c>
      <c r="E261" s="709" t="s">
        <v>4436</v>
      </c>
      <c r="F261" s="674">
        <v>1</v>
      </c>
      <c r="G261" s="675" t="s">
        <v>1776</v>
      </c>
      <c r="H261" s="676" t="s">
        <v>4437</v>
      </c>
      <c r="I261" s="674"/>
      <c r="J261" s="690"/>
      <c r="K261" s="681"/>
      <c r="L261" s="674"/>
      <c r="M261" s="680"/>
      <c r="N261" s="1181"/>
      <c r="O261" s="674"/>
      <c r="P261" s="680"/>
      <c r="Q261" s="681"/>
      <c r="R261" s="674"/>
      <c r="S261" s="680"/>
      <c r="T261" s="681"/>
      <c r="U261" s="674"/>
      <c r="V261" s="680"/>
      <c r="W261" s="681"/>
      <c r="X261" s="674"/>
      <c r="Y261" s="680"/>
      <c r="Z261" s="681"/>
      <c r="AA261" s="674"/>
      <c r="AB261" s="680"/>
      <c r="AC261" s="681"/>
      <c r="AD261" s="674"/>
      <c r="AE261" s="680"/>
      <c r="AF261" s="681"/>
      <c r="AG261" s="674"/>
      <c r="AH261" s="680"/>
      <c r="AI261" s="681"/>
      <c r="AJ261" s="674"/>
      <c r="AK261" s="680"/>
      <c r="AL261" s="681"/>
    </row>
    <row r="262" spans="1:38" x14ac:dyDescent="0.55000000000000004">
      <c r="A262" s="706">
        <v>44134</v>
      </c>
      <c r="B262" s="682">
        <v>63259</v>
      </c>
      <c r="C262" s="684">
        <v>20066586</v>
      </c>
      <c r="D262" s="685" t="s">
        <v>1738</v>
      </c>
      <c r="E262" s="709"/>
      <c r="F262" s="674">
        <v>1</v>
      </c>
      <c r="G262" s="675" t="s">
        <v>3835</v>
      </c>
      <c r="H262" s="676" t="s">
        <v>1571</v>
      </c>
      <c r="I262" s="674">
        <v>2</v>
      </c>
      <c r="J262" s="675" t="s">
        <v>1511</v>
      </c>
      <c r="K262" s="677" t="s">
        <v>1574</v>
      </c>
      <c r="L262" s="674">
        <v>3</v>
      </c>
      <c r="M262" s="678" t="s">
        <v>1502</v>
      </c>
      <c r="N262" s="679" t="s">
        <v>1575</v>
      </c>
      <c r="O262" s="674">
        <v>4</v>
      </c>
      <c r="P262" s="678" t="s">
        <v>1498</v>
      </c>
      <c r="Q262" s="677" t="s">
        <v>1939</v>
      </c>
      <c r="R262" s="674">
        <v>5</v>
      </c>
      <c r="S262" s="696" t="s">
        <v>1503</v>
      </c>
      <c r="T262" s="697" t="s">
        <v>1584</v>
      </c>
      <c r="U262" s="674"/>
      <c r="V262" s="680"/>
      <c r="W262" s="681"/>
      <c r="X262" s="674"/>
      <c r="Y262" s="680"/>
      <c r="Z262" s="681"/>
      <c r="AA262" s="674"/>
      <c r="AB262" s="680"/>
      <c r="AC262" s="681"/>
      <c r="AD262" s="674"/>
      <c r="AE262" s="680"/>
      <c r="AF262" s="681"/>
      <c r="AG262" s="674"/>
      <c r="AH262" s="680"/>
      <c r="AI262" s="681"/>
      <c r="AJ262" s="674"/>
      <c r="AK262" s="680"/>
      <c r="AL262" s="681"/>
    </row>
    <row r="263" spans="1:38" x14ac:dyDescent="0.55000000000000004">
      <c r="A263" s="706">
        <v>44137</v>
      </c>
      <c r="B263" s="682">
        <v>63260</v>
      </c>
      <c r="C263" s="684">
        <v>20106698</v>
      </c>
      <c r="D263" s="685" t="s">
        <v>4261</v>
      </c>
      <c r="E263" s="685"/>
      <c r="F263" s="674">
        <v>1</v>
      </c>
      <c r="G263" s="675"/>
      <c r="H263" s="676"/>
      <c r="I263" s="674">
        <v>2</v>
      </c>
      <c r="J263" s="675"/>
      <c r="K263" s="677"/>
      <c r="L263" s="674">
        <v>3</v>
      </c>
      <c r="M263" s="678"/>
      <c r="N263" s="677"/>
      <c r="O263" s="674">
        <v>4</v>
      </c>
      <c r="P263" s="678"/>
      <c r="Q263" s="677"/>
      <c r="R263" s="674">
        <v>5</v>
      </c>
      <c r="S263" s="696"/>
      <c r="T263" s="697"/>
      <c r="U263" s="674">
        <v>6</v>
      </c>
      <c r="V263" s="696"/>
      <c r="W263" s="697"/>
      <c r="X263" s="674">
        <v>7</v>
      </c>
      <c r="Y263" s="696"/>
      <c r="Z263" s="697"/>
      <c r="AA263" s="674">
        <v>8</v>
      </c>
      <c r="AB263" s="696"/>
      <c r="AC263" s="697"/>
      <c r="AD263" s="674">
        <v>9</v>
      </c>
      <c r="AE263" s="696"/>
      <c r="AF263" s="697"/>
      <c r="AG263" s="674">
        <v>10</v>
      </c>
      <c r="AH263" s="696"/>
      <c r="AI263" s="697"/>
      <c r="AJ263" s="674">
        <v>11</v>
      </c>
      <c r="AK263" s="696"/>
      <c r="AL263" s="697"/>
    </row>
    <row r="264" spans="1:38" x14ac:dyDescent="0.55000000000000004">
      <c r="A264" s="706">
        <v>44140</v>
      </c>
      <c r="B264" s="682">
        <v>63261</v>
      </c>
      <c r="C264" s="684">
        <v>20106711</v>
      </c>
      <c r="D264" s="685" t="s">
        <v>4502</v>
      </c>
      <c r="E264" s="685"/>
      <c r="F264" s="674">
        <v>1</v>
      </c>
      <c r="G264" s="675"/>
      <c r="H264" s="676"/>
      <c r="I264" s="674">
        <v>2</v>
      </c>
      <c r="J264" s="675"/>
      <c r="K264" s="677"/>
      <c r="L264" s="674">
        <v>3</v>
      </c>
      <c r="M264" s="678"/>
      <c r="N264" s="679"/>
      <c r="O264" s="674">
        <v>4</v>
      </c>
      <c r="P264" s="678"/>
      <c r="Q264" s="677"/>
      <c r="R264" s="674">
        <v>5</v>
      </c>
      <c r="S264" s="696"/>
      <c r="T264" s="697"/>
      <c r="U264" s="674">
        <v>6</v>
      </c>
      <c r="V264" s="696"/>
      <c r="W264" s="697"/>
      <c r="X264" s="674">
        <v>7</v>
      </c>
      <c r="Y264" s="696"/>
      <c r="Z264" s="697"/>
      <c r="AA264" s="674">
        <v>8</v>
      </c>
      <c r="AB264" s="696"/>
      <c r="AC264" s="697"/>
      <c r="AD264" s="674">
        <v>9</v>
      </c>
      <c r="AE264" s="696"/>
      <c r="AF264" s="697"/>
      <c r="AG264" s="674">
        <v>10</v>
      </c>
      <c r="AH264" s="696"/>
      <c r="AI264" s="697"/>
      <c r="AJ264" s="674">
        <v>11</v>
      </c>
      <c r="AK264" s="696"/>
      <c r="AL264" s="697"/>
    </row>
    <row r="265" spans="1:38" x14ac:dyDescent="0.55000000000000004">
      <c r="A265" s="706">
        <v>44146</v>
      </c>
      <c r="B265" s="682">
        <v>63262</v>
      </c>
      <c r="C265" s="684">
        <v>20116718</v>
      </c>
      <c r="D265" s="685" t="s">
        <v>3586</v>
      </c>
      <c r="E265" s="695"/>
      <c r="F265" s="674">
        <v>1</v>
      </c>
      <c r="G265" s="675"/>
      <c r="H265" s="676"/>
      <c r="I265" s="674">
        <v>2</v>
      </c>
      <c r="J265" s="675"/>
      <c r="K265" s="677"/>
      <c r="L265" s="674">
        <v>3</v>
      </c>
      <c r="M265" s="678"/>
      <c r="N265" s="679"/>
      <c r="O265" s="674">
        <v>4</v>
      </c>
      <c r="P265" s="678"/>
      <c r="Q265" s="677"/>
      <c r="R265" s="674">
        <v>5</v>
      </c>
      <c r="S265" s="696"/>
      <c r="T265" s="697"/>
      <c r="U265" s="674">
        <v>6</v>
      </c>
      <c r="V265" s="696"/>
      <c r="W265" s="697"/>
      <c r="X265" s="674">
        <v>7</v>
      </c>
      <c r="Y265" s="696"/>
      <c r="Z265" s="697"/>
      <c r="AA265" s="674">
        <v>8</v>
      </c>
      <c r="AB265" s="696"/>
      <c r="AC265" s="697"/>
      <c r="AD265" s="674">
        <v>9</v>
      </c>
      <c r="AE265" s="696"/>
      <c r="AF265" s="697"/>
      <c r="AG265" s="674">
        <v>10</v>
      </c>
      <c r="AH265" s="696"/>
      <c r="AI265" s="697"/>
      <c r="AJ265" s="674">
        <v>11</v>
      </c>
      <c r="AK265" s="696"/>
      <c r="AL265" s="697"/>
    </row>
    <row r="266" spans="1:38" x14ac:dyDescent="0.55000000000000004">
      <c r="A266" s="670">
        <v>44146</v>
      </c>
      <c r="B266" s="692">
        <v>63263</v>
      </c>
      <c r="C266" s="672">
        <v>20116717</v>
      </c>
      <c r="D266" s="673" t="s">
        <v>4503</v>
      </c>
      <c r="E266" s="693"/>
      <c r="F266" s="674">
        <v>1</v>
      </c>
      <c r="G266" s="675"/>
      <c r="H266" s="676"/>
      <c r="I266" s="674">
        <v>2</v>
      </c>
      <c r="J266" s="675"/>
      <c r="K266" s="677"/>
      <c r="L266" s="674">
        <v>3</v>
      </c>
      <c r="M266" s="678"/>
      <c r="N266" s="679"/>
      <c r="O266" s="674">
        <v>4</v>
      </c>
      <c r="P266" s="678"/>
      <c r="Q266" s="677"/>
      <c r="R266" s="674">
        <v>5</v>
      </c>
      <c r="S266" s="696"/>
      <c r="T266" s="697"/>
      <c r="U266" s="674">
        <v>6</v>
      </c>
      <c r="V266" s="696"/>
      <c r="W266" s="697"/>
      <c r="X266" s="674">
        <v>7</v>
      </c>
      <c r="Y266" s="696"/>
      <c r="Z266" s="697"/>
      <c r="AA266" s="674">
        <v>8</v>
      </c>
      <c r="AB266" s="696"/>
      <c r="AC266" s="697"/>
      <c r="AD266" s="674">
        <v>9</v>
      </c>
      <c r="AE266" s="696"/>
      <c r="AF266" s="697"/>
      <c r="AG266" s="674">
        <v>10</v>
      </c>
      <c r="AH266" s="696"/>
      <c r="AI266" s="697"/>
      <c r="AJ266" s="674">
        <v>11</v>
      </c>
      <c r="AK266" s="696"/>
      <c r="AL266" s="697"/>
    </row>
    <row r="267" spans="1:38" x14ac:dyDescent="0.55000000000000004">
      <c r="A267" s="706"/>
      <c r="B267" s="682">
        <v>63264</v>
      </c>
      <c r="C267" s="684"/>
      <c r="D267" s="685"/>
      <c r="E267" s="685"/>
      <c r="F267" s="674">
        <v>1</v>
      </c>
      <c r="G267" s="675"/>
      <c r="H267" s="676"/>
      <c r="I267" s="674">
        <v>2</v>
      </c>
      <c r="J267" s="675"/>
      <c r="K267" s="677"/>
      <c r="L267" s="674">
        <v>3</v>
      </c>
      <c r="M267" s="678"/>
      <c r="N267" s="677"/>
      <c r="O267" s="674">
        <v>4</v>
      </c>
      <c r="P267" s="678"/>
      <c r="Q267" s="677"/>
      <c r="R267" s="674">
        <v>5</v>
      </c>
      <c r="S267" s="696"/>
      <c r="T267" s="697"/>
      <c r="U267" s="674">
        <v>6</v>
      </c>
      <c r="V267" s="696"/>
      <c r="W267" s="697"/>
      <c r="X267" s="674">
        <v>7</v>
      </c>
      <c r="Y267" s="696"/>
      <c r="Z267" s="697"/>
      <c r="AA267" s="674">
        <v>8</v>
      </c>
      <c r="AB267" s="696"/>
      <c r="AC267" s="697"/>
      <c r="AD267" s="674">
        <v>9</v>
      </c>
      <c r="AE267" s="696"/>
      <c r="AF267" s="697"/>
      <c r="AG267" s="674">
        <v>10</v>
      </c>
      <c r="AH267" s="696"/>
      <c r="AI267" s="697"/>
      <c r="AJ267" s="674">
        <v>11</v>
      </c>
      <c r="AK267" s="696"/>
      <c r="AL267" s="697"/>
    </row>
    <row r="268" spans="1:38" x14ac:dyDescent="0.55000000000000004">
      <c r="A268" s="706">
        <v>44146</v>
      </c>
      <c r="B268" s="682">
        <v>63265</v>
      </c>
      <c r="C268" s="684" t="s">
        <v>4471</v>
      </c>
      <c r="D268" s="685" t="s">
        <v>4270</v>
      </c>
      <c r="E268" s="685"/>
      <c r="F268" s="674">
        <v>1</v>
      </c>
      <c r="G268" s="675"/>
      <c r="H268" s="676"/>
      <c r="I268" s="674">
        <v>2</v>
      </c>
      <c r="J268" s="675"/>
      <c r="K268" s="677"/>
      <c r="L268" s="674">
        <v>3</v>
      </c>
      <c r="M268" s="678"/>
      <c r="N268" s="679"/>
      <c r="O268" s="674">
        <v>4</v>
      </c>
      <c r="P268" s="678"/>
      <c r="Q268" s="677"/>
      <c r="R268" s="674">
        <v>5</v>
      </c>
      <c r="S268" s="696"/>
      <c r="T268" s="697"/>
      <c r="U268" s="674">
        <v>6</v>
      </c>
      <c r="V268" s="696"/>
      <c r="W268" s="697"/>
      <c r="X268" s="674">
        <v>7</v>
      </c>
      <c r="Y268" s="696"/>
      <c r="Z268" s="697"/>
      <c r="AA268" s="674">
        <v>8</v>
      </c>
      <c r="AB268" s="696"/>
      <c r="AC268" s="697"/>
      <c r="AD268" s="674">
        <v>9</v>
      </c>
      <c r="AE268" s="696"/>
      <c r="AF268" s="697"/>
      <c r="AG268" s="674">
        <v>10</v>
      </c>
      <c r="AH268" s="696"/>
      <c r="AI268" s="697"/>
      <c r="AJ268" s="674">
        <v>11</v>
      </c>
      <c r="AK268" s="696"/>
      <c r="AL268" s="697"/>
    </row>
    <row r="269" spans="1:38" x14ac:dyDescent="0.55000000000000004">
      <c r="A269" s="706">
        <v>44147</v>
      </c>
      <c r="B269" s="682">
        <v>63266</v>
      </c>
      <c r="C269" s="684">
        <v>20086648</v>
      </c>
      <c r="D269" s="685" t="s">
        <v>4504</v>
      </c>
      <c r="E269" s="685"/>
      <c r="F269" s="674">
        <v>1</v>
      </c>
      <c r="G269" s="675"/>
      <c r="H269" s="676"/>
      <c r="I269" s="674">
        <v>2</v>
      </c>
      <c r="J269" s="675"/>
      <c r="K269" s="677"/>
      <c r="L269" s="674">
        <v>3</v>
      </c>
      <c r="M269" s="678"/>
      <c r="N269" s="679"/>
      <c r="O269" s="674">
        <v>4</v>
      </c>
      <c r="P269" s="678"/>
      <c r="Q269" s="677"/>
      <c r="R269" s="674">
        <v>5</v>
      </c>
      <c r="S269" s="696"/>
      <c r="T269" s="697"/>
      <c r="U269" s="674">
        <v>6</v>
      </c>
      <c r="V269" s="696"/>
      <c r="W269" s="697"/>
      <c r="X269" s="674">
        <v>7</v>
      </c>
      <c r="Y269" s="696"/>
      <c r="Z269" s="697"/>
      <c r="AA269" s="674">
        <v>8</v>
      </c>
      <c r="AB269" s="696"/>
      <c r="AC269" s="697"/>
      <c r="AD269" s="674">
        <v>9</v>
      </c>
      <c r="AE269" s="696"/>
      <c r="AF269" s="697"/>
      <c r="AG269" s="674">
        <v>10</v>
      </c>
      <c r="AH269" s="696"/>
      <c r="AI269" s="697"/>
      <c r="AJ269" s="674">
        <v>11</v>
      </c>
      <c r="AK269" s="696"/>
      <c r="AL269" s="697"/>
    </row>
    <row r="270" spans="1:38" x14ac:dyDescent="0.55000000000000004">
      <c r="A270" s="706">
        <v>44152</v>
      </c>
      <c r="B270" s="682">
        <v>63267</v>
      </c>
      <c r="C270" s="745"/>
      <c r="D270" s="685" t="s">
        <v>4384</v>
      </c>
      <c r="E270" s="695" t="s">
        <v>1776</v>
      </c>
      <c r="F270" s="674">
        <v>1</v>
      </c>
      <c r="G270" s="675"/>
      <c r="H270" s="676"/>
      <c r="I270" s="674">
        <v>2</v>
      </c>
      <c r="J270" s="675"/>
      <c r="K270" s="677"/>
      <c r="L270" s="674">
        <v>3</v>
      </c>
      <c r="M270" s="678"/>
      <c r="N270" s="679"/>
      <c r="O270" s="674">
        <v>4</v>
      </c>
      <c r="P270" s="678"/>
      <c r="Q270" s="677"/>
      <c r="R270" s="674">
        <v>5</v>
      </c>
      <c r="S270" s="696"/>
      <c r="T270" s="697"/>
      <c r="U270" s="674">
        <v>6</v>
      </c>
      <c r="V270" s="696"/>
      <c r="W270" s="697"/>
      <c r="X270" s="674">
        <v>7</v>
      </c>
      <c r="Y270" s="696"/>
      <c r="Z270" s="697"/>
      <c r="AA270" s="674">
        <v>8</v>
      </c>
      <c r="AB270" s="696"/>
      <c r="AC270" s="697"/>
      <c r="AD270" s="674">
        <v>9</v>
      </c>
      <c r="AE270" s="696"/>
      <c r="AF270" s="697"/>
      <c r="AG270" s="674">
        <v>10</v>
      </c>
      <c r="AH270" s="696"/>
      <c r="AI270" s="697"/>
      <c r="AJ270" s="674">
        <v>11</v>
      </c>
      <c r="AK270" s="696"/>
      <c r="AL270" s="697"/>
    </row>
    <row r="271" spans="1:38" x14ac:dyDescent="0.55000000000000004">
      <c r="A271" s="706">
        <v>44152</v>
      </c>
      <c r="B271" s="682">
        <v>63268</v>
      </c>
      <c r="C271" s="684">
        <v>20116722</v>
      </c>
      <c r="D271" s="685" t="s">
        <v>4505</v>
      </c>
      <c r="E271" s="685"/>
      <c r="F271" s="674">
        <v>1</v>
      </c>
      <c r="G271" s="675"/>
      <c r="H271" s="676"/>
      <c r="I271" s="674">
        <v>2</v>
      </c>
      <c r="J271" s="675"/>
      <c r="K271" s="677"/>
      <c r="L271" s="674">
        <v>3</v>
      </c>
      <c r="M271" s="678"/>
      <c r="N271" s="679"/>
      <c r="O271" s="674">
        <v>4</v>
      </c>
      <c r="P271" s="678"/>
      <c r="Q271" s="677"/>
      <c r="R271" s="674">
        <v>5</v>
      </c>
      <c r="S271" s="696"/>
      <c r="T271" s="697"/>
      <c r="U271" s="674">
        <v>6</v>
      </c>
      <c r="V271" s="696"/>
      <c r="W271" s="697"/>
      <c r="X271" s="674">
        <v>7</v>
      </c>
      <c r="Y271" s="696"/>
      <c r="Z271" s="697"/>
      <c r="AA271" s="674">
        <v>8</v>
      </c>
      <c r="AB271" s="696"/>
      <c r="AC271" s="697"/>
      <c r="AD271" s="674">
        <v>9</v>
      </c>
      <c r="AE271" s="696"/>
      <c r="AF271" s="697"/>
      <c r="AG271" s="674">
        <v>10</v>
      </c>
      <c r="AH271" s="696"/>
      <c r="AI271" s="697"/>
      <c r="AJ271" s="674">
        <v>11</v>
      </c>
      <c r="AK271" s="696"/>
      <c r="AL271" s="697"/>
    </row>
    <row r="272" spans="1:38" x14ac:dyDescent="0.55000000000000004">
      <c r="A272" s="706">
        <v>44152</v>
      </c>
      <c r="B272" s="682">
        <v>63269</v>
      </c>
      <c r="C272" s="684">
        <v>20066601</v>
      </c>
      <c r="D272" s="685" t="s">
        <v>1331</v>
      </c>
      <c r="E272" s="685"/>
      <c r="F272" s="674">
        <v>1</v>
      </c>
      <c r="G272" s="675"/>
      <c r="H272" s="676"/>
      <c r="I272" s="674">
        <v>2</v>
      </c>
      <c r="J272" s="675"/>
      <c r="K272" s="677"/>
      <c r="L272" s="674">
        <v>3</v>
      </c>
      <c r="M272" s="678"/>
      <c r="N272" s="677"/>
      <c r="O272" s="674">
        <v>4</v>
      </c>
      <c r="P272" s="678"/>
      <c r="Q272" s="677"/>
      <c r="R272" s="674">
        <v>5</v>
      </c>
      <c r="S272" s="696"/>
      <c r="T272" s="697"/>
      <c r="U272" s="674">
        <v>6</v>
      </c>
      <c r="V272" s="696"/>
      <c r="W272" s="697"/>
      <c r="X272" s="674">
        <v>7</v>
      </c>
      <c r="Y272" s="696"/>
      <c r="Z272" s="697"/>
      <c r="AA272" s="674">
        <v>8</v>
      </c>
      <c r="AB272" s="696"/>
      <c r="AC272" s="697"/>
      <c r="AD272" s="674">
        <v>9</v>
      </c>
      <c r="AE272" s="696"/>
      <c r="AF272" s="697"/>
      <c r="AG272" s="674">
        <v>10</v>
      </c>
      <c r="AH272" s="696"/>
      <c r="AI272" s="697"/>
      <c r="AJ272" s="674">
        <v>11</v>
      </c>
      <c r="AK272" s="696"/>
      <c r="AL272" s="697"/>
    </row>
    <row r="273" spans="1:38" x14ac:dyDescent="0.55000000000000004">
      <c r="A273" s="706">
        <v>44156</v>
      </c>
      <c r="B273" s="682">
        <v>63270</v>
      </c>
      <c r="C273" s="684">
        <v>20106697</v>
      </c>
      <c r="D273" s="685" t="s">
        <v>1493</v>
      </c>
      <c r="E273" s="685"/>
      <c r="F273" s="674">
        <v>1</v>
      </c>
      <c r="G273" s="675"/>
      <c r="H273" s="676"/>
      <c r="I273" s="674">
        <v>2</v>
      </c>
      <c r="J273" s="675"/>
      <c r="K273" s="677"/>
      <c r="L273" s="674">
        <v>3</v>
      </c>
      <c r="M273" s="678"/>
      <c r="N273" s="679"/>
      <c r="O273" s="674">
        <v>4</v>
      </c>
      <c r="P273" s="678"/>
      <c r="Q273" s="677"/>
      <c r="R273" s="674">
        <v>5</v>
      </c>
      <c r="S273" s="696"/>
      <c r="T273" s="697"/>
      <c r="U273" s="674">
        <v>6</v>
      </c>
      <c r="V273" s="696"/>
      <c r="W273" s="697"/>
      <c r="X273" s="674">
        <v>7</v>
      </c>
      <c r="Y273" s="696"/>
      <c r="Z273" s="697"/>
      <c r="AA273" s="674">
        <v>8</v>
      </c>
      <c r="AB273" s="696"/>
      <c r="AC273" s="697"/>
      <c r="AD273" s="674">
        <v>9</v>
      </c>
      <c r="AE273" s="696"/>
      <c r="AF273" s="697"/>
      <c r="AG273" s="674">
        <v>10</v>
      </c>
      <c r="AH273" s="696"/>
      <c r="AI273" s="697"/>
      <c r="AJ273" s="674">
        <v>11</v>
      </c>
      <c r="AK273" s="696"/>
      <c r="AL273" s="697"/>
    </row>
    <row r="274" spans="1:38" x14ac:dyDescent="0.55000000000000004">
      <c r="A274" s="707">
        <v>44158</v>
      </c>
      <c r="B274" s="692">
        <v>63271</v>
      </c>
      <c r="C274" s="672">
        <v>20016478</v>
      </c>
      <c r="D274" s="673" t="s">
        <v>4506</v>
      </c>
      <c r="E274" s="693"/>
      <c r="F274" s="674">
        <v>1</v>
      </c>
      <c r="G274" s="675"/>
      <c r="H274" s="676"/>
      <c r="I274" s="674">
        <v>2</v>
      </c>
      <c r="J274" s="675"/>
      <c r="K274" s="677"/>
      <c r="L274" s="674">
        <v>3</v>
      </c>
      <c r="M274" s="678"/>
      <c r="N274" s="679"/>
      <c r="O274" s="674">
        <v>4</v>
      </c>
      <c r="P274" s="678"/>
      <c r="Q274" s="677"/>
      <c r="R274" s="674">
        <v>5</v>
      </c>
      <c r="S274" s="696"/>
      <c r="T274" s="697"/>
      <c r="U274" s="674">
        <v>6</v>
      </c>
      <c r="V274" s="696"/>
      <c r="W274" s="697"/>
      <c r="X274" s="674">
        <v>7</v>
      </c>
      <c r="Y274" s="696"/>
      <c r="Z274" s="697"/>
      <c r="AA274" s="674">
        <v>8</v>
      </c>
      <c r="AB274" s="696"/>
      <c r="AC274" s="697"/>
      <c r="AD274" s="674">
        <v>9</v>
      </c>
      <c r="AE274" s="696"/>
      <c r="AF274" s="697"/>
      <c r="AG274" s="674">
        <v>10</v>
      </c>
      <c r="AH274" s="696"/>
      <c r="AI274" s="697"/>
      <c r="AJ274" s="674">
        <v>11</v>
      </c>
      <c r="AK274" s="696"/>
      <c r="AL274" s="697"/>
    </row>
    <row r="275" spans="1:38" x14ac:dyDescent="0.55000000000000004">
      <c r="A275" s="706"/>
      <c r="B275" s="682">
        <v>63272</v>
      </c>
      <c r="C275" s="684"/>
      <c r="D275" s="685"/>
      <c r="E275" s="695"/>
      <c r="F275" s="674">
        <v>1</v>
      </c>
      <c r="G275" s="675"/>
      <c r="H275" s="676"/>
      <c r="I275" s="674">
        <v>2</v>
      </c>
      <c r="J275" s="675"/>
      <c r="K275" s="677"/>
      <c r="L275" s="674">
        <v>3</v>
      </c>
      <c r="M275" s="678"/>
      <c r="N275" s="679"/>
      <c r="O275" s="674">
        <v>4</v>
      </c>
      <c r="P275" s="678"/>
      <c r="Q275" s="677"/>
      <c r="R275" s="674">
        <v>5</v>
      </c>
      <c r="S275" s="696"/>
      <c r="T275" s="697"/>
      <c r="U275" s="674">
        <v>6</v>
      </c>
      <c r="V275" s="696"/>
      <c r="W275" s="697"/>
      <c r="X275" s="674">
        <v>7</v>
      </c>
      <c r="Y275" s="696"/>
      <c r="Z275" s="697"/>
      <c r="AA275" s="674">
        <v>8</v>
      </c>
      <c r="AB275" s="696"/>
      <c r="AC275" s="697"/>
      <c r="AD275" s="674">
        <v>9</v>
      </c>
      <c r="AE275" s="696"/>
      <c r="AF275" s="697"/>
      <c r="AG275" s="674">
        <v>10</v>
      </c>
      <c r="AH275" s="696"/>
      <c r="AI275" s="697"/>
      <c r="AJ275" s="674">
        <v>11</v>
      </c>
      <c r="AK275" s="696"/>
      <c r="AL275" s="697"/>
    </row>
    <row r="276" spans="1:38" x14ac:dyDescent="0.55000000000000004">
      <c r="A276" s="706">
        <v>44158</v>
      </c>
      <c r="B276" s="682">
        <v>63273</v>
      </c>
      <c r="C276" s="684">
        <v>20116723</v>
      </c>
      <c r="D276" s="685" t="s">
        <v>1331</v>
      </c>
      <c r="E276" s="685"/>
      <c r="F276" s="674">
        <v>1</v>
      </c>
      <c r="G276" s="675"/>
      <c r="H276" s="676"/>
      <c r="I276" s="674">
        <v>2</v>
      </c>
      <c r="J276" s="675"/>
      <c r="K276" s="677"/>
      <c r="L276" s="674">
        <v>3</v>
      </c>
      <c r="M276" s="678"/>
      <c r="N276" s="679"/>
      <c r="O276" s="674">
        <v>4</v>
      </c>
      <c r="P276" s="678"/>
      <c r="Q276" s="677"/>
      <c r="R276" s="674">
        <v>5</v>
      </c>
      <c r="S276" s="696"/>
      <c r="T276" s="697"/>
      <c r="U276" s="674">
        <v>6</v>
      </c>
      <c r="V276" s="696"/>
      <c r="W276" s="697"/>
      <c r="X276" s="674">
        <v>7</v>
      </c>
      <c r="Y276" s="696"/>
      <c r="Z276" s="697"/>
      <c r="AA276" s="674">
        <v>8</v>
      </c>
      <c r="AB276" s="696"/>
      <c r="AC276" s="697"/>
      <c r="AD276" s="674">
        <v>9</v>
      </c>
      <c r="AE276" s="696"/>
      <c r="AF276" s="697"/>
      <c r="AG276" s="674">
        <v>10</v>
      </c>
      <c r="AH276" s="696"/>
      <c r="AI276" s="697"/>
      <c r="AJ276" s="674">
        <v>11</v>
      </c>
      <c r="AK276" s="696"/>
      <c r="AL276" s="697"/>
    </row>
    <row r="277" spans="1:38" x14ac:dyDescent="0.55000000000000004">
      <c r="A277" s="706">
        <v>44159</v>
      </c>
      <c r="B277" s="682">
        <v>63274</v>
      </c>
      <c r="C277" s="745"/>
      <c r="D277" s="685" t="s">
        <v>2670</v>
      </c>
      <c r="E277" s="685" t="s">
        <v>4508</v>
      </c>
      <c r="F277" s="674">
        <v>1</v>
      </c>
      <c r="G277" s="675"/>
      <c r="H277" s="676"/>
      <c r="I277" s="674">
        <v>2</v>
      </c>
      <c r="J277" s="675"/>
      <c r="K277" s="677"/>
      <c r="L277" s="674">
        <v>3</v>
      </c>
      <c r="M277" s="678"/>
      <c r="N277" s="677"/>
      <c r="O277" s="674">
        <v>4</v>
      </c>
      <c r="P277" s="678"/>
      <c r="Q277" s="677"/>
      <c r="R277" s="674">
        <v>5</v>
      </c>
      <c r="S277" s="696"/>
      <c r="T277" s="697"/>
      <c r="U277" s="674">
        <v>6</v>
      </c>
      <c r="V277" s="696"/>
      <c r="W277" s="697"/>
      <c r="X277" s="674">
        <v>7</v>
      </c>
      <c r="Y277" s="696"/>
      <c r="Z277" s="697"/>
      <c r="AA277" s="674">
        <v>8</v>
      </c>
      <c r="AB277" s="696"/>
      <c r="AC277" s="697"/>
      <c r="AD277" s="674">
        <v>9</v>
      </c>
      <c r="AE277" s="696"/>
      <c r="AF277" s="697"/>
      <c r="AG277" s="674">
        <v>10</v>
      </c>
      <c r="AH277" s="696"/>
      <c r="AI277" s="697"/>
      <c r="AJ277" s="674">
        <v>11</v>
      </c>
      <c r="AK277" s="696"/>
      <c r="AL277" s="697"/>
    </row>
    <row r="278" spans="1:38" x14ac:dyDescent="0.55000000000000004">
      <c r="A278" s="706">
        <v>44160</v>
      </c>
      <c r="B278" s="682">
        <v>63275</v>
      </c>
      <c r="C278" s="684">
        <v>20106710</v>
      </c>
      <c r="D278" s="685" t="s">
        <v>2872</v>
      </c>
      <c r="E278" s="685"/>
      <c r="F278" s="674">
        <v>1</v>
      </c>
      <c r="G278" s="675"/>
      <c r="H278" s="676"/>
      <c r="I278" s="674">
        <v>2</v>
      </c>
      <c r="J278" s="675"/>
      <c r="K278" s="677"/>
      <c r="L278" s="674">
        <v>3</v>
      </c>
      <c r="M278" s="678"/>
      <c r="N278" s="679"/>
      <c r="O278" s="674">
        <v>4</v>
      </c>
      <c r="P278" s="678"/>
      <c r="Q278" s="677"/>
      <c r="R278" s="674">
        <v>5</v>
      </c>
      <c r="S278" s="696"/>
      <c r="T278" s="697"/>
      <c r="U278" s="674">
        <v>6</v>
      </c>
      <c r="V278" s="696"/>
      <c r="W278" s="697"/>
      <c r="X278" s="674">
        <v>7</v>
      </c>
      <c r="Y278" s="696"/>
      <c r="Z278" s="697"/>
      <c r="AA278" s="674">
        <v>8</v>
      </c>
      <c r="AB278" s="696"/>
      <c r="AC278" s="697"/>
      <c r="AD278" s="674">
        <v>9</v>
      </c>
      <c r="AE278" s="696"/>
      <c r="AF278" s="697"/>
      <c r="AG278" s="674">
        <v>10</v>
      </c>
      <c r="AH278" s="696"/>
      <c r="AI278" s="697"/>
      <c r="AJ278" s="674">
        <v>11</v>
      </c>
      <c r="AK278" s="696"/>
      <c r="AL278" s="697"/>
    </row>
    <row r="279" spans="1:38" x14ac:dyDescent="0.55000000000000004">
      <c r="A279" s="706">
        <v>44160</v>
      </c>
      <c r="B279" s="682">
        <v>63276</v>
      </c>
      <c r="C279" s="745"/>
      <c r="D279" s="685" t="s">
        <v>2670</v>
      </c>
      <c r="E279" s="685" t="s">
        <v>4509</v>
      </c>
      <c r="F279" s="674">
        <v>1</v>
      </c>
      <c r="G279" s="675"/>
      <c r="H279" s="676"/>
      <c r="I279" s="674">
        <v>2</v>
      </c>
      <c r="J279" s="675"/>
      <c r="K279" s="677"/>
      <c r="L279" s="674">
        <v>3</v>
      </c>
      <c r="M279" s="678"/>
      <c r="N279" s="679"/>
      <c r="O279" s="674">
        <v>4</v>
      </c>
      <c r="P279" s="678"/>
      <c r="Q279" s="677"/>
      <c r="R279" s="674">
        <v>5</v>
      </c>
      <c r="S279" s="696"/>
      <c r="T279" s="697"/>
      <c r="U279" s="674">
        <v>6</v>
      </c>
      <c r="V279" s="696"/>
      <c r="W279" s="697"/>
      <c r="X279" s="674">
        <v>7</v>
      </c>
      <c r="Y279" s="696"/>
      <c r="Z279" s="697"/>
      <c r="AA279" s="674">
        <v>8</v>
      </c>
      <c r="AB279" s="696"/>
      <c r="AC279" s="697"/>
      <c r="AD279" s="674">
        <v>9</v>
      </c>
      <c r="AE279" s="696"/>
      <c r="AF279" s="697"/>
      <c r="AG279" s="674">
        <v>10</v>
      </c>
      <c r="AH279" s="696"/>
      <c r="AI279" s="697"/>
      <c r="AJ279" s="674">
        <v>11</v>
      </c>
      <c r="AK279" s="696"/>
      <c r="AL279" s="697"/>
    </row>
    <row r="280" spans="1:38" x14ac:dyDescent="0.55000000000000004">
      <c r="A280" s="670">
        <v>44161</v>
      </c>
      <c r="B280" s="692">
        <v>63277</v>
      </c>
      <c r="C280" s="672">
        <v>20106696</v>
      </c>
      <c r="D280" s="673" t="s">
        <v>4510</v>
      </c>
      <c r="E280" s="725"/>
      <c r="F280" s="674">
        <v>1</v>
      </c>
      <c r="G280" s="675"/>
      <c r="H280" s="676"/>
      <c r="I280" s="674">
        <v>2</v>
      </c>
      <c r="J280" s="675"/>
      <c r="K280" s="677"/>
      <c r="L280" s="674">
        <v>3</v>
      </c>
      <c r="M280" s="678"/>
      <c r="N280" s="679"/>
      <c r="O280" s="674">
        <v>4</v>
      </c>
      <c r="P280" s="678"/>
      <c r="Q280" s="677"/>
      <c r="R280" s="674">
        <v>5</v>
      </c>
      <c r="S280" s="696"/>
      <c r="T280" s="697"/>
      <c r="U280" s="674">
        <v>6</v>
      </c>
      <c r="V280" s="696"/>
      <c r="W280" s="697"/>
      <c r="X280" s="674">
        <v>7</v>
      </c>
      <c r="Y280" s="696"/>
      <c r="Z280" s="697"/>
      <c r="AA280" s="674">
        <v>8</v>
      </c>
      <c r="AB280" s="696"/>
      <c r="AC280" s="697"/>
      <c r="AD280" s="674">
        <v>9</v>
      </c>
      <c r="AE280" s="696"/>
      <c r="AF280" s="697"/>
      <c r="AG280" s="674">
        <v>10</v>
      </c>
      <c r="AH280" s="696"/>
      <c r="AI280" s="697"/>
      <c r="AJ280" s="674">
        <v>11</v>
      </c>
      <c r="AK280" s="696"/>
      <c r="AL280" s="697"/>
    </row>
    <row r="281" spans="1:38" x14ac:dyDescent="0.55000000000000004">
      <c r="A281" s="707"/>
      <c r="B281" s="703">
        <v>63278</v>
      </c>
      <c r="C281" s="700"/>
      <c r="D281" s="701"/>
      <c r="E281" s="704"/>
      <c r="F281" s="674">
        <v>1</v>
      </c>
      <c r="G281" s="675"/>
      <c r="H281" s="676"/>
      <c r="I281" s="674">
        <v>2</v>
      </c>
      <c r="J281" s="675"/>
      <c r="K281" s="677"/>
      <c r="L281" s="674">
        <v>3</v>
      </c>
      <c r="M281" s="678"/>
      <c r="N281" s="679"/>
      <c r="O281" s="674">
        <v>4</v>
      </c>
      <c r="P281" s="678"/>
      <c r="Q281" s="677"/>
      <c r="R281" s="674">
        <v>5</v>
      </c>
      <c r="S281" s="696"/>
      <c r="T281" s="697"/>
      <c r="U281" s="674">
        <v>6</v>
      </c>
      <c r="V281" s="696"/>
      <c r="W281" s="697"/>
      <c r="X281" s="674">
        <v>7</v>
      </c>
      <c r="Y281" s="696"/>
      <c r="Z281" s="697"/>
      <c r="AA281" s="674">
        <v>8</v>
      </c>
      <c r="AB281" s="696"/>
      <c r="AC281" s="697"/>
      <c r="AD281" s="674">
        <v>9</v>
      </c>
      <c r="AE281" s="696"/>
      <c r="AF281" s="697"/>
      <c r="AG281" s="674">
        <v>10</v>
      </c>
      <c r="AH281" s="696"/>
      <c r="AI281" s="697"/>
      <c r="AJ281" s="674">
        <v>11</v>
      </c>
      <c r="AK281" s="696"/>
      <c r="AL281" s="697"/>
    </row>
    <row r="282" spans="1:38" x14ac:dyDescent="0.55000000000000004">
      <c r="A282" s="682"/>
      <c r="B282" s="682">
        <v>63279</v>
      </c>
      <c r="C282" s="684"/>
      <c r="D282" s="685"/>
      <c r="E282" s="685"/>
      <c r="F282" s="674">
        <v>1</v>
      </c>
      <c r="G282" s="675"/>
      <c r="H282" s="676"/>
      <c r="I282" s="674">
        <v>2</v>
      </c>
      <c r="J282" s="675"/>
      <c r="K282" s="677"/>
      <c r="L282" s="674">
        <v>3</v>
      </c>
      <c r="M282" s="678"/>
      <c r="N282" s="677"/>
      <c r="O282" s="674">
        <v>4</v>
      </c>
      <c r="P282" s="678"/>
      <c r="Q282" s="677"/>
      <c r="R282" s="674">
        <v>5</v>
      </c>
      <c r="S282" s="696"/>
      <c r="T282" s="697"/>
      <c r="U282" s="674">
        <v>6</v>
      </c>
      <c r="V282" s="696"/>
      <c r="W282" s="697"/>
      <c r="X282" s="674">
        <v>7</v>
      </c>
      <c r="Y282" s="696"/>
      <c r="Z282" s="697"/>
      <c r="AA282" s="674">
        <v>8</v>
      </c>
      <c r="AB282" s="696"/>
      <c r="AC282" s="697"/>
      <c r="AD282" s="674">
        <v>9</v>
      </c>
      <c r="AE282" s="696"/>
      <c r="AF282" s="697"/>
      <c r="AG282" s="674">
        <v>10</v>
      </c>
      <c r="AH282" s="696"/>
      <c r="AI282" s="697"/>
      <c r="AJ282" s="674">
        <v>11</v>
      </c>
      <c r="AK282" s="696"/>
      <c r="AL282" s="697"/>
    </row>
    <row r="283" spans="1:38" x14ac:dyDescent="0.55000000000000004">
      <c r="A283" s="706"/>
      <c r="B283" s="682"/>
      <c r="C283" s="684"/>
      <c r="D283" s="685"/>
      <c r="E283" s="685"/>
      <c r="F283" s="674">
        <v>1</v>
      </c>
      <c r="G283" s="675"/>
      <c r="H283" s="676"/>
      <c r="I283" s="674">
        <v>2</v>
      </c>
      <c r="J283" s="675"/>
      <c r="K283" s="677"/>
      <c r="L283" s="674">
        <v>3</v>
      </c>
      <c r="M283" s="678"/>
      <c r="N283" s="679"/>
      <c r="O283" s="674">
        <v>4</v>
      </c>
      <c r="P283" s="678"/>
      <c r="Q283" s="677"/>
      <c r="R283" s="674">
        <v>5</v>
      </c>
      <c r="S283" s="696"/>
      <c r="T283" s="697"/>
      <c r="U283" s="674">
        <v>6</v>
      </c>
      <c r="V283" s="696"/>
      <c r="W283" s="697"/>
      <c r="X283" s="674">
        <v>7</v>
      </c>
      <c r="Y283" s="696"/>
      <c r="Z283" s="697"/>
      <c r="AA283" s="674">
        <v>8</v>
      </c>
      <c r="AB283" s="696"/>
      <c r="AC283" s="697"/>
      <c r="AD283" s="674">
        <v>9</v>
      </c>
      <c r="AE283" s="696"/>
      <c r="AF283" s="697"/>
      <c r="AG283" s="674">
        <v>10</v>
      </c>
      <c r="AH283" s="696"/>
      <c r="AI283" s="697"/>
      <c r="AJ283" s="674">
        <v>11</v>
      </c>
      <c r="AK283" s="696"/>
      <c r="AL283" s="697"/>
    </row>
    <row r="284" spans="1:38" x14ac:dyDescent="0.55000000000000004">
      <c r="A284" s="682"/>
      <c r="B284" s="682"/>
      <c r="C284" s="684"/>
      <c r="D284" s="685"/>
      <c r="E284" s="685"/>
      <c r="F284" s="674">
        <v>1</v>
      </c>
      <c r="G284" s="675"/>
      <c r="H284" s="676"/>
      <c r="I284" s="674">
        <v>2</v>
      </c>
      <c r="J284" s="675"/>
      <c r="K284" s="677"/>
      <c r="L284" s="674">
        <v>3</v>
      </c>
      <c r="M284" s="678"/>
      <c r="N284" s="677"/>
      <c r="O284" s="674">
        <v>4</v>
      </c>
      <c r="P284" s="678"/>
      <c r="Q284" s="677"/>
      <c r="R284" s="674">
        <v>5</v>
      </c>
      <c r="S284" s="696"/>
      <c r="T284" s="697"/>
      <c r="U284" s="674">
        <v>6</v>
      </c>
      <c r="V284" s="696"/>
      <c r="W284" s="697"/>
      <c r="X284" s="674">
        <v>7</v>
      </c>
      <c r="Y284" s="696"/>
      <c r="Z284" s="697"/>
      <c r="AA284" s="674">
        <v>8</v>
      </c>
      <c r="AB284" s="696"/>
      <c r="AC284" s="697"/>
      <c r="AD284" s="674">
        <v>9</v>
      </c>
      <c r="AE284" s="696"/>
      <c r="AF284" s="697"/>
      <c r="AG284" s="674">
        <v>10</v>
      </c>
      <c r="AH284" s="696"/>
      <c r="AI284" s="697"/>
      <c r="AJ284" s="674">
        <v>11</v>
      </c>
      <c r="AK284" s="696"/>
      <c r="AL284" s="697"/>
    </row>
  </sheetData>
  <mergeCells count="2">
    <mergeCell ref="E2:G2"/>
    <mergeCell ref="F3:AL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26A1-7766-4184-A155-17928F2B8D2B}">
  <dimension ref="A1:CP7"/>
  <sheetViews>
    <sheetView workbookViewId="0">
      <selection activeCell="T13" sqref="T13"/>
    </sheetView>
  </sheetViews>
  <sheetFormatPr defaultRowHeight="21" x14ac:dyDescent="0.45"/>
  <cols>
    <col min="1" max="1" width="4" bestFit="1" customWidth="1"/>
    <col min="2" max="2" width="14.1640625" bestFit="1" customWidth="1"/>
    <col min="5" max="5" width="8.83203125" bestFit="1" customWidth="1"/>
    <col min="8" max="8" width="5.5" bestFit="1" customWidth="1"/>
    <col min="9" max="9" width="4.83203125" bestFit="1" customWidth="1"/>
    <col min="10" max="10" width="6.83203125" bestFit="1" customWidth="1"/>
    <col min="11" max="11" width="7.33203125" bestFit="1" customWidth="1"/>
    <col min="12" max="12" width="5.6640625" bestFit="1" customWidth="1"/>
    <col min="13" max="13" width="8" bestFit="1" customWidth="1"/>
    <col min="14" max="14" width="7.1640625" bestFit="1" customWidth="1"/>
    <col min="15" max="15" width="10" bestFit="1" customWidth="1"/>
    <col min="16" max="16" width="13.5" bestFit="1" customWidth="1"/>
    <col min="17" max="17" width="6.6640625" bestFit="1" customWidth="1"/>
    <col min="18" max="18" width="11.6640625" bestFit="1" customWidth="1"/>
    <col min="19" max="19" width="12.1640625" bestFit="1" customWidth="1"/>
    <col min="20" max="20" width="10.83203125" bestFit="1" customWidth="1"/>
    <col min="21" max="21" width="5.5" bestFit="1" customWidth="1"/>
    <col min="22" max="22" width="16" bestFit="1" customWidth="1"/>
    <col min="23" max="23" width="4.6640625" bestFit="1" customWidth="1"/>
    <col min="24" max="24" width="13" bestFit="1" customWidth="1"/>
    <col min="25" max="25" width="9.5" bestFit="1" customWidth="1"/>
    <col min="26" max="26" width="16" bestFit="1" customWidth="1"/>
    <col min="27" max="27" width="6.5" bestFit="1" customWidth="1"/>
    <col min="28" max="28" width="13" bestFit="1" customWidth="1"/>
    <col min="29" max="29" width="4.6640625" bestFit="1" customWidth="1"/>
    <col min="30" max="30" width="13" bestFit="1" customWidth="1"/>
    <col min="31" max="31" width="4.6640625" bestFit="1" customWidth="1"/>
    <col min="32" max="32" width="13" bestFit="1" customWidth="1"/>
    <col min="33" max="33" width="16.33203125" bestFit="1" customWidth="1"/>
    <col min="34" max="34" width="10.83203125" bestFit="1" customWidth="1"/>
    <col min="35" max="35" width="6.6640625" bestFit="1" customWidth="1"/>
    <col min="36" max="36" width="11" bestFit="1" customWidth="1"/>
    <col min="37" max="38" width="12.1640625" bestFit="1" customWidth="1"/>
    <col min="39" max="39" width="7" bestFit="1" customWidth="1"/>
    <col min="40" max="40" width="9.5" bestFit="1" customWidth="1"/>
    <col min="41" max="41" width="11.1640625" bestFit="1" customWidth="1"/>
    <col min="42" max="42" width="9.83203125" bestFit="1" customWidth="1"/>
    <col min="43" max="43" width="6.1640625" bestFit="1" customWidth="1"/>
    <col min="44" max="44" width="9.83203125" bestFit="1" customWidth="1"/>
    <col min="45" max="45" width="5.6640625" bestFit="1" customWidth="1"/>
    <col min="46" max="46" width="5.5" bestFit="1" customWidth="1"/>
    <col min="47" max="47" width="9.1640625" bestFit="1" customWidth="1"/>
    <col min="48" max="48" width="10.5" bestFit="1" customWidth="1"/>
    <col min="49" max="49" width="6.1640625" bestFit="1" customWidth="1"/>
    <col min="50" max="50" width="9.83203125" bestFit="1" customWidth="1"/>
    <col min="51" max="51" width="5.6640625" bestFit="1" customWidth="1"/>
    <col min="52" max="52" width="5.5" bestFit="1" customWidth="1"/>
    <col min="53" max="53" width="9.1640625" bestFit="1" customWidth="1"/>
    <col min="54" max="54" width="10.5" bestFit="1" customWidth="1"/>
    <col min="55" max="55" width="6.1640625" bestFit="1" customWidth="1"/>
    <col min="56" max="56" width="9.83203125" bestFit="1" customWidth="1"/>
    <col min="57" max="57" width="5.6640625" bestFit="1" customWidth="1"/>
    <col min="58" max="58" width="5.5" bestFit="1" customWidth="1"/>
    <col min="59" max="59" width="9.1640625" bestFit="1" customWidth="1"/>
    <col min="60" max="60" width="10.5" bestFit="1" customWidth="1"/>
    <col min="61" max="61" width="6.1640625" bestFit="1" customWidth="1"/>
    <col min="62" max="62" width="9.83203125" bestFit="1" customWidth="1"/>
    <col min="63" max="63" width="5.6640625" bestFit="1" customWidth="1"/>
    <col min="64" max="64" width="5.5" bestFit="1" customWidth="1"/>
    <col min="65" max="65" width="9.1640625" bestFit="1" customWidth="1"/>
    <col min="66" max="66" width="10.5" bestFit="1" customWidth="1"/>
    <col min="67" max="67" width="6.1640625" bestFit="1" customWidth="1"/>
    <col min="68" max="68" width="9.83203125" bestFit="1" customWidth="1"/>
    <col min="69" max="69" width="5.6640625" bestFit="1" customWidth="1"/>
    <col min="70" max="70" width="5.5" bestFit="1" customWidth="1"/>
    <col min="71" max="71" width="9.1640625" bestFit="1" customWidth="1"/>
    <col min="72" max="72" width="10.5" bestFit="1" customWidth="1"/>
    <col min="73" max="73" width="6.1640625" bestFit="1" customWidth="1"/>
    <col min="74" max="74" width="9.83203125" bestFit="1" customWidth="1"/>
    <col min="75" max="75" width="5.6640625" bestFit="1" customWidth="1"/>
    <col min="76" max="76" width="5.5" bestFit="1" customWidth="1"/>
    <col min="77" max="77" width="9.1640625" bestFit="1" customWidth="1"/>
    <col min="78" max="78" width="10.5" bestFit="1" customWidth="1"/>
    <col min="79" max="79" width="6.1640625" bestFit="1" customWidth="1"/>
    <col min="80" max="80" width="9.83203125" bestFit="1" customWidth="1"/>
    <col min="81" max="81" width="5.6640625" bestFit="1" customWidth="1"/>
    <col min="82" max="82" width="5.5" bestFit="1" customWidth="1"/>
    <col min="83" max="83" width="9.1640625" bestFit="1" customWidth="1"/>
    <col min="84" max="84" width="10.5" bestFit="1" customWidth="1"/>
    <col min="85" max="85" width="6.1640625" bestFit="1" customWidth="1"/>
    <col min="86" max="86" width="9.83203125" bestFit="1" customWidth="1"/>
    <col min="87" max="87" width="5.6640625" bestFit="1" customWidth="1"/>
    <col min="88" max="88" width="5.5" bestFit="1" customWidth="1"/>
    <col min="89" max="89" width="9.1640625" bestFit="1" customWidth="1"/>
    <col min="90" max="90" width="10.5" bestFit="1" customWidth="1"/>
  </cols>
  <sheetData>
    <row r="1" spans="1:94" s="3" customFormat="1" ht="19.899999999999999" customHeight="1" x14ac:dyDescent="0.5">
      <c r="A1" s="2002" t="s">
        <v>6</v>
      </c>
      <c r="B1" s="2003" t="s">
        <v>7</v>
      </c>
      <c r="C1" s="2005" t="s">
        <v>182</v>
      </c>
      <c r="D1" s="2005"/>
      <c r="E1" s="2014" t="s">
        <v>2297</v>
      </c>
      <c r="F1" s="2013" t="s">
        <v>183</v>
      </c>
      <c r="G1" s="2013"/>
      <c r="H1" s="2007" t="s">
        <v>865</v>
      </c>
      <c r="I1" s="2027"/>
      <c r="J1" s="2027"/>
      <c r="K1" s="2028"/>
      <c r="L1" s="2012" t="s">
        <v>56</v>
      </c>
      <c r="M1" s="2012"/>
      <c r="N1" s="2002" t="s">
        <v>8</v>
      </c>
      <c r="O1" s="2007" t="s">
        <v>25</v>
      </c>
      <c r="P1" s="2002" t="s">
        <v>49</v>
      </c>
      <c r="Q1" s="2008" t="s">
        <v>46</v>
      </c>
      <c r="R1" s="2008" t="s">
        <v>47</v>
      </c>
      <c r="S1" s="2008" t="s">
        <v>48</v>
      </c>
      <c r="T1" s="1995" t="s">
        <v>404</v>
      </c>
      <c r="U1" s="1994" t="s">
        <v>55</v>
      </c>
      <c r="V1" s="1994"/>
      <c r="W1" s="1994"/>
      <c r="X1" s="1994"/>
      <c r="Y1" s="2020" t="s">
        <v>54</v>
      </c>
      <c r="Z1" s="2021"/>
      <c r="AA1" s="2021"/>
      <c r="AB1" s="2022"/>
      <c r="AC1" s="2025" t="s">
        <v>3413</v>
      </c>
      <c r="AD1" s="2026"/>
      <c r="AE1" s="2011" t="s">
        <v>557</v>
      </c>
      <c r="AF1" s="2011"/>
      <c r="AG1" s="2009" t="s">
        <v>163</v>
      </c>
      <c r="AH1" s="2023" t="s">
        <v>3422</v>
      </c>
      <c r="AI1" s="1996" t="s">
        <v>46</v>
      </c>
      <c r="AJ1" s="1996" t="s">
        <v>164</v>
      </c>
      <c r="AK1" s="1996" t="s">
        <v>48</v>
      </c>
      <c r="AL1" s="2000" t="s">
        <v>863</v>
      </c>
      <c r="AM1" s="1991" t="s">
        <v>867</v>
      </c>
      <c r="AN1" s="1992"/>
      <c r="AO1" s="1992"/>
      <c r="AP1" s="1993"/>
      <c r="AQ1" s="1997" t="s">
        <v>579</v>
      </c>
      <c r="AR1" s="1998"/>
      <c r="AS1" s="1998"/>
      <c r="AT1" s="1998"/>
      <c r="AU1" s="1998"/>
      <c r="AV1" s="1998"/>
      <c r="AW1" s="1998"/>
      <c r="AX1" s="1998"/>
      <c r="AY1" s="1998"/>
      <c r="AZ1" s="1998"/>
      <c r="BA1" s="1998"/>
      <c r="BB1" s="1998"/>
      <c r="BC1" s="1998"/>
      <c r="BD1" s="1998"/>
      <c r="BE1" s="1998"/>
      <c r="BF1" s="1998"/>
      <c r="BG1" s="1998"/>
      <c r="BH1" s="1998"/>
      <c r="BI1" s="1998"/>
      <c r="BJ1" s="1998"/>
      <c r="BK1" s="1998"/>
      <c r="BL1" s="1998"/>
      <c r="BM1" s="1998"/>
      <c r="BN1" s="1998"/>
      <c r="BO1" s="1998"/>
      <c r="BP1" s="1998"/>
      <c r="BQ1" s="1998"/>
      <c r="BR1" s="1998"/>
      <c r="BS1" s="1998"/>
      <c r="BT1" s="1998"/>
      <c r="BU1" s="1998"/>
      <c r="BV1" s="1998"/>
      <c r="BW1" s="1998"/>
      <c r="BX1" s="1998"/>
      <c r="BY1" s="1998"/>
      <c r="BZ1" s="1998"/>
      <c r="CA1" s="1998"/>
      <c r="CB1" s="1998"/>
      <c r="CC1" s="1998"/>
      <c r="CD1" s="1998"/>
      <c r="CE1" s="1998"/>
      <c r="CF1" s="1998"/>
      <c r="CG1" s="1998"/>
      <c r="CH1" s="1998"/>
      <c r="CI1" s="1998"/>
      <c r="CJ1" s="1998"/>
      <c r="CK1" s="1998"/>
      <c r="CL1" s="1999"/>
      <c r="CM1" s="1"/>
      <c r="CN1" s="2"/>
      <c r="CO1" s="2"/>
      <c r="CP1" s="2"/>
    </row>
    <row r="2" spans="1:94" s="3" customFormat="1" ht="21.75" x14ac:dyDescent="0.5">
      <c r="A2" s="2002"/>
      <c r="B2" s="2004"/>
      <c r="C2" s="2005"/>
      <c r="D2" s="2005"/>
      <c r="E2" s="2015"/>
      <c r="F2" s="2013"/>
      <c r="G2" s="2013"/>
      <c r="H2" s="1897" t="s">
        <v>866</v>
      </c>
      <c r="I2" s="1897" t="s">
        <v>583</v>
      </c>
      <c r="J2" s="1897" t="s">
        <v>473</v>
      </c>
      <c r="K2" s="1897" t="s">
        <v>4507</v>
      </c>
      <c r="L2" s="1898" t="s">
        <v>57</v>
      </c>
      <c r="M2" s="1898" t="s">
        <v>58</v>
      </c>
      <c r="N2" s="2002"/>
      <c r="O2" s="2007"/>
      <c r="P2" s="2002"/>
      <c r="Q2" s="2008"/>
      <c r="R2" s="2008"/>
      <c r="S2" s="2008"/>
      <c r="T2" s="1995"/>
      <c r="U2" s="1895" t="s">
        <v>556</v>
      </c>
      <c r="V2" s="1895" t="s">
        <v>560</v>
      </c>
      <c r="W2" s="6" t="s">
        <v>561</v>
      </c>
      <c r="X2" s="1250" t="s">
        <v>559</v>
      </c>
      <c r="Y2" s="1230" t="s">
        <v>3409</v>
      </c>
      <c r="Z2" s="1183" t="s">
        <v>560</v>
      </c>
      <c r="AA2" s="1222" t="s">
        <v>561</v>
      </c>
      <c r="AB2" s="1222" t="s">
        <v>559</v>
      </c>
      <c r="AC2" s="1227" t="s">
        <v>561</v>
      </c>
      <c r="AD2" s="1227" t="s">
        <v>559</v>
      </c>
      <c r="AE2" s="10" t="s">
        <v>561</v>
      </c>
      <c r="AF2" s="1233" t="s">
        <v>559</v>
      </c>
      <c r="AG2" s="2009"/>
      <c r="AH2" s="2024"/>
      <c r="AI2" s="1996"/>
      <c r="AJ2" s="1996"/>
      <c r="AK2" s="1996"/>
      <c r="AL2" s="2001"/>
      <c r="AM2" s="1896" t="s">
        <v>57</v>
      </c>
      <c r="AN2" s="1896" t="s">
        <v>868</v>
      </c>
      <c r="AO2" s="1896" t="s">
        <v>871</v>
      </c>
      <c r="AP2" s="1896" t="s">
        <v>872</v>
      </c>
      <c r="AQ2" s="14" t="s">
        <v>583</v>
      </c>
      <c r="AR2" s="15" t="s">
        <v>584</v>
      </c>
      <c r="AS2" s="15" t="s">
        <v>586</v>
      </c>
      <c r="AT2" s="15" t="s">
        <v>585</v>
      </c>
      <c r="AU2" s="16" t="s">
        <v>581</v>
      </c>
      <c r="AV2" s="17" t="s">
        <v>627</v>
      </c>
      <c r="AW2" s="14" t="s">
        <v>583</v>
      </c>
      <c r="AX2" s="16" t="s">
        <v>584</v>
      </c>
      <c r="AY2" s="16" t="s">
        <v>586</v>
      </c>
      <c r="AZ2" s="16" t="s">
        <v>585</v>
      </c>
      <c r="BA2" s="16" t="s">
        <v>581</v>
      </c>
      <c r="BB2" s="18" t="s">
        <v>627</v>
      </c>
      <c r="BC2" s="14" t="s">
        <v>583</v>
      </c>
      <c r="BD2" s="16" t="s">
        <v>584</v>
      </c>
      <c r="BE2" s="16" t="s">
        <v>586</v>
      </c>
      <c r="BF2" s="16" t="s">
        <v>585</v>
      </c>
      <c r="BG2" s="16" t="s">
        <v>581</v>
      </c>
      <c r="BH2" s="18" t="s">
        <v>627</v>
      </c>
      <c r="BI2" s="14" t="s">
        <v>583</v>
      </c>
      <c r="BJ2" s="16" t="s">
        <v>584</v>
      </c>
      <c r="BK2" s="16" t="s">
        <v>586</v>
      </c>
      <c r="BL2" s="16" t="s">
        <v>585</v>
      </c>
      <c r="BM2" s="16" t="s">
        <v>581</v>
      </c>
      <c r="BN2" s="18" t="s">
        <v>627</v>
      </c>
      <c r="BO2" s="14" t="s">
        <v>583</v>
      </c>
      <c r="BP2" s="16" t="s">
        <v>584</v>
      </c>
      <c r="BQ2" s="16" t="s">
        <v>586</v>
      </c>
      <c r="BR2" s="16" t="s">
        <v>585</v>
      </c>
      <c r="BS2" s="16" t="s">
        <v>581</v>
      </c>
      <c r="BT2" s="1077" t="s">
        <v>627</v>
      </c>
      <c r="BU2" s="14" t="s">
        <v>583</v>
      </c>
      <c r="BV2" s="16" t="s">
        <v>584</v>
      </c>
      <c r="BW2" s="16" t="s">
        <v>586</v>
      </c>
      <c r="BX2" s="16" t="s">
        <v>585</v>
      </c>
      <c r="BY2" s="16" t="s">
        <v>581</v>
      </c>
      <c r="BZ2" s="1077" t="s">
        <v>627</v>
      </c>
      <c r="CA2" s="14" t="s">
        <v>583</v>
      </c>
      <c r="CB2" s="16" t="s">
        <v>584</v>
      </c>
      <c r="CC2" s="16" t="s">
        <v>586</v>
      </c>
      <c r="CD2" s="16" t="s">
        <v>585</v>
      </c>
      <c r="CE2" s="16" t="s">
        <v>581</v>
      </c>
      <c r="CF2" s="1077" t="s">
        <v>627</v>
      </c>
      <c r="CG2" s="14" t="s">
        <v>583</v>
      </c>
      <c r="CH2" s="16" t="s">
        <v>584</v>
      </c>
      <c r="CI2" s="16" t="s">
        <v>586</v>
      </c>
      <c r="CJ2" s="16" t="s">
        <v>585</v>
      </c>
      <c r="CK2" s="16" t="s">
        <v>581</v>
      </c>
      <c r="CL2" s="18" t="s">
        <v>627</v>
      </c>
      <c r="CM2" s="19"/>
      <c r="CN2" s="20"/>
      <c r="CO2" s="20"/>
      <c r="CP2" s="20"/>
    </row>
    <row r="3" spans="1:94" s="51" customFormat="1" ht="21.75" x14ac:dyDescent="0.5">
      <c r="A3" s="21"/>
      <c r="B3" s="22"/>
      <c r="C3" s="1019"/>
      <c r="D3" s="1020"/>
      <c r="E3" s="884"/>
      <c r="F3" s="932"/>
      <c r="G3" s="933"/>
      <c r="H3" s="831"/>
      <c r="I3" s="1021"/>
      <c r="J3" s="1021"/>
      <c r="K3" s="1021"/>
      <c r="L3" s="931"/>
      <c r="M3" s="40"/>
      <c r="N3" s="22"/>
      <c r="O3" s="28"/>
      <c r="P3" s="22"/>
      <c r="Q3" s="29"/>
      <c r="R3" s="29">
        <f>Q3*7/100</f>
        <v>0</v>
      </c>
      <c r="S3" s="29">
        <f>Q3+R3</f>
        <v>0</v>
      </c>
      <c r="T3" s="30"/>
      <c r="U3" s="31"/>
      <c r="V3" s="32">
        <f>Q3-T3</f>
        <v>0</v>
      </c>
      <c r="W3" s="33"/>
      <c r="X3" s="1251">
        <f>V3*W3/100</f>
        <v>0</v>
      </c>
      <c r="Y3" s="1231"/>
      <c r="Z3" s="1184">
        <f>V3-X3</f>
        <v>0</v>
      </c>
      <c r="AA3" s="1223">
        <f>SUM((50-Y3)/(100)*(2.5)+(0.5))</f>
        <v>1.75</v>
      </c>
      <c r="AB3" s="1223"/>
      <c r="AC3" s="1228"/>
      <c r="AD3" s="1228">
        <f t="shared" ref="AD3:AD7" si="0">Z3*AC3/100</f>
        <v>0</v>
      </c>
      <c r="AE3" s="37"/>
      <c r="AF3" s="1234">
        <f>Z3*AE3/100</f>
        <v>0</v>
      </c>
      <c r="AG3" s="40"/>
      <c r="AH3" s="1186"/>
      <c r="AI3" s="41"/>
      <c r="AJ3" s="63">
        <f>AI3*7/100</f>
        <v>0</v>
      </c>
      <c r="AK3" s="52">
        <f>AI3+AJ3</f>
        <v>0</v>
      </c>
      <c r="AL3" s="43"/>
      <c r="AM3" s="39"/>
      <c r="AN3" s="39"/>
      <c r="AO3" s="39"/>
      <c r="AP3" s="21"/>
      <c r="AQ3" s="1894">
        <v>1</v>
      </c>
      <c r="AR3" s="45"/>
      <c r="AS3" s="46"/>
      <c r="AT3" s="46"/>
      <c r="AU3" s="47"/>
      <c r="AV3" s="48"/>
      <c r="AW3" s="1894">
        <v>2</v>
      </c>
      <c r="AX3" s="40"/>
      <c r="AY3" s="47"/>
      <c r="AZ3" s="47"/>
      <c r="BA3" s="47"/>
      <c r="BB3" s="49"/>
      <c r="BC3" s="1894">
        <v>3</v>
      </c>
      <c r="BD3" s="40"/>
      <c r="BE3" s="47"/>
      <c r="BF3" s="47"/>
      <c r="BG3" s="47"/>
      <c r="BH3" s="49"/>
      <c r="BI3" s="1894">
        <v>4</v>
      </c>
      <c r="BJ3" s="40"/>
      <c r="BK3" s="47"/>
      <c r="BL3" s="47"/>
      <c r="BM3" s="47"/>
      <c r="BN3" s="49"/>
      <c r="BO3" s="1894">
        <v>5</v>
      </c>
      <c r="BP3" s="40"/>
      <c r="BQ3" s="47"/>
      <c r="BR3" s="47"/>
      <c r="BS3" s="47"/>
      <c r="BT3" s="49"/>
      <c r="BU3" s="1894">
        <v>6</v>
      </c>
      <c r="BV3" s="40"/>
      <c r="BW3" s="47"/>
      <c r="BX3" s="47"/>
      <c r="BY3" s="47"/>
      <c r="BZ3" s="49"/>
      <c r="CA3" s="1894">
        <v>7</v>
      </c>
      <c r="CB3" s="40"/>
      <c r="CC3" s="47"/>
      <c r="CD3" s="47"/>
      <c r="CE3" s="47"/>
      <c r="CF3" s="49"/>
      <c r="CG3" s="1894">
        <v>8</v>
      </c>
      <c r="CH3" s="40"/>
      <c r="CI3" s="47"/>
      <c r="CJ3" s="47"/>
      <c r="CK3" s="47"/>
      <c r="CL3" s="50"/>
    </row>
    <row r="4" spans="1:94" s="51" customFormat="1" ht="21.75" x14ac:dyDescent="0.5">
      <c r="A4" s="21"/>
      <c r="B4" s="22"/>
      <c r="C4" s="1019"/>
      <c r="D4" s="1020"/>
      <c r="E4" s="884"/>
      <c r="F4" s="932"/>
      <c r="G4" s="933"/>
      <c r="H4" s="831"/>
      <c r="I4" s="1021"/>
      <c r="J4" s="1021"/>
      <c r="K4" s="1021"/>
      <c r="L4" s="931"/>
      <c r="M4" s="40"/>
      <c r="N4" s="22"/>
      <c r="O4" s="28"/>
      <c r="P4" s="22"/>
      <c r="Q4" s="29"/>
      <c r="R4" s="29">
        <f t="shared" ref="R4:R7" si="1">Q4*7/100</f>
        <v>0</v>
      </c>
      <c r="S4" s="29">
        <f t="shared" ref="S4:S7" si="2">Q4+R4</f>
        <v>0</v>
      </c>
      <c r="T4" s="30"/>
      <c r="U4" s="31"/>
      <c r="V4" s="32">
        <f t="shared" ref="V4:V7" si="3">Q4-T4</f>
        <v>0</v>
      </c>
      <c r="W4" s="33"/>
      <c r="X4" s="1251">
        <f t="shared" ref="X4:X7" si="4">V4*W4/100</f>
        <v>0</v>
      </c>
      <c r="Y4" s="1231"/>
      <c r="Z4" s="1184">
        <f t="shared" ref="Z4:Z7" si="5">V4-X4</f>
        <v>0</v>
      </c>
      <c r="AA4" s="1223">
        <f t="shared" ref="AA4:AA7" si="6">SUM((50-Y4)/(100)*(2.5)+(0.5))</f>
        <v>1.75</v>
      </c>
      <c r="AB4" s="1223"/>
      <c r="AC4" s="1228"/>
      <c r="AD4" s="1228">
        <f t="shared" si="0"/>
        <v>0</v>
      </c>
      <c r="AE4" s="37"/>
      <c r="AF4" s="1234">
        <f t="shared" ref="AF4:AF7" si="7">Z4*AE4/100</f>
        <v>0</v>
      </c>
      <c r="AG4" s="40"/>
      <c r="AH4" s="1186"/>
      <c r="AI4" s="41"/>
      <c r="AJ4" s="63">
        <f t="shared" ref="AJ4:AJ7" si="8">AI4*7/100</f>
        <v>0</v>
      </c>
      <c r="AK4" s="52">
        <f t="shared" ref="AK4:AK7" si="9">AI4+AJ4</f>
        <v>0</v>
      </c>
      <c r="AL4" s="43"/>
      <c r="AM4" s="39"/>
      <c r="AN4" s="39"/>
      <c r="AO4" s="39"/>
      <c r="AP4" s="21"/>
      <c r="AQ4" s="1894">
        <v>1</v>
      </c>
      <c r="AR4" s="45"/>
      <c r="AS4" s="46"/>
      <c r="AT4" s="46"/>
      <c r="AU4" s="47"/>
      <c r="AV4" s="48"/>
      <c r="AW4" s="1894">
        <v>2</v>
      </c>
      <c r="AX4" s="40"/>
      <c r="AY4" s="47"/>
      <c r="AZ4" s="47"/>
      <c r="BA4" s="47"/>
      <c r="BB4" s="49"/>
      <c r="BC4" s="1894">
        <v>3</v>
      </c>
      <c r="BD4" s="40"/>
      <c r="BE4" s="47"/>
      <c r="BF4" s="47"/>
      <c r="BG4" s="47"/>
      <c r="BH4" s="49"/>
      <c r="BI4" s="1894">
        <v>4</v>
      </c>
      <c r="BJ4" s="40"/>
      <c r="BK4" s="47"/>
      <c r="BL4" s="47"/>
      <c r="BM4" s="47"/>
      <c r="BN4" s="49"/>
      <c r="BO4" s="1894">
        <v>5</v>
      </c>
      <c r="BP4" s="40"/>
      <c r="BQ4" s="47"/>
      <c r="BR4" s="47"/>
      <c r="BS4" s="47"/>
      <c r="BT4" s="49"/>
      <c r="BU4" s="1894">
        <v>6</v>
      </c>
      <c r="BV4" s="40"/>
      <c r="BW4" s="47"/>
      <c r="BX4" s="47"/>
      <c r="BY4" s="47"/>
      <c r="BZ4" s="49"/>
      <c r="CA4" s="1894">
        <v>7</v>
      </c>
      <c r="CB4" s="40"/>
      <c r="CC4" s="47"/>
      <c r="CD4" s="47"/>
      <c r="CE4" s="47"/>
      <c r="CF4" s="49"/>
      <c r="CG4" s="1894">
        <v>8</v>
      </c>
      <c r="CH4" s="40"/>
      <c r="CI4" s="47"/>
      <c r="CJ4" s="47"/>
      <c r="CK4" s="47"/>
      <c r="CL4" s="50"/>
    </row>
    <row r="5" spans="1:94" s="51" customFormat="1" ht="21.75" x14ac:dyDescent="0.5">
      <c r="A5" s="21"/>
      <c r="B5" s="22"/>
      <c r="C5" s="1019"/>
      <c r="D5" s="1020"/>
      <c r="E5" s="884"/>
      <c r="F5" s="932"/>
      <c r="G5" s="933"/>
      <c r="H5" s="831"/>
      <c r="I5" s="1021"/>
      <c r="J5" s="1021"/>
      <c r="K5" s="1021"/>
      <c r="L5" s="931"/>
      <c r="M5" s="40"/>
      <c r="N5" s="22"/>
      <c r="O5" s="28"/>
      <c r="P5" s="22"/>
      <c r="Q5" s="29"/>
      <c r="R5" s="29">
        <f t="shared" si="1"/>
        <v>0</v>
      </c>
      <c r="S5" s="29">
        <f t="shared" si="2"/>
        <v>0</v>
      </c>
      <c r="T5" s="30"/>
      <c r="U5" s="31"/>
      <c r="V5" s="32">
        <f t="shared" si="3"/>
        <v>0</v>
      </c>
      <c r="W5" s="33"/>
      <c r="X5" s="1251">
        <f t="shared" si="4"/>
        <v>0</v>
      </c>
      <c r="Y5" s="1231"/>
      <c r="Z5" s="1184">
        <f t="shared" si="5"/>
        <v>0</v>
      </c>
      <c r="AA5" s="1223">
        <f t="shared" si="6"/>
        <v>1.75</v>
      </c>
      <c r="AB5" s="1223"/>
      <c r="AC5" s="1228"/>
      <c r="AD5" s="1228">
        <f t="shared" si="0"/>
        <v>0</v>
      </c>
      <c r="AE5" s="37"/>
      <c r="AF5" s="1234">
        <f t="shared" si="7"/>
        <v>0</v>
      </c>
      <c r="AG5" s="40"/>
      <c r="AH5" s="1186"/>
      <c r="AI5" s="41"/>
      <c r="AJ5" s="63">
        <f t="shared" si="8"/>
        <v>0</v>
      </c>
      <c r="AK5" s="52">
        <f t="shared" si="9"/>
        <v>0</v>
      </c>
      <c r="AL5" s="43"/>
      <c r="AM5" s="39"/>
      <c r="AN5" s="39"/>
      <c r="AO5" s="39"/>
      <c r="AP5" s="21"/>
      <c r="AQ5" s="1894">
        <v>1</v>
      </c>
      <c r="AR5" s="45"/>
      <c r="AS5" s="46"/>
      <c r="AT5" s="46"/>
      <c r="AU5" s="47"/>
      <c r="AV5" s="48"/>
      <c r="AW5" s="1894">
        <v>2</v>
      </c>
      <c r="AX5" s="40"/>
      <c r="AY5" s="47"/>
      <c r="AZ5" s="47"/>
      <c r="BA5" s="47"/>
      <c r="BB5" s="49"/>
      <c r="BC5" s="1894">
        <v>3</v>
      </c>
      <c r="BD5" s="40"/>
      <c r="BE5" s="47"/>
      <c r="BF5" s="47"/>
      <c r="BG5" s="47"/>
      <c r="BH5" s="49"/>
      <c r="BI5" s="1894">
        <v>4</v>
      </c>
      <c r="BJ5" s="40"/>
      <c r="BK5" s="47"/>
      <c r="BL5" s="47"/>
      <c r="BM5" s="47"/>
      <c r="BN5" s="49"/>
      <c r="BO5" s="1894">
        <v>5</v>
      </c>
      <c r="BP5" s="40"/>
      <c r="BQ5" s="47"/>
      <c r="BR5" s="47"/>
      <c r="BS5" s="47"/>
      <c r="BT5" s="49"/>
      <c r="BU5" s="1894">
        <v>6</v>
      </c>
      <c r="BV5" s="40"/>
      <c r="BW5" s="47"/>
      <c r="BX5" s="47"/>
      <c r="BY5" s="47"/>
      <c r="BZ5" s="49"/>
      <c r="CA5" s="1894">
        <v>7</v>
      </c>
      <c r="CB5" s="40"/>
      <c r="CC5" s="47"/>
      <c r="CD5" s="47"/>
      <c r="CE5" s="47"/>
      <c r="CF5" s="49"/>
      <c r="CG5" s="1894">
        <v>8</v>
      </c>
      <c r="CH5" s="40"/>
      <c r="CI5" s="47"/>
      <c r="CJ5" s="47"/>
      <c r="CK5" s="47"/>
      <c r="CL5" s="50"/>
    </row>
    <row r="6" spans="1:94" s="51" customFormat="1" ht="21.75" x14ac:dyDescent="0.5">
      <c r="A6" s="21"/>
      <c r="B6" s="22"/>
      <c r="C6" s="1019"/>
      <c r="D6" s="1020"/>
      <c r="E6" s="884"/>
      <c r="F6" s="932"/>
      <c r="G6" s="933"/>
      <c r="H6" s="831"/>
      <c r="I6" s="1021"/>
      <c r="J6" s="1021"/>
      <c r="K6" s="1021"/>
      <c r="L6" s="931"/>
      <c r="M6" s="40"/>
      <c r="N6" s="22"/>
      <c r="O6" s="28"/>
      <c r="P6" s="22"/>
      <c r="Q6" s="29"/>
      <c r="R6" s="29">
        <f t="shared" si="1"/>
        <v>0</v>
      </c>
      <c r="S6" s="29">
        <f t="shared" si="2"/>
        <v>0</v>
      </c>
      <c r="T6" s="30"/>
      <c r="U6" s="31"/>
      <c r="V6" s="32">
        <f t="shared" si="3"/>
        <v>0</v>
      </c>
      <c r="W6" s="33"/>
      <c r="X6" s="1251">
        <f t="shared" si="4"/>
        <v>0</v>
      </c>
      <c r="Y6" s="1231"/>
      <c r="Z6" s="1184">
        <f t="shared" si="5"/>
        <v>0</v>
      </c>
      <c r="AA6" s="1223">
        <f t="shared" si="6"/>
        <v>1.75</v>
      </c>
      <c r="AB6" s="1223"/>
      <c r="AC6" s="1228"/>
      <c r="AD6" s="1228">
        <f t="shared" si="0"/>
        <v>0</v>
      </c>
      <c r="AE6" s="37"/>
      <c r="AF6" s="1234">
        <f t="shared" si="7"/>
        <v>0</v>
      </c>
      <c r="AG6" s="40"/>
      <c r="AH6" s="1186"/>
      <c r="AI6" s="41"/>
      <c r="AJ6" s="63">
        <f t="shared" si="8"/>
        <v>0</v>
      </c>
      <c r="AK6" s="52">
        <f t="shared" si="9"/>
        <v>0</v>
      </c>
      <c r="AL6" s="43"/>
      <c r="AM6" s="39"/>
      <c r="AN6" s="39"/>
      <c r="AO6" s="39"/>
      <c r="AP6" s="21"/>
      <c r="AQ6" s="1894">
        <v>1</v>
      </c>
      <c r="AR6" s="45"/>
      <c r="AS6" s="46"/>
      <c r="AT6" s="46"/>
      <c r="AU6" s="47"/>
      <c r="AV6" s="48"/>
      <c r="AW6" s="1894">
        <v>2</v>
      </c>
      <c r="AX6" s="40"/>
      <c r="AY6" s="47"/>
      <c r="AZ6" s="47"/>
      <c r="BA6" s="47"/>
      <c r="BB6" s="49"/>
      <c r="BC6" s="1894">
        <v>3</v>
      </c>
      <c r="BD6" s="40"/>
      <c r="BE6" s="47"/>
      <c r="BF6" s="47"/>
      <c r="BG6" s="47"/>
      <c r="BH6" s="49"/>
      <c r="BI6" s="1894">
        <v>4</v>
      </c>
      <c r="BJ6" s="40"/>
      <c r="BK6" s="47"/>
      <c r="BL6" s="47"/>
      <c r="BM6" s="47"/>
      <c r="BN6" s="49"/>
      <c r="BO6" s="1894">
        <v>5</v>
      </c>
      <c r="BP6" s="40"/>
      <c r="BQ6" s="47"/>
      <c r="BR6" s="47"/>
      <c r="BS6" s="47"/>
      <c r="BT6" s="49"/>
      <c r="BU6" s="1894">
        <v>6</v>
      </c>
      <c r="BV6" s="40"/>
      <c r="BW6" s="47"/>
      <c r="BX6" s="47"/>
      <c r="BY6" s="47"/>
      <c r="BZ6" s="49"/>
      <c r="CA6" s="1894">
        <v>7</v>
      </c>
      <c r="CB6" s="40"/>
      <c r="CC6" s="47"/>
      <c r="CD6" s="47"/>
      <c r="CE6" s="47"/>
      <c r="CF6" s="49"/>
      <c r="CG6" s="1894">
        <v>8</v>
      </c>
      <c r="CH6" s="40"/>
      <c r="CI6" s="47"/>
      <c r="CJ6" s="47"/>
      <c r="CK6" s="47"/>
      <c r="CL6" s="50"/>
    </row>
    <row r="7" spans="1:94" s="51" customFormat="1" ht="21.75" x14ac:dyDescent="0.5">
      <c r="A7" s="21"/>
      <c r="B7" s="22"/>
      <c r="C7" s="1019"/>
      <c r="D7" s="1020"/>
      <c r="E7" s="884"/>
      <c r="F7" s="932"/>
      <c r="G7" s="933"/>
      <c r="H7" s="831"/>
      <c r="I7" s="1021"/>
      <c r="J7" s="1021"/>
      <c r="K7" s="1021"/>
      <c r="L7" s="931"/>
      <c r="M7" s="40"/>
      <c r="N7" s="22"/>
      <c r="O7" s="28"/>
      <c r="P7" s="22"/>
      <c r="Q7" s="29"/>
      <c r="R7" s="29">
        <f t="shared" si="1"/>
        <v>0</v>
      </c>
      <c r="S7" s="29">
        <f t="shared" si="2"/>
        <v>0</v>
      </c>
      <c r="T7" s="30"/>
      <c r="U7" s="31"/>
      <c r="V7" s="32">
        <f t="shared" si="3"/>
        <v>0</v>
      </c>
      <c r="W7" s="33"/>
      <c r="X7" s="1251">
        <f t="shared" si="4"/>
        <v>0</v>
      </c>
      <c r="Y7" s="1231"/>
      <c r="Z7" s="1184">
        <f t="shared" si="5"/>
        <v>0</v>
      </c>
      <c r="AA7" s="1223">
        <f t="shared" si="6"/>
        <v>1.75</v>
      </c>
      <c r="AB7" s="1223"/>
      <c r="AC7" s="1228"/>
      <c r="AD7" s="1228">
        <f t="shared" si="0"/>
        <v>0</v>
      </c>
      <c r="AE7" s="37"/>
      <c r="AF7" s="1234">
        <f t="shared" si="7"/>
        <v>0</v>
      </c>
      <c r="AG7" s="40"/>
      <c r="AH7" s="1186"/>
      <c r="AI7" s="41"/>
      <c r="AJ7" s="63">
        <f t="shared" si="8"/>
        <v>0</v>
      </c>
      <c r="AK7" s="52">
        <f t="shared" si="9"/>
        <v>0</v>
      </c>
      <c r="AL7" s="43"/>
      <c r="AM7" s="39"/>
      <c r="AN7" s="39"/>
      <c r="AO7" s="39"/>
      <c r="AP7" s="21"/>
      <c r="AQ7" s="1894">
        <v>1</v>
      </c>
      <c r="AR7" s="45"/>
      <c r="AS7" s="46"/>
      <c r="AT7" s="46"/>
      <c r="AU7" s="47"/>
      <c r="AV7" s="48"/>
      <c r="AW7" s="1894">
        <v>2</v>
      </c>
      <c r="AX7" s="40"/>
      <c r="AY7" s="47"/>
      <c r="AZ7" s="47"/>
      <c r="BA7" s="47"/>
      <c r="BB7" s="49"/>
      <c r="BC7" s="1894">
        <v>3</v>
      </c>
      <c r="BD7" s="40"/>
      <c r="BE7" s="47"/>
      <c r="BF7" s="47"/>
      <c r="BG7" s="47"/>
      <c r="BH7" s="49"/>
      <c r="BI7" s="1894">
        <v>4</v>
      </c>
      <c r="BJ7" s="40"/>
      <c r="BK7" s="47"/>
      <c r="BL7" s="47"/>
      <c r="BM7" s="47"/>
      <c r="BN7" s="49"/>
      <c r="BO7" s="1894">
        <v>5</v>
      </c>
      <c r="BP7" s="40"/>
      <c r="BQ7" s="47"/>
      <c r="BR7" s="207"/>
      <c r="BS7" s="47"/>
      <c r="BT7" s="49"/>
      <c r="BU7" s="1894">
        <v>6</v>
      </c>
      <c r="BV7" s="40"/>
      <c r="BW7" s="47"/>
      <c r="BX7" s="47"/>
      <c r="BY7" s="47"/>
      <c r="BZ7" s="49"/>
      <c r="CA7" s="1894">
        <v>7</v>
      </c>
      <c r="CB7" s="40"/>
      <c r="CC7" s="47"/>
      <c r="CD7" s="47"/>
      <c r="CE7" s="47"/>
      <c r="CF7" s="49"/>
      <c r="CG7" s="1894">
        <v>8</v>
      </c>
      <c r="CH7" s="40"/>
      <c r="CI7" s="47"/>
      <c r="CJ7" s="47"/>
      <c r="CK7" s="47"/>
      <c r="CL7" s="50"/>
    </row>
  </sheetData>
  <mergeCells count="26">
    <mergeCell ref="A1:A2"/>
    <mergeCell ref="B1:B2"/>
    <mergeCell ref="C1:D2"/>
    <mergeCell ref="E1:E2"/>
    <mergeCell ref="F1:G2"/>
    <mergeCell ref="N1:N2"/>
    <mergeCell ref="O1:O2"/>
    <mergeCell ref="P1:P2"/>
    <mergeCell ref="Q1:Q2"/>
    <mergeCell ref="R1:R2"/>
    <mergeCell ref="AM1:AP1"/>
    <mergeCell ref="AQ1:CL1"/>
    <mergeCell ref="H1:K1"/>
    <mergeCell ref="AG1:AG2"/>
    <mergeCell ref="AH1:AH2"/>
    <mergeCell ref="AI1:AI2"/>
    <mergeCell ref="AJ1:AJ2"/>
    <mergeCell ref="AK1:AK2"/>
    <mergeCell ref="AL1:AL2"/>
    <mergeCell ref="S1:S2"/>
    <mergeCell ref="T1:T2"/>
    <mergeCell ref="U1:X1"/>
    <mergeCell ref="Y1:AB1"/>
    <mergeCell ref="AC1:AD1"/>
    <mergeCell ref="AE1:AF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Sale Order 2018</vt:lpstr>
      <vt:lpstr>Sale Order 2019</vt:lpstr>
      <vt:lpstr>ใบส่งของ 2019</vt:lpstr>
      <vt:lpstr>Sale Order 2020</vt:lpstr>
      <vt:lpstr>ใบส่งของ 2020</vt:lpstr>
      <vt:lpstr>Sheet1</vt:lpstr>
    </vt:vector>
  </TitlesOfParts>
  <Company>Demo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Proud06</dc:creator>
  <cp:lastModifiedBy>Windows User</cp:lastModifiedBy>
  <cp:lastPrinted>2020-09-30T07:52:26Z</cp:lastPrinted>
  <dcterms:created xsi:type="dcterms:W3CDTF">2006-02-14T07:29:13Z</dcterms:created>
  <dcterms:modified xsi:type="dcterms:W3CDTF">2020-12-08T03:54:12Z</dcterms:modified>
</cp:coreProperties>
</file>